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 activeTab="1"/>
  </bookViews>
  <sheets>
    <sheet name="APRIL 2026" sheetId="1" r:id="rId1"/>
    <sheet name="MEMO" sheetId="68" r:id="rId2"/>
    <sheet name="Changes in PAYE (4)" sheetId="237" r:id="rId3"/>
    <sheet name="SALLAH WELF" sheetId="248" r:id="rId4"/>
    <sheet name="Sum of Welfare (4)" sheetId="249" r:id="rId5"/>
    <sheet name="2026 ENHANCED WELFARE (2)" sheetId="250" r:id="rId6"/>
    <sheet name="Sheet18" sheetId="247" r:id="rId7"/>
    <sheet name="FCTIRS Template" sheetId="240" r:id="rId8"/>
    <sheet name="Rent Relief" sheetId="245" r:id="rId9"/>
    <sheet name=" Promotions" sheetId="246" r:id="rId10"/>
    <sheet name="Sheet20" sheetId="244" r:id="rId11"/>
    <sheet name="2026 ENHANCED WELFARE" sheetId="243" r:id="rId12"/>
    <sheet name="Summary EW" sheetId="241" r:id="rId13"/>
    <sheet name="New Steps, Pensions &amp; NHF" sheetId="238" r:id="rId14"/>
    <sheet name="Basic &amp; Pensions (2)" sheetId="239" r:id="rId15"/>
    <sheet name="Sum " sheetId="235" r:id="rId16"/>
    <sheet name="2025 Promotions (2)" sheetId="232" r:id="rId17"/>
    <sheet name="Christmas Welfare 2025 (2)" sheetId="233" r:id="rId18"/>
    <sheet name="Sum of Welfare (3)" sheetId="234" r:id="rId19"/>
    <sheet name="New NHF Enrolment (3)" sheetId="236" r:id="rId20"/>
    <sheet name="Sheet17" sheetId="231" r:id="rId21"/>
    <sheet name="Changes in PAYE (3)" sheetId="227" r:id="rId22"/>
    <sheet name="New NHF Enrolment (2)" sheetId="230" r:id="rId23"/>
    <sheet name="Sheet16" sheetId="228" r:id="rId24"/>
    <sheet name="2025 Promotions" sheetId="219" r:id="rId25"/>
    <sheet name="Conversion" sheetId="220" r:id="rId26"/>
    <sheet name="PAYE - Conversion" sheetId="223" r:id="rId27"/>
    <sheet name="Sheet15" sheetId="225" r:id="rId28"/>
    <sheet name="Changes in PAYE (2)" sheetId="224" r:id="rId29"/>
    <sheet name="Sheet14" sheetId="222" r:id="rId30"/>
    <sheet name="New Contract" sheetId="221" r:id="rId31"/>
    <sheet name="Changes in Aug." sheetId="218" r:id="rId32"/>
    <sheet name="Shift duty" sheetId="214" r:id="rId33"/>
    <sheet name="Changes in July" sheetId="215" r:id="rId34"/>
    <sheet name="JULY 2025 (2)" sheetId="217" r:id="rId35"/>
    <sheet name="Sheet13" sheetId="216" r:id="rId36"/>
    <sheet name="Basic &amp; Pensions" sheetId="207" r:id="rId37"/>
    <sheet name="Changes in PAYE" sheetId="209" r:id="rId38"/>
    <sheet name="New NHF Enrolment" sheetId="211" r:id="rId39"/>
    <sheet name="PAYE of NHF Enrol" sheetId="212" r:id="rId40"/>
    <sheet name="Arrears Jan-May" sheetId="213" r:id="rId41"/>
    <sheet name="Sheet12" sheetId="210" r:id="rId42"/>
    <sheet name="Wage Award" sheetId="206" r:id="rId43"/>
    <sheet name="N0 on GL" sheetId="203" r:id="rId44"/>
    <sheet name="Total" sheetId="205" r:id="rId45"/>
    <sheet name="2025 GL STEPS" sheetId="195" r:id="rId46"/>
    <sheet name="Welfare June 25" sheetId="200" r:id="rId47"/>
    <sheet name="Sum of Welfare (2)" sheetId="201" r:id="rId48"/>
    <sheet name="Sheet11" sheetId="199" r:id="rId49"/>
    <sheet name="PAYE" sheetId="196" r:id="rId50"/>
    <sheet name="MAY New PAYE  (3)" sheetId="198" r:id="rId51"/>
    <sheet name="Sheet7" sheetId="194" r:id="rId52"/>
    <sheet name="Changes" sheetId="192" r:id="rId53"/>
    <sheet name="2024 Promotion Arrears" sheetId="176" r:id="rId54"/>
    <sheet name="APRIL New PAYE  (2)" sheetId="193" r:id="rId55"/>
    <sheet name="Sheet6" sheetId="191" r:id="rId56"/>
    <sheet name=" PAYE regul" sheetId="182" r:id="rId57"/>
    <sheet name="Promotion in Sept" sheetId="172" r:id="rId58"/>
    <sheet name="Tax on Arrears" sheetId="183" r:id="rId59"/>
    <sheet name="Stoppage of Salary" sheetId="184" r:id="rId60"/>
    <sheet name="New PAYE" sheetId="180" r:id="rId61"/>
    <sheet name="New Pensions Promotion" sheetId="181" r:id="rId62"/>
    <sheet name="Conversion in Nov" sheetId="179" r:id="rId63"/>
    <sheet name="Christmas Welfare 2024" sheetId="186" r:id="rId64"/>
    <sheet name="Sum of Welfare" sheetId="185" r:id="rId65"/>
    <sheet name="Staff Bonus" sheetId="188" r:id="rId66"/>
    <sheet name="Sum of Bonus" sheetId="187" r:id="rId67"/>
    <sheet name="Bonus PAYE" sheetId="190" r:id="rId68"/>
    <sheet name="Sheet5" sheetId="189" r:id="rId69"/>
    <sheet name="New Enrolmt" sheetId="170" r:id="rId70"/>
    <sheet name="1ST 28 DAYS" sheetId="163" r:id="rId71"/>
    <sheet name="Conversion in Sept" sheetId="174" r:id="rId72"/>
    <sheet name="Conversion &amp; Enrol Effect" sheetId="164" r:id="rId73"/>
    <sheet name="Converted Staff PAYE" sheetId="169" r:id="rId74"/>
    <sheet name="Movt to Contract" sheetId="167" r:id="rId75"/>
    <sheet name="Sheet10" sheetId="168" r:id="rId76"/>
    <sheet name="Sheet8" sheetId="166" r:id="rId77"/>
    <sheet name="Welfare June" sheetId="161" r:id="rId78"/>
    <sheet name="Welfare Summary" sheetId="162" r:id="rId79"/>
    <sheet name="Arrears of Res. Allow" sheetId="159" r:id="rId80"/>
    <sheet name="Additional Leg Duty Allowance" sheetId="153" r:id="rId81"/>
    <sheet name="March New PAYE " sheetId="154" r:id="rId82"/>
    <sheet name="Upgrade in March" sheetId="155" r:id="rId83"/>
    <sheet name="New NHF Deduction" sheetId="156" r:id="rId84"/>
    <sheet name="Regularisation" sheetId="152" r:id="rId85"/>
    <sheet name="Sallah Welfare, April 2024" sheetId="158" r:id="rId86"/>
    <sheet name="Sheet4" sheetId="157" r:id="rId87"/>
    <sheet name="January Arrears" sheetId="149" r:id="rId88"/>
    <sheet name="Tax Reg Sch. " sheetId="146" r:id="rId89"/>
    <sheet name=" Excess Ded Paid" sheetId="142" r:id="rId90"/>
    <sheet name="Changes in Gross &amp; PAYE " sheetId="143" r:id="rId91"/>
    <sheet name="May New PAYE " sheetId="147" r:id="rId92"/>
    <sheet name="Employee Pensions" sheetId="144" r:id="rId93"/>
    <sheet name="Upgrade in Feb." sheetId="150" r:id="rId94"/>
    <sheet name="Coop. Ded for Feb." sheetId="151" r:id="rId95"/>
    <sheet name="ENHANCED WELFARE 2024" sheetId="140" r:id="rId96"/>
    <sheet name="PROMOTIONS " sheetId="131" r:id="rId97"/>
    <sheet name="CHRISTMAS WELFARE" sheetId="135" r:id="rId98"/>
    <sheet name="CHRISTMAS WELFARE 1" sheetId="134" r:id="rId99"/>
    <sheet name="HALF 2023 (2)" sheetId="137" r:id="rId100"/>
    <sheet name="Sheet3" sheetId="136" r:id="rId101"/>
    <sheet name="NEW ENROLMENT IN NOVEMBER (2)" sheetId="132" r:id="rId102"/>
    <sheet name="Regularisation IN NOVEMBER (3)" sheetId="133" r:id="rId103"/>
    <sheet name="Sheet2" sheetId="130" r:id="rId104"/>
    <sheet name="PROMOTIONS" sheetId="129" r:id="rId105"/>
    <sheet name="SALARY STRUCTURE" sheetId="128" r:id="rId106"/>
    <sheet name="Wage Grant" sheetId="124" r:id="rId107"/>
    <sheet name="Wage Grant (2)" sheetId="126" r:id="rId108"/>
    <sheet name="1st 28 days in Nov" sheetId="123" r:id="rId109"/>
    <sheet name="Sallah Welfare April 2023" sheetId="119" r:id="rId110"/>
    <sheet name="Sallah Welfare June 2023" sheetId="120" r:id="rId111"/>
    <sheet name="Sallah Welfare June 2023 Latest" sheetId="121" r:id="rId112"/>
    <sheet name="Sheet1" sheetId="117" r:id="rId113"/>
    <sheet name="January 2023 PAYE" sheetId="115" r:id="rId114"/>
    <sheet name="January 2023 NHF)" sheetId="116" r:id="rId115"/>
    <sheet name="PAYE Computation" sheetId="114" r:id="rId116"/>
    <sheet name="Tax adj August, 2022" sheetId="87" r:id="rId117"/>
    <sheet name="Annual Increement" sheetId="78" r:id="rId118"/>
    <sheet name="Enhanced Welfare 2023 (2)" sheetId="110" r:id="rId119"/>
    <sheet name="Enhanced Welfare 2023 (3)" sheetId="113" r:id="rId120"/>
    <sheet name="17.9" sheetId="4" r:id="rId121"/>
    <sheet name="16.7" sheetId="5" r:id="rId122"/>
    <sheet name="15.7.1" sheetId="6" r:id="rId123"/>
    <sheet name="13.7" sheetId="7" r:id="rId124"/>
    <sheet name="12.7" sheetId="8" r:id="rId125"/>
    <sheet name="10.7" sheetId="9" r:id="rId126"/>
    <sheet name="9.7" sheetId="10" r:id="rId127"/>
    <sheet name="8.7" sheetId="11" r:id="rId128"/>
    <sheet name="SUMMARY" sheetId="12" r:id="rId129"/>
    <sheet name="14.7" sheetId="13" r:id="rId130"/>
    <sheet name="15.7" sheetId="23" r:id="rId131"/>
    <sheet name="Basic Salary" sheetId="61" r:id="rId132"/>
    <sheet name="JUNE 2023 (2)" sheetId="122" r:id="rId133"/>
    <sheet name="Sheet9" sheetId="197" r:id="rId134"/>
  </sheets>
  <externalReferences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</externalReferences>
  <definedNames>
    <definedName name="_xlnm.Print_Area" localSheetId="80">'Additional Leg Duty Allowance'!$A$1:$U$19</definedName>
    <definedName name="_xlnm.Print_Area" localSheetId="117">'Annual Increement'!$A$1:$AB$191</definedName>
    <definedName name="_xlnm.Print_Area" localSheetId="97">'CHRISTMAS WELFARE'!$A$1:$E$196</definedName>
    <definedName name="_xlnm.Print_Area" localSheetId="63">'Christmas Welfare 2024'!$A$1:$E$207</definedName>
    <definedName name="_xlnm.Print_Area" localSheetId="118">'Enhanced Welfare 2023 (2)'!$A$1:$G$193</definedName>
    <definedName name="_xlnm.Print_Area" localSheetId="119">'Enhanced Welfare 2023 (3)'!$A$1:$G$193</definedName>
    <definedName name="_xlnm.Print_Area" localSheetId="95">'ENHANCED WELFARE 2024'!$A$1:$G$196</definedName>
    <definedName name="_xlnm.Print_Area" localSheetId="0">'APRIL 2026'!$A$1:$U$248</definedName>
    <definedName name="_xlnm.Print_Area" localSheetId="99">'HALF 2023 (2)'!$A$1:$F$195</definedName>
    <definedName name="_xlnm.Print_Area" localSheetId="114">'January 2023 NHF)'!$A$1:$H$191</definedName>
    <definedName name="_xlnm.Print_Area" localSheetId="113">'January 2023 PAYE'!$A$1:$H$191</definedName>
    <definedName name="_xlnm.Print_Area" localSheetId="132">'JUNE 2023 (2)'!$A$1:$D$190</definedName>
    <definedName name="_xlnm.Print_Area" localSheetId="1">MEMO!$A$1:$H$66</definedName>
    <definedName name="_xlnm.Print_Area" localSheetId="101">'NEW ENROLMENT IN NOVEMBER (2)'!$A$1:$X$14</definedName>
    <definedName name="_xlnm.Print_Area" localSheetId="57">'Promotion in Sept'!$A$1:$V$9</definedName>
    <definedName name="_xlnm.Print_Area" localSheetId="104">PROMOTIONS!$A$1:$AB$47</definedName>
    <definedName name="_xlnm.Print_Area" localSheetId="96">'PROMOTIONS '!$A$1:$AB$27</definedName>
    <definedName name="_xlnm.Print_Area" localSheetId="102">'Regularisation IN NOVEMBER (3)'!$A$1:$X$16</definedName>
    <definedName name="_xlnm.Print_Area" localSheetId="109">'Sallah Welfare April 2023'!$A$1:$E$190</definedName>
    <definedName name="_xlnm.Print_Area" localSheetId="110">'Sallah Welfare June 2023'!$A$1:$E$192</definedName>
    <definedName name="_xlnm.Print_Area" localSheetId="111">'Sallah Welfare June 2023 Latest'!$A$1:$E$189</definedName>
    <definedName name="_xlnm.Print_Area" localSheetId="85">'Sallah Welfare, April 2024'!$A$1:$E$194</definedName>
    <definedName name="_xlnm.Print_Area" localSheetId="65">'Staff Bonus'!$A$1:$F$207</definedName>
    <definedName name="_xlnm.Print_Area" localSheetId="116">'Tax adj August, 2022'!$A$1:$G$202</definedName>
    <definedName name="_xlnm.Print_Area" localSheetId="82">'Upgrade in March'!$A$1:$S$11</definedName>
    <definedName name="_xlnm.Print_Area" localSheetId="106">'Wage Grant'!$A$1:$I$192</definedName>
    <definedName name="_xlnm.Print_Area" localSheetId="107">'Wage Grant (2)'!$A$1:$H$62</definedName>
    <definedName name="_xlnm.Print_Area" localSheetId="77">'Welfare June'!$A$1:$E$194</definedName>
    <definedName name="_xlnm.Print_Titles" localSheetId="80">'Additional Leg Duty Allowance'!$4:$5</definedName>
    <definedName name="_xlnm.Print_Titles" localSheetId="97">'CHRISTMAS WELFARE'!$4:$5</definedName>
    <definedName name="_xlnm.Print_Titles" localSheetId="63">'Christmas Welfare 2024'!$4:$5</definedName>
    <definedName name="_xlnm.Print_Titles" localSheetId="118">'Enhanced Welfare 2023 (2)'!$4:$5</definedName>
    <definedName name="_xlnm.Print_Titles" localSheetId="119">'Enhanced Welfare 2023 (3)'!$4:$5</definedName>
    <definedName name="_xlnm.Print_Titles" localSheetId="95">'ENHANCED WELFARE 2024'!$4:$5</definedName>
    <definedName name="_xlnm.Print_Titles" localSheetId="0">'APRIL 2026'!$4:$5</definedName>
    <definedName name="_xlnm.Print_Titles" localSheetId="99">'HALF 2023 (2)'!$4:$5</definedName>
    <definedName name="_xlnm.Print_Titles" localSheetId="114">'January 2023 NHF)'!$4:$5</definedName>
    <definedName name="_xlnm.Print_Titles" localSheetId="113">'January 2023 PAYE'!$4:$5</definedName>
    <definedName name="_xlnm.Print_Titles" localSheetId="132">'JUNE 2023 (2)'!$4:$5</definedName>
    <definedName name="_xlnm.Print_Titles" localSheetId="101">'NEW ENROLMENT IN NOVEMBER (2)'!$4:$5</definedName>
    <definedName name="_xlnm.Print_Titles" localSheetId="57">'Promotion in Sept'!$4:$5</definedName>
    <definedName name="_xlnm.Print_Titles" localSheetId="104">PROMOTIONS!$4:$5</definedName>
    <definedName name="_xlnm.Print_Titles" localSheetId="96">'PROMOTIONS '!$4:$5</definedName>
    <definedName name="_xlnm.Print_Titles" localSheetId="102">'Regularisation IN NOVEMBER (3)'!$4:$5</definedName>
    <definedName name="_xlnm.Print_Titles" localSheetId="109">'Sallah Welfare April 2023'!$4:$5</definedName>
    <definedName name="_xlnm.Print_Titles" localSheetId="110">'Sallah Welfare June 2023'!$4:$5</definedName>
    <definedName name="_xlnm.Print_Titles" localSheetId="111">'Sallah Welfare June 2023 Latest'!$4:$5</definedName>
    <definedName name="_xlnm.Print_Titles" localSheetId="85">'Sallah Welfare, April 2024'!$4:$5</definedName>
    <definedName name="_xlnm.Print_Titles" localSheetId="65">'Staff Bonus'!$4:$5</definedName>
    <definedName name="_xlnm.Print_Titles" localSheetId="82">'Upgrade in March'!$4:$5</definedName>
    <definedName name="_xlnm.Print_Titles" localSheetId="106">'Wage Grant'!$5:$5</definedName>
    <definedName name="_xlnm.Print_Titles" localSheetId="107">'Wage Grant (2)'!$5:$5</definedName>
    <definedName name="_xlnm.Print_Titles" localSheetId="77">'Welfare June'!$4:$5</definedName>
    <definedName name="_xlnm.Print_Area" localSheetId="45">'2025 GL STEPS'!$A$1:$I$201</definedName>
    <definedName name="_xlnm.Print_Titles" localSheetId="45">'2025 GL STEPS'!$4:$5</definedName>
    <definedName name="_xlnm.Print_Area" localSheetId="46">'Welfare June 25'!$A$1:$E$199</definedName>
    <definedName name="_xlnm.Print_Titles" localSheetId="46">'Welfare June 25'!$4:$5</definedName>
    <definedName name="_xlnm.Print_Area" localSheetId="36">'Basic &amp; Pensions'!$A$1:$Q$202</definedName>
    <definedName name="_xlnm.Print_Titles" localSheetId="36">'Basic &amp; Pensions'!$4:$5</definedName>
    <definedName name="_xlnm.Print_Area" localSheetId="38">'New NHF Enrolment'!$A$1:$J$202</definedName>
    <definedName name="_xlnm.Print_Titles" localSheetId="38">'New NHF Enrolment'!$4:$5</definedName>
    <definedName name="_xlnm.Print_Area" localSheetId="40">'Arrears Jan-May'!$A$1:$Q$202</definedName>
    <definedName name="_xlnm.Print_Titles" localSheetId="40">'Arrears Jan-May'!$4:$5</definedName>
    <definedName name="_xlnm.Print_Area" localSheetId="34">'JULY 2025 (2)'!$A$1:$E$227</definedName>
    <definedName name="_xlnm.Print_Titles" localSheetId="34">'JULY 2025 (2)'!$4:$5</definedName>
    <definedName name="_xlnm.Print_Titles" localSheetId="24">'2025 Promotions'!$4:$4</definedName>
    <definedName name="_xlnm.Print_Area" localSheetId="25">Conversion!$A$1:$O$29</definedName>
    <definedName name="_xlnm.Print_Titles" localSheetId="25">Conversion!$4:$4</definedName>
    <definedName name="_xlnm.Print_Area" localSheetId="22">'New NHF Enrolment (2)'!$A$1:$J$202</definedName>
    <definedName name="_xlnm.Print_Titles" localSheetId="22">'New NHF Enrolment (2)'!$4:$5</definedName>
    <definedName name="_xlnm.Print_Titles" localSheetId="16">'2025 Promotions (2)'!$4:$4</definedName>
    <definedName name="_xlnm.Print_Area" localSheetId="17">'Christmas Welfare 2025 (2)'!$A$1:$E$252</definedName>
    <definedName name="_xlnm.Print_Titles" localSheetId="17">'Christmas Welfare 2025 (2)'!$4:$5</definedName>
    <definedName name="_xlnm.Print_Area" localSheetId="19">'New NHF Enrolment (3)'!$A$1:$J$202</definedName>
    <definedName name="_xlnm.Print_Titles" localSheetId="19">'New NHF Enrolment (3)'!$4:$5</definedName>
    <definedName name="_xlnm.Print_Area" localSheetId="13">'New Steps, Pensions &amp; NHF'!$A$1:$H$251</definedName>
    <definedName name="_xlnm.Print_Titles" localSheetId="13">'New Steps, Pensions &amp; NHF'!$4:$5</definedName>
    <definedName name="_xlnm.Print_Area" localSheetId="14">'Basic &amp; Pensions (2)'!$A$1:$Q$202</definedName>
    <definedName name="_xlnm.Print_Titles" localSheetId="14">'Basic &amp; Pensions (2)'!$4:$5</definedName>
    <definedName name="_xlnm.Print_Area" localSheetId="11">'2026 ENHANCED WELFARE'!$A$1:$H$246</definedName>
    <definedName name="_xlnm.Print_Titles" localSheetId="11">'2026 ENHANCED WELFARE'!$4:$5</definedName>
    <definedName name="_xlnm.Print_Titles" localSheetId="9">' Promotions'!$4:$4</definedName>
    <definedName name="_xlnm.Print_Area" localSheetId="3">'SALLAH WELF'!$A$1:$E$246</definedName>
    <definedName name="_xlnm.Print_Titles" localSheetId="3">'SALLAH WELF'!$4:$5</definedName>
    <definedName name="_xlnm.Print_Area" localSheetId="5">'2026 ENHANCED WELFARE (2)'!$A$1:$H$246</definedName>
    <definedName name="_xlnm.Print_Titles" localSheetId="5">'2026 ENHANCED WELFARE (2)'!$4:$5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<sst xmlns="http://schemas.openxmlformats.org/spreadsheetml/2006/main" count="27356" uniqueCount="1830">
  <si>
    <t>NATIONAL INSTITUTE FOR LEGISLATIVE AND DEMOCRATIC STUDIES</t>
  </si>
  <si>
    <t>STAFF PAYROLL FOR THE MONTH OF APRIL 2026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</si>
  <si>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</si>
  <si>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</si>
  <si>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</si>
  <si>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</si>
  <si>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</si>
  <si>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</si>
  <si>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</si>
  <si>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</si>
  <si>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</si>
  <si>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</si>
  <si>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</si>
  <si>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</si>
  <si>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COOP 2  LOAN RECOVERY</t>
  </si>
  <si>
    <t>NHF DED.</t>
  </si>
  <si>
    <t>PAYE</t>
  </si>
  <si>
    <t>EMPLOYEE PENSIONS</t>
  </si>
  <si>
    <t>TOTAL DEDUCTION</t>
  </si>
  <si>
    <t>MARCH, 2026</t>
  </si>
  <si>
    <t>APRIL, 2026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</si>
  <si>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</si>
  <si>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</si>
  <si>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</si>
  <si>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</si>
  <si>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</si>
  <si>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</si>
  <si>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</si>
  <si>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</si>
  <si>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</si>
  <si>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</si>
  <si>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</si>
  <si>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</si>
  <si>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</si>
  <si>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</si>
  <si>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</si>
  <si>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16(9)</t>
  </si>
  <si>
    <t>DR FRANCIS NDUM OJIE</t>
  </si>
  <si>
    <t>AD, TRAINING &amp; IC./SA TO DG</t>
  </si>
  <si>
    <t>15(9)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</si>
  <si>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</si>
  <si>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</si>
  <si>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</si>
  <si>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</si>
  <si>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</si>
  <si>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</si>
  <si>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</si>
  <si>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14(10)</t>
  </si>
  <si>
    <t>ABDULSALAM S. MUSTAPHA</t>
  </si>
  <si>
    <t>ASST. DIRECTOR ICT</t>
  </si>
  <si>
    <t>15(8)</t>
  </si>
  <si>
    <t>PERCY TERFA GBAHABO</t>
  </si>
  <si>
    <t>RESEARCH FELLOW 1</t>
  </si>
  <si>
    <t>14(8)</t>
  </si>
  <si>
    <t>HASSANA AHMED IBRAHIM</t>
  </si>
  <si>
    <t>PA- TO DG</t>
  </si>
  <si>
    <t>13(11)</t>
  </si>
  <si>
    <t>IKIP LEBO</t>
  </si>
  <si>
    <t>ASST CHIEF PROC. OFFICER</t>
  </si>
  <si>
    <t>13 (9)</t>
  </si>
  <si>
    <t>ALABI ADESINA MUHYDEEN</t>
  </si>
  <si>
    <t>HEAD, NILDS LIAISON OFFICE</t>
  </si>
  <si>
    <t>BASSEY NSONGURUA UDOFIA</t>
  </si>
  <si>
    <t>PRINC.CONF SEC 1/PPS</t>
  </si>
  <si>
    <t>13(8)</t>
  </si>
  <si>
    <t>ADUGBA RICHARD TERSEER</t>
  </si>
  <si>
    <t>ASSIST. CHIEF INFO OFFICER</t>
  </si>
  <si>
    <t>13(7)</t>
  </si>
  <si>
    <t>LUCKY AGWOM</t>
  </si>
  <si>
    <t>RESEARCH ASSISTANT</t>
  </si>
  <si>
    <t>12(9)</t>
  </si>
  <si>
    <t>IDRIS IBRAHIM</t>
  </si>
  <si>
    <t>PRINCIPAL RESEARCH OFFICER</t>
  </si>
  <si>
    <t>FARUQ ATOFARATI</t>
  </si>
  <si>
    <t>PA (SPECIAL DUTIES) TO DG</t>
  </si>
  <si>
    <t>10(8)</t>
  </si>
  <si>
    <t>RASHEEDAT DAIBU</t>
  </si>
  <si>
    <t>SENIOR INFO. OFFICER</t>
  </si>
  <si>
    <t>10(9)</t>
  </si>
  <si>
    <t>VICTOR ASUKWO</t>
  </si>
  <si>
    <t>SENIOR ICT OFFICER</t>
  </si>
  <si>
    <t>10(7)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</si>
  <si>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</si>
  <si>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</si>
  <si>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</si>
  <si>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</si>
  <si>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</si>
  <si>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</si>
  <si>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</si>
  <si>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ABUBAKAR SULAIMAN SODEEQ</t>
  </si>
  <si>
    <t>SENIOR M&amp;E OFFICER</t>
  </si>
  <si>
    <t>JIMOH ADEBAYO ZAKA</t>
  </si>
  <si>
    <t>SENIOR INFO OFFICER</t>
  </si>
  <si>
    <t>ABDULMUSHIN TAWFIQ LADAN</t>
  </si>
  <si>
    <t>ICT OFFICER</t>
  </si>
  <si>
    <t>MOHAMMED BELLO</t>
  </si>
  <si>
    <t>SENIOR PROTOCOL OFFICER</t>
  </si>
  <si>
    <t>HOLINESS PAUL UDO</t>
  </si>
  <si>
    <t>ADMINISTRATION OFFICER, M&amp;E</t>
  </si>
  <si>
    <t>9(8)</t>
  </si>
  <si>
    <t>CHARITY UDO AKAN</t>
  </si>
  <si>
    <t>SANI UMAR IBRAHIM</t>
  </si>
  <si>
    <t>FAHAD ABUBUKAR LONGMAN</t>
  </si>
  <si>
    <t>HARUNA JIBRIL AMEH</t>
  </si>
  <si>
    <t>ASST. ADMIN. OFFICER</t>
  </si>
  <si>
    <t>8(10)</t>
  </si>
  <si>
    <t>RAMATU IBRAHIM ABDULRAHEEM</t>
  </si>
  <si>
    <t>INFORMATION OFFICER</t>
  </si>
  <si>
    <t>8(9)</t>
  </si>
  <si>
    <t>EDIDIONG EZEKIEL ATAT</t>
  </si>
  <si>
    <t>ASSIST PROCUREMENT OFFICER</t>
  </si>
  <si>
    <t>8(8)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</si>
  <si>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</si>
  <si>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</si>
  <si>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</si>
  <si>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</si>
  <si>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</si>
  <si>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</si>
  <si>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</si>
  <si>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</si>
  <si>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</si>
  <si>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</si>
  <si>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</si>
  <si>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</si>
  <si>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</si>
  <si>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</si>
  <si>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</si>
  <si>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</si>
  <si>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</si>
  <si>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</si>
  <si>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</si>
  <si>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12(8)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</si>
  <si>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</si>
  <si>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</si>
  <si>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</si>
  <si>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</si>
  <si>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</si>
  <si>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</si>
  <si>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</si>
  <si>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</si>
  <si>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17(8)</t>
  </si>
  <si>
    <t>OGUCHE SAMUEL</t>
  </si>
  <si>
    <t>DEPUTY DIRECTOR</t>
  </si>
  <si>
    <t>16(7)</t>
  </si>
  <si>
    <t>IBRAHIM USMAN</t>
  </si>
  <si>
    <t xml:space="preserve">SNR RESEARCH FELLOW 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</si>
  <si>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</si>
  <si>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</si>
  <si>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</si>
  <si>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</si>
  <si>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</si>
  <si>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</si>
  <si>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</si>
  <si>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10(10)</t>
  </si>
  <si>
    <t>UMOH USENOBONG EMMANUEL</t>
  </si>
  <si>
    <t>ZAINAB AKINDE</t>
  </si>
  <si>
    <t>9(10)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</si>
  <si>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</si>
  <si>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</si>
  <si>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</si>
  <si>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</si>
  <si>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</si>
  <si>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</si>
  <si>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DEP DIR., LEGAL SERVICES</t>
  </si>
  <si>
    <t>DEMOCRACY  &amp; GOVERNANCE</t>
  </si>
  <si>
    <t>NGARA CHRISTOPHER OCHANJA</t>
  </si>
  <si>
    <t>DEP DIR DEM &amp; GOVERNANCE</t>
  </si>
  <si>
    <t>EJALONIBU GANIYU LAYI</t>
  </si>
  <si>
    <t>MARTINS SOLOMON UDOM</t>
  </si>
  <si>
    <t>RESEARCH FELLOW 2</t>
  </si>
  <si>
    <t>ISHAKA DELE</t>
  </si>
  <si>
    <t>UDEFUNA NNADOZIE PATRICK</t>
  </si>
  <si>
    <t>SHAFIU YAHYA MIKAIL</t>
  </si>
  <si>
    <t>12(10)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</si>
  <si>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</si>
  <si>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</si>
  <si>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</si>
  <si>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</si>
  <si>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</si>
  <si>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</si>
  <si>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12(7)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</si>
  <si>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</si>
  <si>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</si>
  <si>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</si>
  <si>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</si>
  <si>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</si>
  <si>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</si>
  <si>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</si>
  <si>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</si>
  <si>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</si>
  <si>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</si>
  <si>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</si>
  <si>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14(11)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</si>
  <si>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</si>
  <si>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</si>
  <si>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</si>
  <si>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</si>
  <si>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</si>
  <si>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</si>
  <si>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</si>
  <si>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</si>
  <si>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</si>
  <si>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</si>
  <si>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</si>
  <si>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</si>
  <si>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</si>
  <si>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</si>
  <si>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</si>
  <si>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</si>
  <si>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</si>
  <si>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16(8)</t>
  </si>
  <si>
    <t>IBE EZECHI CYRIACUS</t>
  </si>
  <si>
    <t>OSIKHEN LEO IGBANOI</t>
  </si>
  <si>
    <t>OKUNGBOWA OSARETIN GODSPOWER</t>
  </si>
  <si>
    <t>14(9)</t>
  </si>
  <si>
    <t>YUSUF IBRAHIM</t>
  </si>
  <si>
    <t>MUSTAPHA RAFIU AYOBANJI</t>
  </si>
  <si>
    <t>RESEARCH FELLOW 11</t>
  </si>
  <si>
    <t>13(9)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</si>
  <si>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</si>
  <si>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</si>
  <si>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</si>
  <si>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</si>
  <si>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</si>
  <si>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</si>
  <si>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9(7)</t>
  </si>
  <si>
    <t>TRAINING  &amp;  INT''L COOP</t>
  </si>
  <si>
    <t>AKINSANMI ADEJOKE OLUKEMI</t>
  </si>
  <si>
    <t>AG. DIR. TRAINING &amp; IC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</si>
  <si>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</si>
  <si>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</si>
  <si>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</si>
  <si>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</si>
  <si>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</si>
  <si>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</si>
  <si>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</si>
  <si>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</si>
  <si>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</si>
  <si>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</si>
  <si>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</si>
  <si>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</si>
  <si>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</si>
  <si>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</si>
  <si>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</si>
  <si>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</si>
  <si>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</si>
  <si>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</si>
  <si>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</si>
  <si>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</si>
  <si>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</si>
  <si>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</si>
  <si>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8(14)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</si>
  <si>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</si>
  <si>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</si>
  <si>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</si>
  <si>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</si>
  <si>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</si>
  <si>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</si>
  <si>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</si>
  <si>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</si>
  <si>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</si>
  <si>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12(11)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</si>
  <si>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</si>
  <si>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</si>
  <si>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</si>
  <si>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</si>
  <si>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</si>
  <si>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</si>
  <si>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</si>
  <si>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</si>
  <si>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</si>
  <si>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</si>
  <si>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</si>
  <si>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MUSTAPHA ADEKOLA MUSA</t>
  </si>
  <si>
    <t>ENGINEER</t>
  </si>
  <si>
    <t>8(7)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</si>
  <si>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</si>
  <si>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</si>
  <si>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</si>
  <si>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</si>
  <si>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</si>
  <si>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</si>
  <si>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</si>
  <si>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</si>
  <si>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</si>
  <si>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</si>
  <si>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</si>
  <si>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</si>
  <si>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</si>
  <si>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</si>
  <si>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</si>
  <si>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</si>
  <si>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</si>
  <si>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</si>
  <si>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</si>
  <si>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</si>
  <si>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</si>
  <si>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</si>
  <si>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</si>
  <si>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</si>
  <si>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</si>
  <si>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</si>
  <si>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ARCH. TIJO ZARA BORYO</t>
  </si>
  <si>
    <t>DIRECTOR, ASSETS/MAINT.</t>
  </si>
  <si>
    <t>17(7)</t>
  </si>
  <si>
    <t>SIMON YAKUBU WAKAWA</t>
  </si>
  <si>
    <t>ASST DIR. ASSETS &amp; MAINT.</t>
  </si>
  <si>
    <t>SALAMATU YAKUBU</t>
  </si>
  <si>
    <t>ASSIT. DIR. ADMIN &amp; HR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</si>
  <si>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</si>
  <si>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</si>
  <si>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</si>
  <si>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</si>
  <si>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</si>
  <si>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</si>
  <si>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</si>
  <si>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</si>
  <si>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</si>
  <si>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</si>
  <si>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</si>
  <si>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</si>
  <si>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</si>
  <si>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</si>
  <si>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</si>
  <si>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</si>
  <si>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</si>
  <si>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</si>
  <si>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</si>
  <si>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</si>
  <si>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</si>
  <si>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</si>
  <si>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</si>
  <si>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</si>
  <si>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</si>
  <si>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</si>
  <si>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</si>
  <si>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</si>
  <si>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</si>
  <si>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</si>
  <si>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</si>
  <si>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</si>
  <si>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</si>
  <si>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</si>
  <si>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</si>
  <si>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</si>
  <si>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</si>
  <si>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</si>
  <si>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</si>
  <si>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</si>
  <si>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</si>
  <si>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</si>
  <si>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</si>
  <si>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</si>
  <si>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</si>
  <si>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</si>
  <si>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</si>
  <si>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</si>
  <si>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</si>
  <si>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</si>
  <si>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</si>
  <si>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MOTOR DRIVER MECH.</t>
  </si>
  <si>
    <t>7(10)</t>
  </si>
  <si>
    <t>TASIU MOHAMMED</t>
  </si>
  <si>
    <t>ALIYU YAKUBU</t>
  </si>
  <si>
    <t>ABDULLAHI HARUNA</t>
  </si>
  <si>
    <t>OGABO OGAH USMAN</t>
  </si>
  <si>
    <t>7(9)</t>
  </si>
  <si>
    <t>ETSU UMARU</t>
  </si>
  <si>
    <t>EDACHE  OGA</t>
  </si>
  <si>
    <t>YUGUDA S. IDRIS</t>
  </si>
  <si>
    <t>GARBA ADAMU</t>
  </si>
  <si>
    <t>YUNUSA ABDULMUMINI ELEOJO</t>
  </si>
  <si>
    <t>7(7)</t>
  </si>
  <si>
    <t>JOHN GIMAH</t>
  </si>
  <si>
    <t>ABUBAKAR MUSA DANLAMI</t>
  </si>
  <si>
    <t>7(8)</t>
  </si>
  <si>
    <t>OYINLOLA ISMAHEEL TAIWO</t>
  </si>
  <si>
    <t>7(5)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</si>
  <si>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</si>
  <si>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</si>
  <si>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</si>
  <si>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</si>
  <si>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</si>
  <si>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</si>
  <si>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7(6)</t>
  </si>
  <si>
    <t>SUNDAY ADEYI</t>
  </si>
  <si>
    <t>ZHOKWO PETER</t>
  </si>
  <si>
    <t>SENIOR DRIVER</t>
  </si>
  <si>
    <t>5(12)</t>
  </si>
  <si>
    <t>JOSEPH GWATANA</t>
  </si>
  <si>
    <t>SENIOR MOTOR DRIVER MECH.</t>
  </si>
  <si>
    <t>5(9)</t>
  </si>
  <si>
    <t>LAWAL TANIMU</t>
  </si>
  <si>
    <t>5(8)</t>
  </si>
  <si>
    <t>MUKTAR IDRIS</t>
  </si>
  <si>
    <t>5(7)</t>
  </si>
  <si>
    <t>SAHEED AYINLA AJIA</t>
  </si>
  <si>
    <t>MOTOR DRIVER MECHANIC</t>
  </si>
  <si>
    <t>4(10)</t>
  </si>
  <si>
    <t>ABUBAKAR YAHAYA</t>
  </si>
  <si>
    <t>SULEIMAN USMAN</t>
  </si>
  <si>
    <t>ABDULLAHI HUSSAINI</t>
  </si>
  <si>
    <t>SENIOR MOTOR DRIVER</t>
  </si>
  <si>
    <t>5(10)</t>
  </si>
  <si>
    <t>SALIHU ABASS</t>
  </si>
  <si>
    <t>66</t>
  </si>
  <si>
    <t>GRAND TOTAL</t>
  </si>
  <si>
    <t>PREPARED BY:  Rahila N. Habu                                        SIGNATURE………………..                                  DATE:  24th April, 2026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</si>
  <si>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</si>
  <si>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</si>
  <si>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</si>
  <si>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</si>
  <si>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</si>
  <si>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</si>
  <si>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</si>
  <si>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</si>
  <si>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</si>
  <si>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</si>
  <si>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</si>
  <si>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</si>
  <si>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</si>
  <si>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</si>
  <si>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24TH APRIL 2026</t>
  </si>
  <si>
    <t>SUBJECT: PAYROLL FOR THE MONTH OF APRIL 2026</t>
  </si>
  <si>
    <t>Find below the details of NILDS Staff Payroll for the Month of  April 2026:</t>
  </si>
  <si>
    <t>NGN</t>
  </si>
  <si>
    <t>GROSS SALARY FOR APRIL 2026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</si>
  <si>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</si>
  <si>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</si>
  <si>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</si>
  <si>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</si>
  <si>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</si>
  <si>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</si>
  <si>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APRIL 2026</t>
  </si>
  <si>
    <t>NET PAY AS PER  APRIL 2026 PAYROLL</t>
  </si>
  <si>
    <t>NET PAY AS PER MARCH 2026 PAYROLL</t>
  </si>
  <si>
    <t>NET INCREASE/ (DECREASE)  IN PAY FOR APRIL 2026</t>
  </si>
  <si>
    <t>ANALYSED AS FOLLOWS:</t>
  </si>
  <si>
    <t>Effect of Cooperative 1 Adjustments for April 2026</t>
  </si>
  <si>
    <t>Effect of Cooperative 2 Adjustments for April 2026</t>
  </si>
  <si>
    <t>Effect of prorated payment to Dr. Maimuna Izah due to retirement</t>
  </si>
  <si>
    <t>Effect of arrears of Annual Tax Relief from Charity Udo Akan &amp; 5 others</t>
  </si>
  <si>
    <t>Effect promotion of Dr. Samuel Oguche &amp; 2 others</t>
  </si>
  <si>
    <t>Effect of regularization of PAYE IFO Kolapo Abayomi</t>
  </si>
  <si>
    <t>Effect of regularisation of steps IFO Abubakar Sodeeq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</si>
  <si>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</si>
  <si>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</si>
  <si>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</si>
  <si>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</si>
  <si>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</si>
  <si>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</si>
  <si>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</si>
  <si>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</si>
  <si>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</si>
  <si>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</si>
  <si>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</si>
  <si>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</si>
  <si>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</si>
  <si>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</si>
  <si>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71,517,176.77 </t>
    </r>
    <r>
      <rPr>
        <sz val="14"/>
        <rFont val="Times New Roman"/>
        <charset val="134"/>
      </rPr>
      <t xml:space="preserve">to Guaranty Trust Bank,  being the  April 2026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18,769,895.42 </t>
    </r>
    <r>
      <rPr>
        <sz val="14"/>
        <rFont val="Times New Roman"/>
        <charset val="134"/>
      </rPr>
      <t>and</t>
    </r>
    <r>
      <rPr>
        <b/>
        <sz val="14"/>
        <rFont val="Times New Roman"/>
        <charset val="134"/>
      </rPr>
      <t xml:space="preserve"> N4,292,983.82 </t>
    </r>
    <r>
      <rPr>
        <sz val="14"/>
        <rFont val="Times New Roman"/>
        <charset val="134"/>
      </rPr>
      <t>being NILDS Coop Society 1 and Coop Society 2 deductions for April 2026.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16,728,101.74 </t>
    </r>
    <r>
      <rPr>
        <sz val="14"/>
        <rFont val="Times New Roman"/>
        <charset val="134"/>
      </rPr>
      <t xml:space="preserve">PAYE Tax Deductions from Staff Salary for the month  of  April 2026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689,591.03 </t>
    </r>
    <r>
      <rPr>
        <sz val="14"/>
        <rFont val="Times New Roman"/>
        <charset val="134"/>
      </rPr>
      <t xml:space="preserve"> being NHF deductions from staff for April 2026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</si>
  <si>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</si>
  <si>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</si>
  <si>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ASSEMBLY ABUJA</t>
  </si>
  <si>
    <t>TAX COMPUTATION FOR 2022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</si>
  <si>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</si>
  <si>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</si>
  <si>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</si>
  <si>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</si>
  <si>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</si>
  <si>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</si>
  <si>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</si>
  <si>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</si>
  <si>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</si>
  <si>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</si>
  <si>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</si>
  <si>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</t>
  </si>
  <si>
    <t>OLD ACTUAL TAX PAYABLE</t>
  </si>
  <si>
    <t>INCREASE/DECREASE IN PAYE</t>
  </si>
  <si>
    <t>ELIZABETH OGECHUKWU ONYEAKU</t>
  </si>
  <si>
    <t>OMOJU OLUWASOLA EMMANUEL</t>
  </si>
  <si>
    <t>MUHAMMED AGYE OSOLAFIA</t>
  </si>
  <si>
    <t>SULYMAN JIMOH GOBIR</t>
  </si>
  <si>
    <t>AISHA AMINU SAMBO</t>
  </si>
  <si>
    <t>STAFF SALLAH WELFARE MARCH 2026</t>
  </si>
  <si>
    <t>AMOUNT</t>
  </si>
  <si>
    <t>MANAGER, LEGAL SERVICES</t>
  </si>
  <si>
    <t>15 (9)</t>
  </si>
  <si>
    <t>17 (8)</t>
  </si>
  <si>
    <t>DEPUTY DIRECTOR, ASSETS/MAINT.</t>
  </si>
  <si>
    <t>ASSIT. DIR. ADMIN</t>
  </si>
  <si>
    <t>SUMMARY OF MARCH 2026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</si>
  <si>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</si>
  <si>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</si>
  <si>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</si>
  <si>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</si>
  <si>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</si>
  <si>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</si>
  <si>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</si>
  <si>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</si>
  <si>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ENHANCED WELFARE SCHEDULE 2026</t>
  </si>
  <si>
    <t>Grade Level       01 - 10</t>
  </si>
  <si>
    <t>Grade Level       12 - 14</t>
  </si>
  <si>
    <t>Grade Level         15 - 17</t>
  </si>
  <si>
    <t>DD  LEGAL SERVICES</t>
  </si>
  <si>
    <t>16 (7)</t>
  </si>
  <si>
    <t>REASEARCH. ASST.</t>
  </si>
  <si>
    <t>8(11)</t>
  </si>
  <si>
    <t>TRAINING  &amp;  INT'L COOP</t>
  </si>
  <si>
    <t>DIRECTOR TRAINING &amp; IC</t>
  </si>
  <si>
    <t>DIRECTOR ADMIN &amp; HR</t>
  </si>
  <si>
    <t>DIRECTOR</t>
  </si>
  <si>
    <t>17 (7)</t>
  </si>
  <si>
    <t>CHIEF DRIVER</t>
  </si>
  <si>
    <t>CHIEF MOTOR DRIVER</t>
  </si>
  <si>
    <t>DRIVER</t>
  </si>
  <si>
    <t>PAY AS YOU EARN COMPUTATION</t>
  </si>
  <si>
    <t>NAME ORGANISATION:</t>
  </si>
  <si>
    <t>ASSESSMENT YEAR:</t>
  </si>
  <si>
    <t>ELIGIBLE DEDUCTIONS</t>
  </si>
  <si>
    <t>EMPLOYEE NAME</t>
  </si>
  <si>
    <t>TAX IDENTIFICATION</t>
  </si>
  <si>
    <t>ANNUAL GROSS EMOLUMENTS</t>
  </si>
  <si>
    <t>ANNUAL RENT</t>
  </si>
  <si>
    <t>RENT</t>
  </si>
  <si>
    <t>NHF</t>
  </si>
  <si>
    <t>PENSION CONTRIBUTION</t>
  </si>
  <si>
    <t>TOTAL ELIGIBLE DEDUCTIONS</t>
  </si>
  <si>
    <t>1ST 800,000 @ 0%</t>
  </si>
  <si>
    <t>NEXT 2,200,000 @ 15%</t>
  </si>
  <si>
    <t>NEXT 9,000,000  @ 18%</t>
  </si>
  <si>
    <t>NEXT 13,000,000 @ 21%</t>
  </si>
  <si>
    <t>NEXT 25000000 @ 23%</t>
  </si>
  <si>
    <t>EXCESS OF 50000000 @ 25%</t>
  </si>
  <si>
    <t>ANNUAL TAX DUE</t>
  </si>
  <si>
    <t>MONTHLY TAX DUE</t>
  </si>
  <si>
    <t>FCT TAXPAYER ID</t>
  </si>
  <si>
    <t>RELIEF</t>
  </si>
  <si>
    <t>2.5% of Annual
Income</t>
  </si>
  <si>
    <t>1.75% of Annual 
Emoluments</t>
  </si>
  <si>
    <t>8% of the Gross Salary</t>
  </si>
  <si>
    <t>Enter Total Annual Earnings Here</t>
  </si>
  <si>
    <t>Lower of  the 20% actual
rent paid or N500,000</t>
  </si>
  <si>
    <t>Leave as computed if dedeuctions tally, otherwise, enter correct deductions. Note: You may be required to show evidence of deductions and remittance</t>
  </si>
  <si>
    <t>STAFF ANNUAL RENT RELIEF</t>
  </si>
  <si>
    <t>GL</t>
  </si>
  <si>
    <t>20% OF ANNUAL RENT</t>
  </si>
  <si>
    <t>NATIONAL INSTITUTE FOR LEGISLATIVE &amp; DEMOCRATIC STUDIES</t>
  </si>
  <si>
    <t xml:space="preserve">ANALYSIS OF STAFF PROMOTION ARREARS </t>
  </si>
  <si>
    <t>SN</t>
  </si>
  <si>
    <t>Name of Employee</t>
  </si>
  <si>
    <t>Department</t>
  </si>
  <si>
    <t>Present Grade Level</t>
  </si>
  <si>
    <t>New Grade Level</t>
  </si>
  <si>
    <t>Gross Salary of Present Position</t>
  </si>
  <si>
    <t>Gross Salary of New Position</t>
  </si>
  <si>
    <t>Diference/Arrears</t>
  </si>
  <si>
    <t>Effective Date</t>
  </si>
  <si>
    <t>No of Months</t>
  </si>
  <si>
    <t>Total Amount of Arrears (Gross)</t>
  </si>
  <si>
    <t>Patrick Adefuna</t>
  </si>
  <si>
    <t>DD&amp;G</t>
  </si>
  <si>
    <t>'12/10</t>
  </si>
  <si>
    <t xml:space="preserve"> 13/7</t>
  </si>
  <si>
    <t>20th Dec 2025</t>
  </si>
  <si>
    <t>Kolapo Quadri Abayomi</t>
  </si>
  <si>
    <t>CAEEP</t>
  </si>
  <si>
    <t>'10/10</t>
  </si>
  <si>
    <t xml:space="preserve"> 12/7</t>
  </si>
  <si>
    <t>24th June 2024</t>
  </si>
  <si>
    <t>Charity Ezenwajiobi</t>
  </si>
  <si>
    <t>'8/12</t>
  </si>
  <si>
    <t xml:space="preserve"> 9/7</t>
  </si>
  <si>
    <t>1st June 2025</t>
  </si>
  <si>
    <t>Sunday Adeyi</t>
  </si>
  <si>
    <t>Admin &amp; HR</t>
  </si>
  <si>
    <t>'5/12</t>
  </si>
  <si>
    <t xml:space="preserve"> 7/5</t>
  </si>
  <si>
    <t>28th Oct 2025</t>
  </si>
  <si>
    <t>SUMMARY OF  2026 STAFF ENHANCED WELFARE</t>
  </si>
  <si>
    <t>Particulars</t>
  </si>
  <si>
    <t>Grade Level       1-10</t>
  </si>
  <si>
    <t>Grade Level       12-14</t>
  </si>
  <si>
    <t>Grade Level       15-17</t>
  </si>
  <si>
    <t>Casual &amp; Others</t>
  </si>
  <si>
    <t>Grand Total</t>
  </si>
  <si>
    <t>STAFF PAYROLL FOR THE MONTH OF JANUARY 2026</t>
  </si>
  <si>
    <t>OLD GRADE LEVEL</t>
  </si>
  <si>
    <t>OLD BASIC SALARY</t>
  </si>
  <si>
    <t>NEW GRADE LEVEL</t>
  </si>
  <si>
    <t>NEW BASIC SALARY</t>
  </si>
  <si>
    <t>CHANGE IN STEPS (GROSS)</t>
  </si>
  <si>
    <t>OLD EMPLOYEE PENSIONS</t>
  </si>
  <si>
    <t>NEW EMPLOYEE PENSIONS</t>
  </si>
  <si>
    <t>CHANGES IN PENSIONS</t>
  </si>
  <si>
    <t>NEW ANNUAL PENSIONS</t>
  </si>
  <si>
    <t>NEW BASIC</t>
  </si>
  <si>
    <t>NHF 2.5%</t>
  </si>
  <si>
    <t>OLD NHF DED.</t>
  </si>
  <si>
    <t>INCREASE IN NHF</t>
  </si>
  <si>
    <t>NHF ANNUAL</t>
  </si>
  <si>
    <t>14(7)</t>
  </si>
  <si>
    <t>13(10)</t>
  </si>
  <si>
    <t>13 (8)</t>
  </si>
  <si>
    <t>8(13)</t>
  </si>
  <si>
    <t>PRODUCER/PRESENTER/REPORTER</t>
  </si>
  <si>
    <t>ASSIST ADMIN OFFICER, GIU</t>
  </si>
  <si>
    <t>7(4)</t>
  </si>
  <si>
    <t>7(3)</t>
  </si>
  <si>
    <t>5(11)</t>
  </si>
  <si>
    <t>4(9)</t>
  </si>
  <si>
    <t>67</t>
  </si>
  <si>
    <t>STAFF PAYROLL FOR THE MONTH OF JANUARY, 2026</t>
  </si>
  <si>
    <t>OLD CUM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</si>
  <si>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</si>
  <si>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</si>
  <si>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</si>
  <si>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</si>
  <si>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</si>
  <si>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</si>
  <si>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</si>
  <si>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</si>
  <si>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</si>
  <si>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</si>
  <si>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</si>
  <si>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</si>
  <si>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</si>
  <si>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</si>
  <si>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</si>
  <si>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</si>
  <si>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</si>
  <si>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</si>
  <si>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</si>
  <si>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</si>
  <si>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</si>
  <si>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</si>
  <si>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</si>
  <si>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</si>
  <si>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</si>
  <si>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</si>
  <si>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</si>
  <si>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</si>
  <si>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</si>
  <si>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</si>
  <si>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CHIEF ICT OFFICER</t>
  </si>
  <si>
    <t>13 (10)</t>
  </si>
  <si>
    <t>PRINC.CONF SEC/PPS</t>
  </si>
  <si>
    <t>ASST. OFFICER/COMM</t>
  </si>
  <si>
    <t xml:space="preserve">PROTOCOL ASSISTANT </t>
  </si>
  <si>
    <t>DEPUTY DIRECTOR, LEGAL RESEARCH</t>
  </si>
  <si>
    <t>PRINCIPAL PROGRAMME OFFICER</t>
  </si>
  <si>
    <t>Ag. DIR. TRAINING &amp; IC</t>
  </si>
  <si>
    <t xml:space="preserve">PRINCIPALTRAINING OFFICER </t>
  </si>
  <si>
    <t>DR MAIMUNA IZAH</t>
  </si>
  <si>
    <t>RESEARCH FELLOW 11 DATA &amp; DOCU</t>
  </si>
  <si>
    <t>DEP. DIRECTOR, ACCOUNTS</t>
  </si>
  <si>
    <t>ASST. DIRECTOR, ACCOUNTS</t>
  </si>
  <si>
    <t>ASST. CHIEF BUDGET OFFICER</t>
  </si>
  <si>
    <t>ACCOUNT. OFFICER</t>
  </si>
  <si>
    <t>10</t>
  </si>
  <si>
    <t>ASSIST.CHIEF CONF. SECRETARY</t>
  </si>
  <si>
    <t>PRINC.LIAISON OFFICER</t>
  </si>
  <si>
    <t>SNR CONFIDENTIAL SECRETARY</t>
  </si>
  <si>
    <t>TRANSPORT OFFICER</t>
  </si>
  <si>
    <t>SENIOR CONFIDENTIAL SECRETARY</t>
  </si>
  <si>
    <t>ADMIN. ASSISTANT DLSS</t>
  </si>
  <si>
    <t>DISPATCH OFFICER</t>
  </si>
  <si>
    <t>NAMADI IDRIS UMAR</t>
  </si>
  <si>
    <t>5 (11)</t>
  </si>
  <si>
    <t>JONATHAN GABRIEL</t>
  </si>
  <si>
    <t>5 (10)</t>
  </si>
  <si>
    <t>60</t>
  </si>
  <si>
    <t xml:space="preserve"> TOTAL FOR OLD STAFF</t>
  </si>
  <si>
    <t>TOTAL FOR NEW STAFF</t>
  </si>
  <si>
    <t xml:space="preserve"> GRAND TOTAL </t>
  </si>
  <si>
    <t xml:space="preserve">2025 ANALYSIS OF STAFF PROMOTION ARREARS </t>
  </si>
  <si>
    <t>Consolidated Salary of Present Position</t>
  </si>
  <si>
    <t>Consolidated Salary of New Position</t>
  </si>
  <si>
    <t>Victor Etim Asukwo</t>
  </si>
  <si>
    <t>DG's Office</t>
  </si>
  <si>
    <t xml:space="preserve"> 9/10</t>
  </si>
  <si>
    <t xml:space="preserve"> 10/7</t>
  </si>
  <si>
    <t>6th August 2025</t>
  </si>
  <si>
    <t>STAFF CHRISTMAS WELFARE DECEMBER 2025</t>
  </si>
  <si>
    <t>STAFF PAYROLL FOR THE MONTH OF JUNE, 2025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</si>
  <si>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</si>
  <si>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</si>
  <si>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</si>
  <si>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</si>
  <si>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</si>
  <si>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</si>
  <si>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</si>
  <si>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</si>
  <si>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</si>
  <si>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MINIMUM TAX PAYABLE</t>
  </si>
  <si>
    <t>NEW ACTUAL TAX PAYABLE</t>
  </si>
  <si>
    <t>INCREASE IN PAYE</t>
  </si>
  <si>
    <t>DEMOCRACY RADIO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</si>
  <si>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</si>
  <si>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</si>
  <si>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</si>
  <si>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</si>
  <si>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</si>
  <si>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</si>
  <si>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</si>
  <si>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</si>
  <si>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</si>
  <si>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</si>
  <si>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</si>
  <si>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</si>
  <si>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</si>
  <si>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</si>
  <si>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</si>
  <si>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</si>
  <si>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</si>
  <si>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</si>
  <si>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</si>
  <si>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</si>
  <si>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</si>
  <si>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</si>
  <si>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</si>
  <si>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</si>
  <si>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</si>
  <si>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</si>
  <si>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</si>
  <si>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</si>
  <si>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</si>
  <si>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</si>
  <si>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</si>
  <si>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</si>
  <si>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</si>
  <si>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</si>
  <si>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</si>
  <si>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</si>
  <si>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</si>
  <si>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</si>
  <si>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</si>
  <si>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</si>
  <si>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>14th August 2025</t>
  </si>
  <si>
    <t>Mr Hazeem Hussain</t>
  </si>
  <si>
    <t>28th July 2025</t>
  </si>
  <si>
    <t>Ms. Saratu Gwalem Hamalai</t>
  </si>
  <si>
    <t>DESR</t>
  </si>
  <si>
    <t>Mr Gideon Lamido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</si>
  <si>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</si>
  <si>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</si>
  <si>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</si>
  <si>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</si>
  <si>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</si>
  <si>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</si>
  <si>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</si>
  <si>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</si>
  <si>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</si>
  <si>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</si>
  <si>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</si>
  <si>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</si>
  <si>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</si>
  <si>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</si>
  <si>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</si>
  <si>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</si>
  <si>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</si>
  <si>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</si>
  <si>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</si>
  <si>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</si>
  <si>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</si>
  <si>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</si>
  <si>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</si>
  <si>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</si>
  <si>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</si>
  <si>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</si>
  <si>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</si>
  <si>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</si>
  <si>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</si>
  <si>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</si>
  <si>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</si>
  <si>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</si>
  <si>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</si>
  <si>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</si>
  <si>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</si>
  <si>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</si>
  <si>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</si>
  <si>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</si>
  <si>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</si>
  <si>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</si>
  <si>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</si>
  <si>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</si>
  <si>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</si>
  <si>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</si>
  <si>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</si>
  <si>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</si>
  <si>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</si>
  <si>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</si>
  <si>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</si>
  <si>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</si>
  <si>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</si>
  <si>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</si>
  <si>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</si>
  <si>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</si>
  <si>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</si>
  <si>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</si>
  <si>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</si>
  <si>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</si>
  <si>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</si>
  <si>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</si>
  <si>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</si>
  <si>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</si>
  <si>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</si>
  <si>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</si>
  <si>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</si>
  <si>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</si>
  <si>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</si>
  <si>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</si>
  <si>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</si>
  <si>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</si>
  <si>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</si>
  <si>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</si>
  <si>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</si>
  <si>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</si>
  <si>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</si>
  <si>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</si>
  <si>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</si>
  <si>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</si>
  <si>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</si>
  <si>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</si>
  <si>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</si>
  <si>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</si>
  <si>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</si>
  <si>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</si>
  <si>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</si>
  <si>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</si>
  <si>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</si>
  <si>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</si>
  <si>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</si>
  <si>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</si>
  <si>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</si>
  <si>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</si>
  <si>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</si>
  <si>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</si>
  <si>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</si>
  <si>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</si>
  <si>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</si>
  <si>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</si>
  <si>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</si>
  <si>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</si>
  <si>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</si>
  <si>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</si>
  <si>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</si>
  <si>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</si>
  <si>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</si>
  <si>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</si>
  <si>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</si>
  <si>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</si>
  <si>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</si>
  <si>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</si>
  <si>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</si>
  <si>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</si>
  <si>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</si>
  <si>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</si>
  <si>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</si>
  <si>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</si>
  <si>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</si>
  <si>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</si>
  <si>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</si>
  <si>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</si>
  <si>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</si>
  <si>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</si>
  <si>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</si>
  <si>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</si>
  <si>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</si>
  <si>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</si>
  <si>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</si>
  <si>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</si>
  <si>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</si>
  <si>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</si>
  <si>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</si>
  <si>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</si>
  <si>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</si>
  <si>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</si>
  <si>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</si>
  <si>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</si>
  <si>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</si>
  <si>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</si>
  <si>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</si>
  <si>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</si>
  <si>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</si>
  <si>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</si>
  <si>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</si>
  <si>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</si>
  <si>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</si>
  <si>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</si>
  <si>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</si>
  <si>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</si>
  <si>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</si>
  <si>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</si>
  <si>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</si>
  <si>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</si>
  <si>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</si>
  <si>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</si>
  <si>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</si>
  <si>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</si>
  <si>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</si>
  <si>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</si>
  <si>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11</t>
  </si>
  <si>
    <t>64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</si>
  <si>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</si>
  <si>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</si>
  <si>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</si>
  <si>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</si>
  <si>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</si>
  <si>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</si>
  <si>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</si>
  <si>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</si>
  <si>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</si>
  <si>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</si>
  <si>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</si>
  <si>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</si>
  <si>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</si>
  <si>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</si>
  <si>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</si>
  <si>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</si>
  <si>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</si>
  <si>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</si>
  <si>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</si>
  <si>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</si>
  <si>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</si>
  <si>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</si>
  <si>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</si>
  <si>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</si>
  <si>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</si>
  <si>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</si>
  <si>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</si>
  <si>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</si>
  <si>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</si>
  <si>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</si>
  <si>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</si>
  <si>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</si>
  <si>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</si>
  <si>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</si>
  <si>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</si>
  <si>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</si>
  <si>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</si>
  <si>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</si>
  <si>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</si>
  <si>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</si>
  <si>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</si>
  <si>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</si>
  <si>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</si>
  <si>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</si>
  <si>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</si>
  <si>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</si>
  <si>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</si>
  <si>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</si>
  <si>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</si>
  <si>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</si>
  <si>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</si>
  <si>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</si>
  <si>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</si>
  <si>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</si>
  <si>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</si>
  <si>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</si>
  <si>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</si>
  <si>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</si>
  <si>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</si>
  <si>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</si>
  <si>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</si>
  <si>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</si>
  <si>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</si>
  <si>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</si>
  <si>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</si>
  <si>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</si>
  <si>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</si>
  <si>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</si>
  <si>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</si>
  <si>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</si>
  <si>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</si>
  <si>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</si>
  <si>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</si>
  <si>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</si>
  <si>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</si>
  <si>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</si>
  <si>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</si>
  <si>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</si>
  <si>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</si>
  <si>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</si>
  <si>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</si>
  <si>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</si>
  <si>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</si>
  <si>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</si>
  <si>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</si>
  <si>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</si>
  <si>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</si>
  <si>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</si>
  <si>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</si>
  <si>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</si>
  <si>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</si>
  <si>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</si>
  <si>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</si>
  <si>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</si>
  <si>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</si>
  <si>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</si>
  <si>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</si>
  <si>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</si>
  <si>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</si>
  <si>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</si>
  <si>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</si>
  <si>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</si>
  <si>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</si>
  <si>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</si>
  <si>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</si>
  <si>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</si>
  <si>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SUMMARY OF SALLAH WELFARE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</si>
  <si>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</si>
  <si>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</si>
  <si>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</si>
  <si>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</si>
  <si>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</si>
  <si>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</si>
  <si>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</si>
  <si>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</si>
  <si>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</si>
  <si>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</si>
  <si>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</si>
  <si>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</si>
  <si>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</si>
  <si>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</si>
  <si>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</si>
  <si>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</si>
  <si>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</si>
  <si>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</si>
  <si>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</si>
  <si>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</si>
  <si>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</si>
  <si>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</si>
  <si>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</si>
  <si>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</si>
  <si>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</si>
  <si>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</si>
  <si>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</si>
  <si>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</si>
  <si>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</si>
  <si>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</si>
  <si>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</si>
  <si>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</si>
  <si>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</si>
  <si>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</si>
  <si>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</si>
  <si>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</si>
  <si>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</si>
  <si>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</si>
  <si>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</si>
  <si>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</si>
  <si>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</si>
  <si>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</si>
  <si>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</si>
  <si>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</si>
  <si>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</si>
  <si>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</si>
  <si>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</si>
  <si>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</si>
  <si>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</si>
  <si>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</si>
  <si>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</si>
  <si>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</si>
  <si>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</si>
  <si>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</si>
  <si>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</si>
  <si>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</si>
  <si>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</si>
  <si>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</si>
  <si>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</si>
  <si>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</si>
  <si>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</si>
  <si>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</si>
  <si>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</si>
  <si>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</si>
  <si>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</si>
  <si>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</si>
  <si>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</si>
  <si>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</si>
  <si>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</si>
  <si>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</si>
  <si>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</si>
  <si>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</si>
  <si>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</si>
  <si>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</si>
  <si>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</si>
  <si>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</si>
  <si>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</si>
  <si>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</si>
  <si>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</si>
  <si>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</si>
  <si>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</si>
  <si>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</si>
  <si>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</si>
  <si>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</si>
  <si>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</si>
  <si>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</si>
  <si>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</si>
  <si>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</si>
  <si>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</si>
  <si>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</si>
  <si>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</si>
  <si>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</si>
  <si>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</si>
  <si>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</si>
  <si>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</si>
  <si>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</si>
  <si>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</si>
  <si>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</si>
  <si>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</si>
  <si>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</si>
  <si>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</si>
  <si>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</si>
  <si>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</si>
  <si>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</si>
  <si>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</si>
  <si>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</si>
  <si>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</si>
  <si>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</si>
  <si>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</si>
  <si>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</si>
  <si>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</si>
  <si>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</si>
  <si>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</si>
  <si>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</si>
  <si>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</si>
  <si>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</si>
  <si>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</si>
  <si>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</si>
  <si>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</si>
  <si>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</si>
  <si>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</si>
  <si>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</si>
  <si>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</si>
  <si>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</si>
  <si>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</si>
  <si>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</si>
  <si>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</si>
  <si>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</si>
  <si>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</si>
  <si>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</si>
  <si>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</si>
  <si>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</si>
  <si>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</si>
  <si>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</si>
  <si>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</si>
  <si>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</si>
  <si>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</si>
  <si>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</si>
  <si>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</si>
  <si>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</si>
  <si>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</si>
  <si>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</si>
  <si>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</si>
  <si>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</si>
  <si>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</si>
  <si>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</si>
  <si>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</si>
  <si>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</si>
  <si>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</si>
  <si>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</si>
  <si>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</si>
  <si>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</si>
  <si>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</si>
  <si>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</si>
  <si>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</si>
  <si>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</si>
  <si>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</si>
  <si>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</si>
  <si>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</si>
  <si>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</si>
  <si>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</si>
  <si>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</si>
  <si>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</si>
  <si>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</si>
  <si>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</si>
  <si>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</si>
  <si>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</si>
  <si>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</si>
  <si>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</si>
  <si>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</si>
  <si>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</si>
  <si>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</si>
  <si>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</si>
  <si>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</si>
  <si>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</si>
  <si>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</si>
  <si>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</si>
  <si>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</si>
  <si>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</si>
  <si>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</si>
  <si>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</si>
  <si>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</si>
  <si>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</si>
  <si>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</si>
  <si>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</si>
  <si>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</si>
  <si>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</si>
  <si>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</si>
  <si>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</si>
  <si>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</si>
  <si>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</si>
  <si>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</si>
  <si>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</si>
  <si>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</si>
  <si>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</si>
  <si>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</si>
  <si>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</si>
  <si>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</si>
  <si>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</si>
  <si>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</si>
  <si>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</si>
  <si>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</si>
  <si>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</si>
  <si>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</si>
  <si>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</si>
  <si>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</si>
  <si>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</si>
  <si>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</si>
  <si>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</si>
  <si>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</si>
  <si>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</si>
  <si>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</si>
  <si>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</si>
  <si>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</si>
  <si>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</si>
  <si>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</si>
  <si>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</si>
  <si>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</si>
  <si>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</si>
  <si>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</si>
  <si>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</si>
  <si>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</si>
  <si>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</si>
  <si>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</si>
  <si>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</si>
  <si>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</si>
  <si>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</si>
  <si>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</si>
  <si>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</si>
  <si>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</si>
  <si>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</si>
  <si>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</si>
  <si>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</si>
  <si>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</si>
  <si>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</si>
  <si>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</si>
  <si>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</si>
  <si>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</si>
  <si>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</si>
  <si>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</si>
  <si>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</si>
  <si>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</si>
  <si>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</si>
  <si>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</si>
  <si>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</si>
  <si>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</si>
  <si>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</si>
  <si>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</si>
  <si>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</si>
  <si>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</si>
  <si>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</si>
  <si>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</si>
  <si>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</si>
  <si>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</si>
  <si>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</si>
  <si>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</si>
  <si>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</si>
  <si>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</si>
  <si>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</si>
  <si>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</si>
  <si>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</si>
  <si>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</si>
  <si>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</si>
  <si>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</si>
  <si>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</si>
  <si>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</si>
  <si>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</si>
  <si>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</si>
  <si>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</si>
  <si>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</si>
  <si>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</si>
  <si>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</si>
  <si>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</si>
  <si>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</si>
  <si>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</si>
  <si>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</si>
  <si>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</si>
  <si>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</si>
  <si>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</si>
  <si>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</si>
  <si>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</si>
  <si>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</si>
  <si>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</si>
  <si>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</si>
  <si>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</si>
  <si>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</si>
  <si>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</si>
  <si>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</si>
  <si>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</si>
  <si>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</si>
  <si>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</si>
  <si>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</si>
  <si>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</si>
  <si>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</si>
  <si>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</si>
  <si>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</si>
  <si>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</si>
  <si>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</si>
  <si>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</si>
  <si>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</si>
  <si>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</si>
  <si>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</si>
  <si>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</si>
  <si>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</si>
  <si>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</si>
  <si>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</si>
  <si>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</si>
  <si>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</si>
  <si>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</si>
  <si>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</si>
  <si>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</si>
  <si>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</si>
  <si>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</si>
  <si>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</si>
  <si>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</si>
  <si>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</si>
  <si>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</si>
  <si>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</si>
  <si>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</si>
  <si>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</si>
  <si>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</si>
  <si>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</si>
  <si>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</si>
  <si>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</si>
  <si>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</si>
  <si>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</si>
  <si>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</si>
  <si>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</si>
  <si>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</si>
  <si>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</si>
  <si>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</si>
  <si>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</si>
  <si>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</si>
  <si>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</si>
  <si>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</si>
  <si>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</si>
  <si>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</si>
  <si>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</si>
  <si>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</si>
  <si>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</si>
  <si>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</si>
  <si>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</si>
  <si>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</si>
  <si>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</si>
  <si>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</si>
  <si>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</si>
  <si>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</si>
  <si>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</si>
  <si>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</si>
  <si>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</si>
  <si>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</si>
  <si>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</si>
  <si>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</si>
  <si>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</si>
  <si>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</si>
  <si>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</si>
  <si>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</si>
  <si>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</si>
  <si>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</si>
  <si>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</si>
  <si>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</si>
  <si>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</si>
  <si>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</si>
  <si>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</si>
  <si>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</si>
  <si>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</si>
  <si>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</si>
  <si>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</si>
  <si>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</si>
  <si>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</si>
  <si>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</si>
  <si>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</si>
  <si>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</si>
  <si>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</si>
  <si>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</si>
  <si>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</si>
  <si>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</si>
  <si>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</si>
  <si>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</si>
  <si>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</si>
  <si>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</si>
  <si>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</si>
  <si>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</si>
  <si>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</si>
  <si>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</si>
  <si>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</si>
  <si>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</si>
  <si>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</si>
  <si>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</si>
  <si>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</si>
  <si>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</si>
  <si>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</si>
  <si>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</si>
  <si>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</si>
  <si>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</si>
  <si>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</si>
  <si>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</si>
  <si>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</si>
  <si>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</si>
  <si>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</si>
  <si>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</si>
  <si>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</si>
  <si>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</si>
  <si>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</si>
  <si>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</si>
  <si>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</si>
  <si>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</si>
  <si>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</si>
  <si>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</si>
  <si>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</si>
  <si>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</si>
  <si>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</si>
  <si>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</si>
  <si>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</si>
  <si>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</si>
  <si>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</si>
  <si>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</si>
  <si>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</si>
  <si>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</si>
  <si>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</si>
  <si>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</si>
  <si>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</si>
  <si>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</si>
  <si>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</si>
  <si>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</si>
  <si>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</si>
  <si>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</si>
  <si>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</si>
  <si>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</si>
  <si>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</si>
  <si>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</si>
  <si>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</si>
  <si>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</si>
  <si>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</si>
  <si>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</si>
  <si>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</si>
  <si>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</si>
  <si>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</si>
  <si>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</si>
  <si>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</si>
  <si>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</si>
  <si>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</si>
  <si>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</si>
  <si>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</si>
  <si>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</si>
  <si>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</si>
  <si>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</si>
  <si>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</si>
  <si>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</si>
  <si>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</si>
  <si>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</si>
  <si>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</si>
  <si>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</si>
  <si>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</si>
  <si>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</si>
  <si>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</si>
  <si>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</si>
  <si>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</si>
  <si>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</si>
  <si>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</si>
  <si>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</si>
  <si>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</si>
  <si>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</si>
  <si>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</si>
  <si>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</si>
  <si>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</si>
  <si>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</si>
  <si>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</si>
  <si>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</si>
  <si>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</si>
  <si>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</si>
  <si>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</si>
  <si>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</si>
  <si>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</si>
  <si>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</si>
  <si>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</si>
  <si>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</si>
  <si>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</si>
  <si>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</si>
  <si>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</si>
  <si>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</si>
  <si>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</si>
  <si>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</si>
  <si>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</si>
  <si>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</si>
  <si>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</si>
  <si>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</si>
  <si>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</si>
  <si>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</si>
  <si>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</si>
  <si>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</si>
  <si>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</si>
  <si>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</si>
  <si>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</si>
  <si>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</si>
  <si>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</si>
  <si>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</si>
  <si>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</si>
  <si>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</si>
  <si>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</si>
  <si>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</si>
  <si>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</si>
  <si>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</si>
  <si>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</si>
  <si>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</si>
  <si>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</si>
  <si>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</si>
  <si>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</si>
  <si>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</si>
  <si>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</si>
  <si>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</si>
  <si>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</si>
  <si>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</si>
  <si>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</si>
  <si>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</si>
  <si>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</si>
  <si>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</si>
  <si>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</si>
  <si>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</si>
  <si>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</si>
  <si>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</si>
  <si>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STAFF CHRISTMAS WELFARE DECEMBER 2023</t>
  </si>
  <si>
    <t>15 (7)</t>
  </si>
  <si>
    <t>FAROOQ ONOKIJIPA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</si>
  <si>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</si>
  <si>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</si>
  <si>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</si>
  <si>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</si>
  <si>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</si>
  <si>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</si>
  <si>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</si>
  <si>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</si>
  <si>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</si>
  <si>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</si>
  <si>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</si>
  <si>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</si>
  <si>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</si>
  <si>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</si>
  <si>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</si>
  <si>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</si>
  <si>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</si>
  <si>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</si>
  <si>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</si>
  <si>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</si>
  <si>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</si>
  <si>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</si>
  <si>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</si>
  <si>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</si>
  <si>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</si>
  <si>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</si>
  <si>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</si>
  <si>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</si>
  <si>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</si>
  <si>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</si>
  <si>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</si>
  <si>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</si>
  <si>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</si>
  <si>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</si>
  <si>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</si>
  <si>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</si>
  <si>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</si>
  <si>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</si>
  <si>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</si>
  <si>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</si>
  <si>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</si>
  <si>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</si>
  <si>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</si>
  <si>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</si>
  <si>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</si>
  <si>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</si>
  <si>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</si>
  <si>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</si>
  <si>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</si>
  <si>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</si>
  <si>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</si>
  <si>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</si>
  <si>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</si>
  <si>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</si>
  <si>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</si>
  <si>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</si>
  <si>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</si>
  <si>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</si>
  <si>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</si>
  <si>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</si>
  <si>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</si>
  <si>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</si>
  <si>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</si>
  <si>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</si>
  <si>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</si>
  <si>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</si>
  <si>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</si>
  <si>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</si>
  <si>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</si>
  <si>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</si>
  <si>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</si>
  <si>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</si>
  <si>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</si>
  <si>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</si>
  <si>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</si>
  <si>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</si>
  <si>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</si>
  <si>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</si>
  <si>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</si>
  <si>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</si>
  <si>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</si>
  <si>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</si>
  <si>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</si>
  <si>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</si>
  <si>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</si>
  <si>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</si>
  <si>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</si>
  <si>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</si>
  <si>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</si>
  <si>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</si>
  <si>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</si>
  <si>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</si>
  <si>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</si>
  <si>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</si>
  <si>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</si>
  <si>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</si>
  <si>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</si>
  <si>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</si>
  <si>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</si>
  <si>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</si>
  <si>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</si>
  <si>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</si>
  <si>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</si>
  <si>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</si>
  <si>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</si>
  <si>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</si>
  <si>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</si>
  <si>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</si>
  <si>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</si>
  <si>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</si>
  <si>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</si>
  <si>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</si>
  <si>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</si>
  <si>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</si>
  <si>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</si>
  <si>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</si>
  <si>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</si>
  <si>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</si>
  <si>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</si>
  <si>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</si>
  <si>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</si>
  <si>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</si>
  <si>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</si>
  <si>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</si>
  <si>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</si>
  <si>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</si>
  <si>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</si>
  <si>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</si>
  <si>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</si>
  <si>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</si>
  <si>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</si>
  <si>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</si>
  <si>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</si>
  <si>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</si>
  <si>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</si>
  <si>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</si>
  <si>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</si>
  <si>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</si>
  <si>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</si>
  <si>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</si>
  <si>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</si>
  <si>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</si>
  <si>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</si>
  <si>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</si>
  <si>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</si>
  <si>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</si>
  <si>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</si>
  <si>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</si>
  <si>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</si>
  <si>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</si>
  <si>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</si>
  <si>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</si>
  <si>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</si>
  <si>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</si>
  <si>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</si>
  <si>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</si>
  <si>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</si>
  <si>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</si>
  <si>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</si>
  <si>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</si>
  <si>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</si>
  <si>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</si>
  <si>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</si>
  <si>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</si>
  <si>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</si>
  <si>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</si>
  <si>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</si>
  <si>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</si>
  <si>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</si>
  <si>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</si>
  <si>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</si>
  <si>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</si>
  <si>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</si>
  <si>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</si>
  <si>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</si>
  <si>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</si>
  <si>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</si>
  <si>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</si>
  <si>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</si>
  <si>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</si>
  <si>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</si>
  <si>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</si>
  <si>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</si>
  <si>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</si>
  <si>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</si>
  <si>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</si>
  <si>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</si>
  <si>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</si>
  <si>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</si>
  <si>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</si>
  <si>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</si>
  <si>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</si>
  <si>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</si>
  <si>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</si>
  <si>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</si>
  <si>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</si>
  <si>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</si>
  <si>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</si>
  <si>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</si>
  <si>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</si>
  <si>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</si>
  <si>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</si>
  <si>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</si>
  <si>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</si>
  <si>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</si>
  <si>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</si>
  <si>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</si>
  <si>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</si>
  <si>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</si>
  <si>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</si>
  <si>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</si>
  <si>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</si>
  <si>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</si>
  <si>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</si>
  <si>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</si>
  <si>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</si>
  <si>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</si>
  <si>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</si>
  <si>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</si>
  <si>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</si>
  <si>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</si>
  <si>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</si>
  <si>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</si>
  <si>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</si>
  <si>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</si>
  <si>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</si>
  <si>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</si>
  <si>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</si>
  <si>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</si>
  <si>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</si>
  <si>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</si>
  <si>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</si>
  <si>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</si>
  <si>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</si>
  <si>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</si>
  <si>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</si>
  <si>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</si>
  <si>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</si>
  <si>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</si>
  <si>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</si>
  <si>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</si>
  <si>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</si>
  <si>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</si>
  <si>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</si>
  <si>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</si>
  <si>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</si>
  <si>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</si>
  <si>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</si>
  <si>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</si>
  <si>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</si>
  <si>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</si>
  <si>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</si>
  <si>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</si>
  <si>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</si>
  <si>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</si>
  <si>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</si>
  <si>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</si>
  <si>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</si>
  <si>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</si>
  <si>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</si>
  <si>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</si>
  <si>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</si>
  <si>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</si>
  <si>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</si>
  <si>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</si>
  <si>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</si>
  <si>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</si>
  <si>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</si>
  <si>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</si>
  <si>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</si>
  <si>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</si>
  <si>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</si>
  <si>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</si>
  <si>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</si>
  <si>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</si>
  <si>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</si>
  <si>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</si>
  <si>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</si>
  <si>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</si>
  <si>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</si>
  <si>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</si>
  <si>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</si>
  <si>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</si>
  <si>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</si>
  <si>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17/8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</si>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</sst>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#,##0.0"/>
    <numFmt numFmtId="179" formatCode="&quot; &quot;* #,##0.00&quot; &quot;;&quot; &quot;* \(#,##0.00\);&quot; &quot;* &quot;-&quot;??&quot; &quot;"/>
    <numFmt numFmtId="180" formatCode="#,##0&quot; &quot;;\(#,##0\)"/>
  </numFmts>
  <fonts count="14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u/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Calibri"/>
      <charset val="134"/>
      <scheme val="minor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  <charset val="0"/>
    </font>
    <font>
      <sz val="11"/>
      <color theme="1"/>
      <name val="Calibri"/>
      <charset val="0"/>
      <scheme val="minor"/>
    </font>
    <font>
      <b/>
      <u/>
      <sz val="18"/>
      <name val="Times New Roman"/>
      <charset val="0"/>
    </font>
    <font>
      <sz val="18"/>
      <name val="Times New Roman"/>
      <charset val="0"/>
    </font>
    <font>
      <b/>
      <u/>
      <sz val="16"/>
      <name val="Times New Roman"/>
      <charset val="0"/>
    </font>
    <font>
      <b/>
      <sz val="12"/>
      <name val="Times New Roman"/>
      <charset val="0"/>
    </font>
    <font>
      <b/>
      <u/>
      <sz val="12"/>
      <name val="Times New Roman"/>
      <charset val="0"/>
    </font>
    <font>
      <b/>
      <sz val="12"/>
      <name val="Tahoma"/>
      <charset val="0"/>
    </font>
    <font>
      <b/>
      <u/>
      <sz val="11"/>
      <name val="Times New Roman"/>
      <charset val="0"/>
    </font>
    <font>
      <b/>
      <sz val="14"/>
      <name val="Times New Roman"/>
      <charset val="0"/>
    </font>
    <font>
      <b/>
      <u/>
      <sz val="14"/>
      <name val="Times New Roman"/>
      <charset val="0"/>
    </font>
    <font>
      <strike/>
      <sz val="14"/>
      <name val="Times New Roman"/>
      <charset val="0"/>
    </font>
    <font>
      <sz val="14"/>
      <color theme="1"/>
      <name val="Times New Roman"/>
      <charset val="0"/>
    </font>
    <font>
      <sz val="14"/>
      <color indexed="8"/>
      <name val="Times New Roman"/>
      <charset val="0"/>
    </font>
    <font>
      <sz val="14"/>
      <color rgb="FFFF0000"/>
      <name val="Times New Roman"/>
      <charset val="0"/>
    </font>
    <font>
      <b/>
      <u/>
      <sz val="14"/>
      <color theme="1"/>
      <name val="Times New Roman"/>
      <charset val="134"/>
    </font>
    <font>
      <sz val="11"/>
      <color theme="1"/>
      <name val="Times New Roman"/>
      <charset val="1"/>
    </font>
    <font>
      <u/>
      <sz val="11"/>
      <name val="Times New Roman"/>
      <charset val="134"/>
    </font>
    <font>
      <b/>
      <strike/>
      <sz val="10"/>
      <name val="Times New Roman"/>
      <charset val="134"/>
    </font>
    <font>
      <u/>
      <sz val="12"/>
      <name val="Times New Roman"/>
      <charset val="134"/>
    </font>
    <font>
      <sz val="11"/>
      <color indexed="8"/>
      <name val="Calibri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8"/>
      <color indexed="10"/>
      <name val="Tahoma"/>
      <charset val="134"/>
    </font>
    <font>
      <sz val="8"/>
      <color indexed="8"/>
      <name val="Tahoma"/>
      <charset val="134"/>
    </font>
    <font>
      <sz val="8"/>
      <name val="Arial"/>
      <charset val="134"/>
    </font>
    <font>
      <b/>
      <u/>
      <sz val="10"/>
      <color theme="1"/>
      <name val="Times New Roman"/>
      <charset val="134"/>
    </font>
    <font>
      <sz val="10"/>
      <name val="Times New Roman"/>
      <charset val="0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0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43" fillId="34" borderId="38" applyNumberFormat="0" applyFon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39" applyNumberFormat="0" applyFill="0" applyAlignment="0" applyProtection="0">
      <alignment vertical="center"/>
    </xf>
    <xf numFmtId="0" fontId="133" fillId="0" borderId="39" applyNumberFormat="0" applyFill="0" applyAlignment="0" applyProtection="0">
      <alignment vertical="center"/>
    </xf>
    <xf numFmtId="0" fontId="134" fillId="0" borderId="40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35" borderId="41" applyNumberFormat="0" applyAlignment="0" applyProtection="0">
      <alignment vertical="center"/>
    </xf>
    <xf numFmtId="0" fontId="136" fillId="36" borderId="42" applyNumberFormat="0" applyAlignment="0" applyProtection="0">
      <alignment vertical="center"/>
    </xf>
    <xf numFmtId="0" fontId="137" fillId="36" borderId="41" applyNumberFormat="0" applyAlignment="0" applyProtection="0">
      <alignment vertical="center"/>
    </xf>
    <xf numFmtId="0" fontId="138" fillId="37" borderId="43" applyNumberFormat="0" applyAlignment="0" applyProtection="0">
      <alignment vertical="center"/>
    </xf>
    <xf numFmtId="0" fontId="139" fillId="0" borderId="44" applyNumberFormat="0" applyFill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41" fillId="38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44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45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144" fillId="48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144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144" fillId="54" borderId="0" applyNumberFormat="0" applyBorder="0" applyAlignment="0" applyProtection="0">
      <alignment vertical="center"/>
    </xf>
    <xf numFmtId="0" fontId="144" fillId="55" borderId="0" applyNumberFormat="0" applyBorder="0" applyAlignment="0" applyProtection="0">
      <alignment vertical="center"/>
    </xf>
    <xf numFmtId="0" fontId="96" fillId="56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144" fillId="58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59" borderId="0" applyNumberFormat="0" applyBorder="0" applyAlignment="0" applyProtection="0">
      <alignment vertical="center"/>
    </xf>
    <xf numFmtId="0" fontId="144" fillId="60" borderId="0" applyNumberFormat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45" fillId="0" borderId="0" applyFont="0" applyFill="0" applyBorder="0" applyAlignment="0" applyProtection="0"/>
  </cellStyleXfs>
  <cellXfs count="119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9" fontId="6" fillId="4" borderId="2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3" fontId="1" fillId="4" borderId="1" xfId="1" applyFont="1" applyFill="1" applyBorder="1" applyAlignment="1">
      <alignment horizontal="right"/>
    </xf>
    <xf numFmtId="43" fontId="6" fillId="3" borderId="1" xfId="1" applyFont="1" applyFill="1" applyBorder="1" applyAlignment="1">
      <alignment horizontal="right"/>
    </xf>
    <xf numFmtId="43" fontId="1" fillId="0" borderId="1" xfId="1" applyFont="1" applyBorder="1" applyAlignment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1" xfId="0" applyFont="1" applyFill="1" applyBorder="1"/>
    <xf numFmtId="16" fontId="1" fillId="4" borderId="1" xfId="0" applyNumberFormat="1" applyFont="1" applyFill="1" applyBorder="1"/>
    <xf numFmtId="43" fontId="6" fillId="4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4" fontId="1" fillId="0" borderId="0" xfId="0" applyNumberFormat="1" applyFont="1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4" fontId="15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3" fontId="1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43" fontId="3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righ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43" fontId="21" fillId="0" borderId="1" xfId="1" applyFont="1" applyBorder="1"/>
    <xf numFmtId="43" fontId="21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3" fontId="23" fillId="0" borderId="1" xfId="1" applyFont="1" applyBorder="1"/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32" fillId="2" borderId="0" xfId="0" applyFont="1" applyFill="1"/>
    <xf numFmtId="0" fontId="32" fillId="2" borderId="0" xfId="0" applyFont="1" applyFill="1" applyAlignment="1">
      <alignment horizontal="left"/>
    </xf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3" fillId="0" borderId="0" xfId="0" applyNumberFormat="1" applyFont="1"/>
    <xf numFmtId="0" fontId="33" fillId="0" borderId="0" xfId="0" applyFont="1"/>
    <xf numFmtId="3" fontId="34" fillId="0" borderId="0" xfId="0" applyNumberFormat="1" applyFont="1"/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righ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3" fillId="0" borderId="1" xfId="0" applyFont="1" applyBorder="1"/>
    <xf numFmtId="3" fontId="32" fillId="0" borderId="1" xfId="0" applyNumberFormat="1" applyFont="1" applyBorder="1"/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3" fillId="9" borderId="0" xfId="0" applyFont="1" applyFill="1"/>
    <xf numFmtId="0" fontId="24" fillId="0" borderId="0" xfId="0" applyFont="1"/>
    <xf numFmtId="0" fontId="33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2" borderId="0" xfId="0" applyFont="1" applyFill="1"/>
    <xf numFmtId="0" fontId="0" fillId="2" borderId="0" xfId="0" applyFill="1"/>
    <xf numFmtId="0" fontId="1" fillId="4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43" fontId="1" fillId="4" borderId="1" xfId="1" applyFont="1" applyFill="1" applyBorder="1"/>
    <xf numFmtId="43" fontId="1" fillId="4" borderId="1" xfId="1" applyFont="1" applyFill="1" applyBorder="1" applyAlignment="1">
      <alignment horizontal="right" wrapText="1"/>
    </xf>
    <xf numFmtId="43" fontId="1" fillId="4" borderId="0" xfId="0" applyNumberFormat="1" applyFont="1" applyFill="1"/>
    <xf numFmtId="43" fontId="7" fillId="7" borderId="1" xfId="1" applyFont="1" applyFill="1" applyBorder="1" applyAlignment="1">
      <alignment horizontal="right"/>
    </xf>
    <xf numFmtId="4" fontId="7" fillId="2" borderId="0" xfId="0" applyNumberFormat="1" applyFont="1" applyFill="1" applyAlignment="1">
      <alignment horizontal="right" wrapText="1"/>
    </xf>
    <xf numFmtId="0" fontId="1" fillId="8" borderId="0" xfId="0" applyFont="1" applyFill="1"/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3" fontId="1" fillId="8" borderId="1" xfId="1" applyFont="1" applyFill="1" applyBorder="1" applyAlignment="1">
      <alignment horizontal="center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9" fontId="1" fillId="8" borderId="1" xfId="0" applyNumberFormat="1" applyFont="1" applyFill="1" applyBorder="1" applyAlignment="1">
      <alignment horizontal="left" wrapText="1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43" fontId="1" fillId="10" borderId="1" xfId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43" fontId="0" fillId="0" borderId="0" xfId="1" applyFont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3" fillId="0" borderId="0" xfId="0" applyNumberFormat="1" applyFont="1"/>
    <xf numFmtId="177" fontId="43" fillId="0" borderId="0" xfId="0" applyNumberFormat="1" applyFont="1"/>
    <xf numFmtId="43" fontId="44" fillId="0" borderId="1" xfId="1" applyFont="1" applyBorder="1"/>
    <xf numFmtId="0" fontId="43" fillId="0" borderId="0" xfId="0" applyFont="1"/>
    <xf numFmtId="43" fontId="42" fillId="0" borderId="2" xfId="1" applyFont="1" applyBorder="1" applyAlignment="1">
      <alignment horizontal="center" vertical="center"/>
    </xf>
    <xf numFmtId="43" fontId="45" fillId="2" borderId="1" xfId="1" applyFont="1" applyFill="1" applyBorder="1" applyAlignment="1">
      <alignment horizontal="right"/>
    </xf>
    <xf numFmtId="0" fontId="44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6" fillId="0" borderId="1" xfId="1" applyFont="1" applyBorder="1"/>
    <xf numFmtId="43" fontId="47" fillId="0" borderId="1" xfId="1" applyFont="1" applyBorder="1"/>
    <xf numFmtId="43" fontId="44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4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18" fillId="1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8" fillId="2" borderId="0" xfId="0" applyFont="1" applyFill="1"/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3" fontId="58" fillId="2" borderId="1" xfId="1" applyNumberFormat="1" applyFont="1" applyFill="1" applyBorder="1"/>
    <xf numFmtId="43" fontId="58" fillId="6" borderId="1" xfId="1" applyFont="1" applyFill="1" applyBorder="1"/>
    <xf numFmtId="4" fontId="0" fillId="2" borderId="0" xfId="0" applyNumberFormat="1" applyFill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0" fontId="0" fillId="6" borderId="0" xfId="0" applyFill="1"/>
    <xf numFmtId="43" fontId="58" fillId="5" borderId="1" xfId="1" applyFont="1" applyFill="1" applyBorder="1"/>
    <xf numFmtId="43" fontId="58" fillId="2" borderId="0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3" fontId="58" fillId="2" borderId="5" xfId="1" applyNumberFormat="1" applyFont="1" applyFill="1" applyBorder="1"/>
    <xf numFmtId="43" fontId="58" fillId="6" borderId="5" xfId="1" applyFont="1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2" borderId="1" xfId="1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8" fillId="0" borderId="0" xfId="0" applyFont="1"/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7" fillId="0" borderId="16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3" fontId="58" fillId="0" borderId="1" xfId="1" applyNumberFormat="1" applyFont="1" applyBorder="1"/>
    <xf numFmtId="43" fontId="58" fillId="15" borderId="1" xfId="1" applyFont="1" applyFill="1" applyBorder="1"/>
    <xf numFmtId="4" fontId="0" fillId="15" borderId="0" xfId="0" applyNumberFormat="1" applyFill="1"/>
    <xf numFmtId="43" fontId="58" fillId="4" borderId="1" xfId="1" applyFont="1" applyFill="1" applyBorder="1"/>
    <xf numFmtId="4" fontId="0" fillId="4" borderId="0" xfId="0" applyNumberFormat="1" applyFill="1"/>
    <xf numFmtId="0" fontId="58" fillId="8" borderId="1" xfId="0" applyFont="1" applyFill="1" applyBorder="1" applyAlignment="1">
      <alignment horizontal="center"/>
    </xf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4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4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177" fontId="5" fillId="11" borderId="4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43" fontId="5" fillId="14" borderId="2" xfId="1" applyFont="1" applyFill="1" applyBorder="1"/>
    <xf numFmtId="177" fontId="5" fillId="14" borderId="4" xfId="49" applyFont="1" applyFill="1" applyBorder="1"/>
    <xf numFmtId="0" fontId="1" fillId="14" borderId="2" xfId="0" applyFont="1" applyFill="1" applyBorder="1"/>
    <xf numFmtId="0" fontId="1" fillId="2" borderId="17" xfId="0" applyFont="1" applyFill="1" applyBorder="1"/>
    <xf numFmtId="0" fontId="1" fillId="11" borderId="4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2" borderId="4" xfId="0" applyNumberFormat="1" applyFont="1" applyFill="1" applyBorder="1"/>
    <xf numFmtId="43" fontId="21" fillId="14" borderId="2" xfId="0" applyNumberFormat="1" applyFont="1" applyFill="1" applyBorder="1"/>
    <xf numFmtId="43" fontId="21" fillId="11" borderId="4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9" fontId="19" fillId="2" borderId="1" xfId="0" applyNumberFormat="1" applyFont="1" applyFill="1" applyBorder="1" applyAlignment="1">
      <alignment wrapText="1"/>
    </xf>
    <xf numFmtId="43" fontId="19" fillId="0" borderId="1" xfId="1" applyFont="1" applyFill="1" applyBorder="1" applyAlignment="1">
      <alignment horizontal="right"/>
    </xf>
    <xf numFmtId="43" fontId="36" fillId="17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3" fontId="58" fillId="14" borderId="1" xfId="1" applyNumberFormat="1" applyFont="1" applyFill="1" applyBorder="1"/>
    <xf numFmtId="4" fontId="0" fillId="14" borderId="0" xfId="0" applyNumberForma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4" fontId="77" fillId="2" borderId="0" xfId="0" applyNumberFormat="1" applyFont="1" applyFill="1"/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3" fontId="81" fillId="13" borderId="1" xfId="1" applyFont="1" applyFill="1" applyBorder="1" applyAlignment="1">
      <alignment horizontal="right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3" fillId="2" borderId="1" xfId="1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3" fontId="64" fillId="19" borderId="1" xfId="0" applyNumberFormat="1" applyFont="1" applyFill="1" applyBorder="1"/>
    <xf numFmtId="0" fontId="83" fillId="2" borderId="1" xfId="0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0" fontId="64" fillId="2" borderId="1" xfId="0" applyFont="1" applyFill="1" applyBorder="1" applyAlignment="1"/>
    <xf numFmtId="4" fontId="18" fillId="2" borderId="1" xfId="0" applyNumberFormat="1" applyFont="1" applyFill="1" applyBorder="1" applyAlignment="1">
      <alignment horizontal="center"/>
    </xf>
    <xf numFmtId="0" fontId="64" fillId="4" borderId="1" xfId="0" applyFont="1" applyFill="1" applyBorder="1" applyAlignment="1"/>
    <xf numFmtId="4" fontId="5" fillId="0" borderId="0" xfId="1" applyNumberFormat="1" applyFont="1"/>
    <xf numFmtId="0" fontId="64" fillId="4" borderId="1" xfId="0" applyFont="1" applyFill="1" applyBorder="1" applyAlignment="1">
      <alignment wrapText="1"/>
    </xf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71" fillId="0" borderId="0" xfId="0" applyFont="1"/>
    <xf numFmtId="0" fontId="33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3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3" fillId="21" borderId="1" xfId="0" applyFont="1" applyFill="1" applyBorder="1" applyAlignment="1">
      <alignment horizontal="right" wrapText="1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3" fontId="91" fillId="2" borderId="1" xfId="1" applyFont="1" applyFill="1" applyBorder="1" applyAlignment="1">
      <alignment horizontal="right"/>
    </xf>
    <xf numFmtId="49" fontId="19" fillId="15" borderId="1" xfId="0" applyNumberFormat="1" applyFont="1" applyFill="1" applyBorder="1" applyAlignment="1">
      <alignment horizontal="left" wrapText="1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" fontId="92" fillId="2" borderId="1" xfId="1" applyNumberFormat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4" fontId="20" fillId="2" borderId="1" xfId="1" applyNumberFormat="1" applyFont="1" applyFill="1" applyBorder="1" applyAlignment="1">
      <alignment horizontal="right"/>
    </xf>
    <xf numFmtId="4" fontId="20" fillId="2" borderId="1" xfId="0" applyNumberFormat="1" applyFont="1" applyFill="1" applyBorder="1"/>
    <xf numFmtId="4" fontId="20" fillId="2" borderId="1" xfId="1" applyNumberFormat="1" applyFont="1" applyFill="1" applyBorder="1"/>
    <xf numFmtId="43" fontId="92" fillId="2" borderId="1" xfId="0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1" fillId="2" borderId="1" xfId="1" applyNumberFormat="1" applyFont="1" applyFill="1" applyBorder="1" applyAlignment="1">
      <alignment horizontal="right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4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1" fillId="2" borderId="4" xfId="1" applyFont="1" applyFill="1" applyBorder="1"/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75" fillId="2" borderId="4" xfId="1" applyFont="1" applyFill="1" applyBorder="1"/>
    <xf numFmtId="43" fontId="1" fillId="9" borderId="1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43" fontId="58" fillId="25" borderId="6" xfId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4" borderId="1" xfId="1" applyFont="1" applyFill="1" applyBorder="1"/>
    <xf numFmtId="0" fontId="35" fillId="2" borderId="1" xfId="0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0" fontId="90" fillId="14" borderId="1" xfId="0" applyFont="1" applyFill="1" applyBorder="1" applyAlignment="1">
      <alignment horizontal="center"/>
    </xf>
    <xf numFmtId="43" fontId="33" fillId="0" borderId="0" xfId="0" applyNumberFormat="1" applyFont="1"/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43" fontId="24" fillId="0" borderId="1" xfId="0" applyNumberFormat="1" applyFont="1" applyBorder="1"/>
    <xf numFmtId="0" fontId="81" fillId="2" borderId="1" xfId="0" applyFont="1" applyFill="1" applyBorder="1" applyAlignment="1">
      <alignment horizontal="center" vertical="center"/>
    </xf>
    <xf numFmtId="4" fontId="3" fillId="0" borderId="0" xfId="0" applyNumberFormat="1" applyFont="1"/>
    <xf numFmtId="0" fontId="96" fillId="0" borderId="0" xfId="0" applyFont="1" applyFill="1" applyBorder="1" applyAlignment="1"/>
    <xf numFmtId="0" fontId="97" fillId="2" borderId="0" xfId="0" applyFont="1" applyFill="1" applyBorder="1" applyAlignment="1"/>
    <xf numFmtId="0" fontId="98" fillId="2" borderId="0" xfId="0" applyFont="1" applyFill="1" applyBorder="1" applyAlignment="1"/>
    <xf numFmtId="0" fontId="99" fillId="2" borderId="0" xfId="0" applyFont="1" applyFill="1" applyBorder="1" applyAlignment="1"/>
    <xf numFmtId="0" fontId="95" fillId="2" borderId="0" xfId="0" applyFont="1" applyFill="1" applyBorder="1" applyAlignment="1"/>
    <xf numFmtId="0" fontId="100" fillId="2" borderId="1" xfId="0" applyFont="1" applyFill="1" applyBorder="1" applyAlignment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0" borderId="1" xfId="0" applyFont="1" applyFill="1" applyBorder="1" applyAlignment="1">
      <alignment horizontal="center"/>
    </xf>
    <xf numFmtId="17" fontId="102" fillId="0" borderId="1" xfId="0" applyNumberFormat="1" applyFont="1" applyFill="1" applyBorder="1" applyAlignment="1">
      <alignment horizontal="center" wrapText="1"/>
    </xf>
    <xf numFmtId="0" fontId="103" fillId="2" borderId="1" xfId="0" applyFont="1" applyFill="1" applyBorder="1" applyAlignment="1">
      <alignment horizontal="center" wrapText="1"/>
    </xf>
    <xf numFmtId="0" fontId="104" fillId="2" borderId="1" xfId="0" applyFont="1" applyFill="1" applyBorder="1" applyAlignment="1"/>
    <xf numFmtId="0" fontId="105" fillId="2" borderId="1" xfId="0" applyFont="1" applyFill="1" applyBorder="1" applyAlignment="1">
      <alignment horizontal="left"/>
    </xf>
    <xf numFmtId="0" fontId="105" fillId="2" borderId="1" xfId="0" applyFont="1" applyFill="1" applyBorder="1" applyAlignment="1">
      <alignment horizontal="left" wrapText="1"/>
    </xf>
    <xf numFmtId="0" fontId="105" fillId="28" borderId="1" xfId="0" applyFont="1" applyFill="1" applyBorder="1" applyAlignment="1">
      <alignment horizontal="left" wrapText="1"/>
    </xf>
    <xf numFmtId="0" fontId="95" fillId="2" borderId="1" xfId="0" applyFont="1" applyFill="1" applyBorder="1" applyAlignment="1"/>
    <xf numFmtId="0" fontId="106" fillId="2" borderId="1" xfId="0" applyFont="1" applyFill="1" applyBorder="1" applyAlignment="1">
      <alignment horizontal="center"/>
    </xf>
    <xf numFmtId="0" fontId="106" fillId="28" borderId="1" xfId="0" applyFont="1" applyFill="1" applyBorder="1" applyAlignment="1">
      <alignment horizontal="center"/>
    </xf>
    <xf numFmtId="49" fontId="95" fillId="4" borderId="1" xfId="0" applyNumberFormat="1" applyFont="1" applyFill="1" applyBorder="1" applyAlignment="1">
      <alignment wrapText="1"/>
    </xf>
    <xf numFmtId="0" fontId="95" fillId="0" borderId="1" xfId="0" applyFont="1" applyFill="1" applyBorder="1" applyAlignment="1"/>
    <xf numFmtId="43" fontId="107" fillId="0" borderId="1" xfId="1" applyFont="1" applyBorder="1"/>
    <xf numFmtId="4" fontId="107" fillId="0" borderId="1" xfId="1" applyNumberFormat="1" applyFont="1" applyFill="1" applyBorder="1" applyAlignment="1">
      <alignment horizontal="right"/>
    </xf>
    <xf numFmtId="4" fontId="108" fillId="2" borderId="18" xfId="0" applyNumberFormat="1" applyFont="1" applyFill="1" applyBorder="1" applyAlignment="1">
      <alignment horizontal="right"/>
    </xf>
    <xf numFmtId="4" fontId="108" fillId="2" borderId="1" xfId="0" applyNumberFormat="1" applyFont="1" applyFill="1" applyBorder="1" applyAlignment="1">
      <alignment horizontal="right"/>
    </xf>
    <xf numFmtId="43" fontId="95" fillId="2" borderId="1" xfId="1" applyFont="1" applyFill="1" applyBorder="1" applyAlignment="1">
      <alignment horizontal="right"/>
    </xf>
    <xf numFmtId="4" fontId="108" fillId="28" borderId="18" xfId="0" applyNumberFormat="1" applyFont="1" applyFill="1" applyBorder="1" applyAlignment="1">
      <alignment horizontal="right"/>
    </xf>
    <xf numFmtId="43" fontId="107" fillId="2" borderId="1" xfId="1" applyFont="1" applyFill="1" applyBorder="1"/>
    <xf numFmtId="4" fontId="107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43" fontId="107" fillId="2" borderId="1" xfId="1" applyFont="1" applyFill="1" applyBorder="1" applyAlignment="1">
      <alignment horizontal="right"/>
    </xf>
    <xf numFmtId="43" fontId="107" fillId="2" borderId="18" xfId="1" applyFont="1" applyFill="1" applyBorder="1" applyAlignment="1">
      <alignment horizontal="right"/>
    </xf>
    <xf numFmtId="0" fontId="109" fillId="2" borderId="1" xfId="0" applyFont="1" applyFill="1" applyBorder="1" applyAlignment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 applyAlignment="1"/>
    <xf numFmtId="43" fontId="95" fillId="2" borderId="18" xfId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110" fillId="0" borderId="0" xfId="0" applyFont="1" applyAlignment="1">
      <alignment horizontal="center"/>
    </xf>
    <xf numFmtId="0" fontId="83" fillId="0" borderId="1" xfId="0" applyFont="1" applyBorder="1" applyAlignment="1">
      <alignment horizontal="center" wrapText="1"/>
    </xf>
    <xf numFmtId="0" fontId="35" fillId="29" borderId="1" xfId="0" applyFont="1" applyFill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0" fontId="31" fillId="4" borderId="1" xfId="0" applyFont="1" applyFill="1" applyBorder="1" applyAlignment="1">
      <alignment wrapText="1"/>
    </xf>
    <xf numFmtId="4" fontId="36" fillId="29" borderId="1" xfId="0" applyNumberFormat="1" applyFont="1" applyFill="1" applyBorder="1" applyAlignment="1">
      <alignment wrapText="1"/>
    </xf>
    <xf numFmtId="0" fontId="111" fillId="0" borderId="0" xfId="0" applyFont="1"/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Fill="1" applyBorder="1" applyAlignment="1"/>
    <xf numFmtId="0" fontId="64" fillId="0" borderId="1" xfId="0" applyFont="1" applyFill="1" applyBorder="1" applyAlignment="1">
      <alignment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178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3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0" fontId="81" fillId="0" borderId="0" xfId="0" applyFont="1"/>
    <xf numFmtId="0" fontId="16" fillId="0" borderId="1" xfId="0" applyFont="1" applyBorder="1" applyAlignment="1">
      <alignment horizontal="center"/>
    </xf>
    <xf numFmtId="43" fontId="7" fillId="21" borderId="1" xfId="1" applyFont="1" applyFill="1" applyBorder="1" applyAlignment="1">
      <alignment horizontal="right"/>
    </xf>
    <xf numFmtId="43" fontId="64" fillId="0" borderId="1" xfId="1" applyFont="1" applyBorder="1"/>
    <xf numFmtId="43" fontId="36" fillId="2" borderId="1" xfId="1" applyFont="1" applyFill="1" applyBorder="1" applyAlignment="1">
      <alignment horizontal="right"/>
    </xf>
    <xf numFmtId="43" fontId="91" fillId="2" borderId="1" xfId="0" applyNumberFormat="1" applyFont="1" applyFill="1" applyBorder="1"/>
    <xf numFmtId="43" fontId="112" fillId="2" borderId="1" xfId="1" applyFont="1" applyFill="1" applyBorder="1" applyAlignment="1">
      <alignment horizontal="right"/>
    </xf>
    <xf numFmtId="43" fontId="64" fillId="2" borderId="1" xfId="1" applyFont="1" applyFill="1" applyBorder="1"/>
    <xf numFmtId="43" fontId="22" fillId="2" borderId="1" xfId="1" applyFont="1" applyFill="1" applyBorder="1" applyAlignment="1">
      <alignment horizontal="right"/>
    </xf>
    <xf numFmtId="43" fontId="1" fillId="26" borderId="1" xfId="1" applyFont="1" applyFill="1" applyBorder="1" applyAlignment="1">
      <alignment horizontal="right"/>
    </xf>
    <xf numFmtId="49" fontId="1" fillId="26" borderId="1" xfId="0" applyNumberFormat="1" applyFont="1" applyFill="1" applyBorder="1" applyAlignment="1">
      <alignment horizontal="center"/>
    </xf>
    <xf numFmtId="43" fontId="7" fillId="30" borderId="1" xfId="1" applyFont="1" applyFill="1" applyBorder="1" applyAlignment="1">
      <alignment horizontal="right"/>
    </xf>
    <xf numFmtId="0" fontId="16" fillId="23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2" borderId="1" xfId="0" applyFont="1" applyFill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13" fillId="22" borderId="1" xfId="0" applyFont="1" applyFill="1" applyBorder="1" applyAlignment="1">
      <alignment horizontal="center"/>
    </xf>
    <xf numFmtId="4" fontId="19" fillId="22" borderId="1" xfId="0" applyNumberFormat="1" applyFont="1" applyFill="1" applyBorder="1"/>
    <xf numFmtId="4" fontId="114" fillId="0" borderId="1" xfId="0" applyNumberFormat="1" applyFont="1" applyBorder="1"/>
    <xf numFmtId="0" fontId="19" fillId="31" borderId="1" xfId="0" applyFont="1" applyFill="1" applyBorder="1"/>
    <xf numFmtId="0" fontId="3" fillId="31" borderId="1" xfId="0" applyFont="1" applyFill="1" applyBorder="1"/>
    <xf numFmtId="4" fontId="94" fillId="31" borderId="1" xfId="0" applyNumberFormat="1" applyFont="1" applyFill="1" applyBorder="1"/>
    <xf numFmtId="0" fontId="3" fillId="27" borderId="1" xfId="0" applyFont="1" applyFill="1" applyBorder="1" applyAlignment="1">
      <alignment horizontal="center"/>
    </xf>
    <xf numFmtId="0" fontId="113" fillId="27" borderId="1" xfId="0" applyFont="1" applyFill="1" applyBorder="1" applyAlignment="1">
      <alignment horizontal="center"/>
    </xf>
    <xf numFmtId="4" fontId="3" fillId="27" borderId="1" xfId="0" applyNumberFormat="1" applyFont="1" applyFill="1" applyBorder="1"/>
    <xf numFmtId="0" fontId="20" fillId="2" borderId="1" xfId="0" applyFont="1" applyFill="1" applyBorder="1"/>
    <xf numFmtId="0" fontId="18" fillId="25" borderId="1" xfId="0" applyFont="1" applyFill="1" applyBorder="1" applyAlignment="1">
      <alignment horizontal="center"/>
    </xf>
    <xf numFmtId="0" fontId="115" fillId="0" borderId="0" xfId="0" applyNumberFormat="1" applyFont="1" applyAlignment="1"/>
    <xf numFmtId="49" fontId="116" fillId="32" borderId="19" xfId="0" applyNumberFormat="1" applyFont="1" applyFill="1" applyBorder="1" applyAlignment="1"/>
    <xf numFmtId="179" fontId="116" fillId="32" borderId="19" xfId="0" applyNumberFormat="1" applyFont="1" applyFill="1" applyBorder="1" applyAlignment="1"/>
    <xf numFmtId="179" fontId="115" fillId="32" borderId="19" xfId="0" applyNumberFormat="1" applyFont="1" applyFill="1" applyBorder="1" applyAlignment="1"/>
    <xf numFmtId="0" fontId="116" fillId="32" borderId="19" xfId="0" applyFont="1" applyFill="1" applyBorder="1" applyAlignment="1"/>
    <xf numFmtId="179" fontId="117" fillId="32" borderId="19" xfId="0" applyNumberFormat="1" applyFont="1" applyFill="1" applyBorder="1" applyAlignment="1"/>
    <xf numFmtId="0" fontId="117" fillId="32" borderId="19" xfId="0" applyNumberFormat="1" applyFont="1" applyFill="1" applyBorder="1" applyAlignment="1"/>
    <xf numFmtId="49" fontId="118" fillId="33" borderId="20" xfId="0" applyNumberFormat="1" applyFont="1" applyFill="1" applyBorder="1" applyAlignment="1">
      <alignment horizontal="center"/>
    </xf>
    <xf numFmtId="0" fontId="118" fillId="33" borderId="21" xfId="0" applyFont="1" applyFill="1" applyBorder="1" applyAlignment="1">
      <alignment horizontal="center"/>
    </xf>
    <xf numFmtId="0" fontId="118" fillId="33" borderId="22" xfId="0" applyFont="1" applyFill="1" applyBorder="1" applyAlignment="1">
      <alignment horizontal="center"/>
    </xf>
    <xf numFmtId="49" fontId="117" fillId="32" borderId="23" xfId="0" applyNumberFormat="1" applyFont="1" applyFill="1" applyBorder="1" applyAlignment="1"/>
    <xf numFmtId="49" fontId="116" fillId="32" borderId="24" xfId="0" applyNumberFormat="1" applyFont="1" applyFill="1" applyBorder="1" applyAlignment="1"/>
    <xf numFmtId="49" fontId="116" fillId="32" borderId="25" xfId="0" applyNumberFormat="1" applyFont="1" applyFill="1" applyBorder="1" applyAlignment="1"/>
    <xf numFmtId="49" fontId="116" fillId="33" borderId="19" xfId="0" applyNumberFormat="1" applyFont="1" applyFill="1" applyBorder="1" applyAlignment="1">
      <alignment horizontal="center" vertical="center" wrapText="1"/>
    </xf>
    <xf numFmtId="49" fontId="116" fillId="33" borderId="19" xfId="0" applyNumberFormat="1" applyFont="1" applyFill="1" applyBorder="1" applyAlignment="1">
      <alignment horizontal="center"/>
    </xf>
    <xf numFmtId="49" fontId="116" fillId="33" borderId="19" xfId="0" applyNumberFormat="1" applyFont="1" applyFill="1" applyBorder="1" applyAlignment="1"/>
    <xf numFmtId="49" fontId="116" fillId="32" borderId="26" xfId="0" applyNumberFormat="1" applyFont="1" applyFill="1" applyBorder="1" applyAlignment="1">
      <alignment horizontal="center" wrapText="1"/>
    </xf>
    <xf numFmtId="49" fontId="118" fillId="32" borderId="26" xfId="0" applyNumberFormat="1" applyFont="1" applyFill="1" applyBorder="1" applyAlignment="1">
      <alignment horizontal="center" wrapText="1"/>
    </xf>
    <xf numFmtId="49" fontId="116" fillId="32" borderId="19" xfId="0" applyNumberFormat="1" applyFont="1" applyFill="1" applyBorder="1" applyAlignment="1">
      <alignment horizontal="center" wrapText="1"/>
    </xf>
    <xf numFmtId="179" fontId="116" fillId="33" borderId="19" xfId="0" applyNumberFormat="1" applyFont="1" applyFill="1" applyBorder="1" applyAlignment="1">
      <alignment horizontal="center" vertical="center" wrapText="1"/>
    </xf>
    <xf numFmtId="49" fontId="116" fillId="33" borderId="19" xfId="0" applyNumberFormat="1" applyFont="1" applyFill="1" applyBorder="1" applyAlignment="1">
      <alignment horizontal="center" wrapText="1"/>
    </xf>
    <xf numFmtId="179" fontId="116" fillId="32" borderId="27" xfId="0" applyNumberFormat="1" applyFont="1" applyFill="1" applyBorder="1" applyAlignment="1">
      <alignment horizontal="center" wrapText="1"/>
    </xf>
    <xf numFmtId="179" fontId="118" fillId="32" borderId="28" xfId="0" applyNumberFormat="1" applyFont="1" applyFill="1" applyBorder="1" applyAlignment="1">
      <alignment horizontal="center" wrapText="1"/>
    </xf>
    <xf numFmtId="179" fontId="116" fillId="32" borderId="19" xfId="0" applyNumberFormat="1" applyFont="1" applyFill="1" applyBorder="1" applyAlignment="1">
      <alignment horizontal="center" wrapText="1"/>
    </xf>
    <xf numFmtId="0" fontId="115" fillId="32" borderId="19" xfId="0" applyFont="1" applyFill="1" applyBorder="1" applyAlignment="1"/>
    <xf numFmtId="49" fontId="116" fillId="32" borderId="19" xfId="0" applyNumberFormat="1" applyFont="1" applyFill="1" applyBorder="1" applyAlignment="1">
      <alignment vertical="top" wrapText="1"/>
    </xf>
    <xf numFmtId="179" fontId="116" fillId="32" borderId="19" xfId="0" applyNumberFormat="1" applyFont="1" applyFill="1" applyBorder="1" applyAlignment="1">
      <alignment horizontal="center"/>
    </xf>
    <xf numFmtId="49" fontId="118" fillId="32" borderId="19" xfId="0" applyNumberFormat="1" applyFont="1" applyFill="1" applyBorder="1" applyAlignment="1">
      <alignment horizontal="center" vertical="top" wrapText="1"/>
    </xf>
    <xf numFmtId="49" fontId="116" fillId="32" borderId="19" xfId="0" applyNumberFormat="1" applyFont="1" applyFill="1" applyBorder="1" applyAlignment="1">
      <alignment horizontal="center" vertical="top" wrapText="1"/>
    </xf>
    <xf numFmtId="179" fontId="116" fillId="32" borderId="19" xfId="0" applyNumberFormat="1" applyFont="1" applyFill="1" applyBorder="1" applyAlignment="1">
      <alignment horizontal="center" vertical="top" wrapText="1"/>
    </xf>
    <xf numFmtId="179" fontId="118" fillId="32" borderId="27" xfId="0" applyNumberFormat="1" applyFont="1" applyFill="1" applyBorder="1" applyAlignment="1">
      <alignment horizontal="center" wrapText="1"/>
    </xf>
    <xf numFmtId="179" fontId="116" fillId="32" borderId="29" xfId="0" applyNumberFormat="1" applyFont="1" applyFill="1" applyBorder="1" applyAlignment="1">
      <alignment horizontal="center"/>
    </xf>
    <xf numFmtId="49" fontId="116" fillId="32" borderId="1" xfId="0" applyNumberFormat="1" applyFont="1" applyFill="1" applyBorder="1" applyAlignment="1">
      <alignment vertical="top" wrapText="1"/>
    </xf>
    <xf numFmtId="49" fontId="116" fillId="32" borderId="1" xfId="0" applyNumberFormat="1" applyFont="1" applyFill="1" applyBorder="1" applyAlignment="1">
      <alignment horizontal="center" vertical="top" wrapText="1"/>
    </xf>
    <xf numFmtId="179" fontId="116" fillId="32" borderId="1" xfId="0" applyNumberFormat="1" applyFont="1" applyFill="1" applyBorder="1" applyAlignment="1">
      <alignment horizontal="center" vertical="top" wrapText="1"/>
    </xf>
    <xf numFmtId="179" fontId="116" fillId="32" borderId="30" xfId="0" applyNumberFormat="1" applyFont="1" applyFill="1" applyBorder="1" applyAlignment="1">
      <alignment horizontal="center"/>
    </xf>
    <xf numFmtId="179" fontId="116" fillId="32" borderId="31" xfId="0" applyNumberFormat="1" applyFont="1" applyFill="1" applyBorder="1" applyAlignment="1">
      <alignment horizontal="center"/>
    </xf>
    <xf numFmtId="0" fontId="119" fillId="32" borderId="19" xfId="0" applyNumberFormat="1" applyFont="1" applyFill="1" applyBorder="1" applyAlignment="1">
      <alignment horizontal="right"/>
    </xf>
    <xf numFmtId="1" fontId="115" fillId="32" borderId="19" xfId="0" applyNumberFormat="1" applyFont="1" applyFill="1" applyBorder="1" applyAlignment="1"/>
    <xf numFmtId="4" fontId="58" fillId="2" borderId="1" xfId="1" applyNumberFormat="1" applyFont="1" applyFill="1" applyBorder="1"/>
    <xf numFmtId="180" fontId="115" fillId="32" borderId="19" xfId="0" applyNumberFormat="1" applyFont="1" applyFill="1" applyBorder="1" applyAlignment="1">
      <alignment horizontal="center" vertical="center"/>
    </xf>
    <xf numFmtId="179" fontId="115" fillId="32" borderId="32" xfId="0" applyNumberFormat="1" applyFont="1" applyFill="1" applyBorder="1" applyAlignment="1"/>
    <xf numFmtId="179" fontId="115" fillId="32" borderId="33" xfId="0" applyNumberFormat="1" applyFont="1" applyFill="1" applyBorder="1" applyAlignment="1"/>
    <xf numFmtId="4" fontId="31" fillId="2" borderId="1" xfId="51" applyNumberFormat="1" applyFont="1" applyFill="1" applyBorder="1" applyAlignment="1">
      <alignment horizontal="right"/>
    </xf>
    <xf numFmtId="0" fontId="119" fillId="32" borderId="34" xfId="0" applyNumberFormat="1" applyFont="1" applyFill="1" applyBorder="1" applyAlignment="1">
      <alignment horizontal="right"/>
    </xf>
    <xf numFmtId="0" fontId="115" fillId="32" borderId="34" xfId="0" applyFont="1" applyFill="1" applyBorder="1" applyAlignment="1"/>
    <xf numFmtId="179" fontId="115" fillId="32" borderId="34" xfId="0" applyNumberFormat="1" applyFont="1" applyFill="1" applyBorder="1" applyAlignment="1"/>
    <xf numFmtId="179" fontId="115" fillId="32" borderId="35" xfId="0" applyNumberFormat="1" applyFont="1" applyFill="1" applyBorder="1" applyAlignment="1"/>
    <xf numFmtId="0" fontId="119" fillId="32" borderId="1" xfId="0" applyNumberFormat="1" applyFont="1" applyFill="1" applyBorder="1" applyAlignment="1">
      <alignment horizontal="right"/>
    </xf>
    <xf numFmtId="0" fontId="115" fillId="0" borderId="1" xfId="0" applyNumberFormat="1" applyFont="1" applyBorder="1" applyAlignment="1"/>
    <xf numFmtId="0" fontId="115" fillId="0" borderId="36" xfId="0" applyNumberFormat="1" applyFont="1" applyBorder="1" applyAlignment="1"/>
    <xf numFmtId="0" fontId="0" fillId="0" borderId="36" xfId="0" applyBorder="1"/>
    <xf numFmtId="0" fontId="119" fillId="32" borderId="5" xfId="0" applyNumberFormat="1" applyFont="1" applyFill="1" applyBorder="1" applyAlignment="1">
      <alignment horizontal="right"/>
    </xf>
    <xf numFmtId="49" fontId="81" fillId="2" borderId="5" xfId="0" applyNumberFormat="1" applyFont="1" applyFill="1" applyBorder="1" applyAlignment="1">
      <alignment horizontal="left" wrapText="1"/>
    </xf>
    <xf numFmtId="0" fontId="0" fillId="0" borderId="5" xfId="0" applyBorder="1"/>
    <xf numFmtId="0" fontId="0" fillId="0" borderId="37" xfId="0" applyBorder="1"/>
    <xf numFmtId="180" fontId="115" fillId="32" borderId="26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180" fontId="115" fillId="32" borderId="36" xfId="0" applyNumberFormat="1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/>
    </xf>
    <xf numFmtId="49" fontId="33" fillId="2" borderId="1" xfId="0" applyNumberFormat="1" applyFont="1" applyFill="1" applyBorder="1" applyAlignment="1">
      <alignment horizontal="left" wrapText="1"/>
    </xf>
    <xf numFmtId="49" fontId="36" fillId="2" borderId="1" xfId="0" applyNumberFormat="1" applyFont="1" applyFill="1" applyBorder="1" applyAlignment="1">
      <alignment wrapText="1"/>
    </xf>
    <xf numFmtId="4" fontId="94" fillId="0" borderId="1" xfId="0" applyNumberFormat="1" applyFont="1" applyBorder="1"/>
    <xf numFmtId="43" fontId="5" fillId="9" borderId="1" xfId="1" applyFont="1" applyFill="1" applyBorder="1"/>
    <xf numFmtId="1" fontId="0" fillId="2" borderId="0" xfId="0" applyNumberFormat="1" applyFill="1"/>
    <xf numFmtId="1" fontId="57" fillId="2" borderId="0" xfId="0" applyNumberFormat="1" applyFont="1" applyFill="1" applyAlignment="1">
      <alignment horizontal="center"/>
    </xf>
    <xf numFmtId="1" fontId="57" fillId="2" borderId="0" xfId="0" applyNumberFormat="1" applyFont="1" applyFill="1" applyAlignment="1">
      <alignment horizontal="center" wrapText="1"/>
    </xf>
    <xf numFmtId="1" fontId="57" fillId="2" borderId="15" xfId="0" applyNumberFormat="1" applyFont="1" applyFill="1" applyBorder="1" applyAlignment="1">
      <alignment wrapText="1"/>
    </xf>
    <xf numFmtId="0" fontId="57" fillId="9" borderId="15" xfId="0" applyFont="1" applyFill="1" applyBorder="1" applyAlignment="1">
      <alignment horizontal="right" wrapText="1"/>
    </xf>
    <xf numFmtId="1" fontId="58" fillId="2" borderId="1" xfId="0" applyNumberFormat="1" applyFont="1" applyFill="1" applyBorder="1" applyAlignment="1">
      <alignment horizontal="center" wrapText="1"/>
    </xf>
    <xf numFmtId="43" fontId="58" fillId="9" borderId="1" xfId="1" applyFont="1" applyFill="1" applyBorder="1"/>
    <xf numFmtId="4" fontId="59" fillId="2" borderId="1" xfId="1" applyNumberFormat="1" applyFont="1" applyFill="1" applyBorder="1" applyAlignment="1">
      <alignment vertical="center"/>
    </xf>
    <xf numFmtId="4" fontId="58" fillId="9" borderId="1" xfId="1" applyNumberFormat="1" applyFont="1" applyFill="1" applyBorder="1"/>
    <xf numFmtId="43" fontId="0" fillId="2" borderId="0" xfId="0" applyNumberFormat="1" applyFill="1"/>
    <xf numFmtId="4" fontId="120" fillId="2" borderId="0" xfId="0" applyNumberFormat="1" applyFont="1" applyFill="1"/>
    <xf numFmtId="0" fontId="120" fillId="2" borderId="0" xfId="0" applyFont="1" applyFill="1"/>
    <xf numFmtId="0" fontId="58" fillId="25" borderId="1" xfId="0" applyFont="1" applyFill="1" applyBorder="1" applyAlignment="1">
      <alignment horizontal="center"/>
    </xf>
    <xf numFmtId="49" fontId="19" fillId="25" borderId="1" xfId="0" applyNumberFormat="1" applyFont="1" applyFill="1" applyBorder="1" applyAlignment="1">
      <alignment wrapText="1"/>
    </xf>
    <xf numFmtId="4" fontId="59" fillId="25" borderId="1" xfId="1" applyNumberFormat="1" applyFont="1" applyFill="1" applyBorder="1" applyAlignment="1">
      <alignment vertical="center"/>
    </xf>
    <xf numFmtId="1" fontId="58" fillId="25" borderId="1" xfId="0" applyNumberFormat="1" applyFont="1" applyFill="1" applyBorder="1" applyAlignment="1">
      <alignment horizontal="center" wrapText="1"/>
    </xf>
    <xf numFmtId="4" fontId="58" fillId="25" borderId="1" xfId="1" applyNumberFormat="1" applyFont="1" applyFill="1" applyBorder="1"/>
    <xf numFmtId="3" fontId="58" fillId="25" borderId="1" xfId="1" applyNumberFormat="1" applyFont="1" applyFill="1" applyBorder="1"/>
    <xf numFmtId="4" fontId="31" fillId="25" borderId="1" xfId="0" applyNumberFormat="1" applyFont="1" applyFill="1" applyBorder="1"/>
    <xf numFmtId="4" fontId="31" fillId="25" borderId="0" xfId="0" applyNumberFormat="1" applyFont="1" applyFill="1"/>
    <xf numFmtId="4" fontId="0" fillId="25" borderId="0" xfId="0" applyNumberFormat="1" applyFill="1"/>
    <xf numFmtId="49" fontId="19" fillId="25" borderId="1" xfId="0" applyNumberFormat="1" applyFont="1" applyFill="1" applyBorder="1" applyAlignment="1">
      <alignment horizontal="left" wrapText="1"/>
    </xf>
    <xf numFmtId="4" fontId="31" fillId="25" borderId="1" xfId="51" applyNumberFormat="1" applyFont="1" applyFill="1" applyBorder="1" applyAlignment="1">
      <alignment horizontal="right"/>
    </xf>
    <xf numFmtId="0" fontId="58" fillId="9" borderId="1" xfId="0" applyFont="1" applyFill="1" applyBorder="1" applyAlignment="1">
      <alignment horizontal="center"/>
    </xf>
    <xf numFmtId="49" fontId="19" fillId="9" borderId="1" xfId="0" applyNumberFormat="1" applyFont="1" applyFill="1" applyBorder="1" applyAlignment="1">
      <alignment horizontal="left" wrapText="1"/>
    </xf>
    <xf numFmtId="1" fontId="58" fillId="9" borderId="1" xfId="0" applyNumberFormat="1" applyFont="1" applyFill="1" applyBorder="1" applyAlignment="1">
      <alignment horizontal="center" wrapText="1"/>
    </xf>
    <xf numFmtId="4" fontId="31" fillId="9" borderId="1" xfId="51" applyNumberFormat="1" applyFont="1" applyFill="1" applyBorder="1" applyAlignment="1">
      <alignment horizontal="right"/>
    </xf>
    <xf numFmtId="3" fontId="58" fillId="9" borderId="1" xfId="1" applyNumberFormat="1" applyFont="1" applyFill="1" applyBorder="1"/>
    <xf numFmtId="4" fontId="31" fillId="9" borderId="1" xfId="0" applyNumberFormat="1" applyFont="1" applyFill="1" applyBorder="1"/>
    <xf numFmtId="4" fontId="31" fillId="9" borderId="0" xfId="0" applyNumberFormat="1" applyFont="1" applyFill="1"/>
    <xf numFmtId="4" fontId="0" fillId="9" borderId="0" xfId="0" applyNumberFormat="1" applyFill="1"/>
    <xf numFmtId="4" fontId="121" fillId="2" borderId="1" xfId="1" applyNumberFormat="1" applyFont="1" applyFill="1" applyBorder="1"/>
    <xf numFmtId="1" fontId="121" fillId="2" borderId="1" xfId="1" applyNumberFormat="1" applyFont="1" applyFill="1" applyBorder="1"/>
    <xf numFmtId="4" fontId="121" fillId="9" borderId="1" xfId="1" applyNumberFormat="1" applyFont="1" applyFill="1" applyBorder="1"/>
    <xf numFmtId="49" fontId="19" fillId="9" borderId="1" xfId="0" applyNumberFormat="1" applyFont="1" applyFill="1" applyBorder="1" applyAlignment="1">
      <alignment wrapText="1"/>
    </xf>
    <xf numFmtId="4" fontId="33" fillId="2" borderId="1" xfId="1" applyNumberFormat="1" applyFont="1" applyFill="1" applyBorder="1"/>
    <xf numFmtId="1" fontId="33" fillId="2" borderId="1" xfId="1" applyNumberFormat="1" applyFont="1" applyFill="1" applyBorder="1"/>
    <xf numFmtId="4" fontId="33" fillId="9" borderId="1" xfId="1" applyNumberFormat="1" applyFont="1" applyFill="1" applyBorder="1"/>
    <xf numFmtId="4" fontId="58" fillId="9" borderId="1" xfId="0" applyNumberFormat="1" applyFont="1" applyFill="1" applyBorder="1"/>
    <xf numFmtId="4" fontId="58" fillId="25" borderId="1" xfId="0" applyNumberFormat="1" applyFont="1" applyFill="1" applyBorder="1"/>
    <xf numFmtId="4" fontId="58" fillId="2" borderId="4" xfId="0" applyNumberFormat="1" applyFont="1" applyFill="1" applyBorder="1"/>
    <xf numFmtId="4" fontId="121" fillId="2" borderId="4" xfId="1" applyNumberFormat="1" applyFont="1" applyFill="1" applyBorder="1"/>
    <xf numFmtId="4" fontId="122" fillId="9" borderId="1" xfId="1" applyNumberFormat="1" applyFont="1" applyFill="1" applyBorder="1" applyAlignment="1">
      <alignment horizontal="right"/>
    </xf>
    <xf numFmtId="4" fontId="31" fillId="2" borderId="4" xfId="51" applyNumberFormat="1" applyFont="1" applyFill="1" applyBorder="1" applyAlignment="1">
      <alignment horizontal="right"/>
    </xf>
    <xf numFmtId="4" fontId="31" fillId="2" borderId="0" xfId="51" applyNumberFormat="1" applyFont="1" applyFill="1" applyAlignment="1">
      <alignment horizontal="right"/>
    </xf>
    <xf numFmtId="4" fontId="57" fillId="2" borderId="1" xfId="1" applyNumberFormat="1" applyFont="1" applyFill="1" applyBorder="1"/>
    <xf numFmtId="1" fontId="57" fillId="2" borderId="1" xfId="1" applyNumberFormat="1" applyFont="1" applyFill="1" applyBorder="1"/>
    <xf numFmtId="4" fontId="57" fillId="9" borderId="1" xfId="1" applyNumberFormat="1" applyFont="1" applyFill="1" applyBorder="1"/>
    <xf numFmtId="4" fontId="58" fillId="2" borderId="0" xfId="1" applyNumberFormat="1" applyFont="1" applyFill="1"/>
    <xf numFmtId="4" fontId="31" fillId="2" borderId="5" xfId="51" applyNumberFormat="1" applyFont="1" applyFill="1" applyBorder="1" applyAlignment="1">
      <alignment horizontal="right"/>
    </xf>
    <xf numFmtId="0" fontId="58" fillId="2" borderId="5" xfId="0" applyFont="1" applyFill="1" applyBorder="1" applyAlignment="1">
      <alignment horizontal="center"/>
    </xf>
    <xf numFmtId="49" fontId="19" fillId="2" borderId="5" xfId="0" applyNumberFormat="1" applyFont="1" applyFill="1" applyBorder="1" applyAlignment="1">
      <alignment horizontal="left" wrapText="1"/>
    </xf>
    <xf numFmtId="4" fontId="58" fillId="2" borderId="5" xfId="1" applyNumberFormat="1" applyFont="1" applyFill="1" applyBorder="1"/>
    <xf numFmtId="4" fontId="19" fillId="2" borderId="1" xfId="0" applyNumberFormat="1" applyFont="1" applyFill="1" applyBorder="1" applyAlignment="1">
      <alignment horizontal="left"/>
    </xf>
    <xf numFmtId="0" fontId="0" fillId="2" borderId="0" xfId="0" applyFont="1" applyFill="1"/>
    <xf numFmtId="4" fontId="32" fillId="2" borderId="1" xfId="0" applyNumberFormat="1" applyFont="1" applyFill="1" applyBorder="1"/>
    <xf numFmtId="1" fontId="32" fillId="2" borderId="1" xfId="0" applyNumberFormat="1" applyFont="1" applyFill="1" applyBorder="1"/>
    <xf numFmtId="4" fontId="32" fillId="9" borderId="1" xfId="0" applyNumberFormat="1" applyFont="1" applyFill="1" applyBorder="1"/>
    <xf numFmtId="1" fontId="36" fillId="2" borderId="1" xfId="0" applyNumberFormat="1" applyFont="1" applyFill="1" applyBorder="1"/>
    <xf numFmtId="4" fontId="36" fillId="30" borderId="1" xfId="0" applyNumberFormat="1" applyFont="1" applyFill="1" applyBorder="1"/>
    <xf numFmtId="1" fontId="19" fillId="2" borderId="1" xfId="0" applyNumberFormat="1" applyFont="1" applyFill="1" applyBorder="1"/>
    <xf numFmtId="43" fontId="19" fillId="2" borderId="1" xfId="0" applyNumberFormat="1" applyFont="1" applyFill="1" applyBorder="1"/>
    <xf numFmtId="1" fontId="19" fillId="2" borderId="0" xfId="0" applyNumberFormat="1" applyFont="1" applyFill="1"/>
    <xf numFmtId="4" fontId="19" fillId="2" borderId="0" xfId="0" applyNumberFormat="1" applyFont="1" applyFill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23" fillId="0" borderId="0" xfId="0" applyFont="1" applyAlignment="1">
      <alignment horizontal="left"/>
    </xf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1" fillId="0" borderId="0" xfId="1" applyFont="1" applyFill="1" applyBorder="1" applyAlignment="1">
      <alignment horizontal="right"/>
    </xf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17" fontId="3" fillId="13" borderId="1" xfId="0" applyNumberFormat="1" applyFont="1" applyFill="1" applyBorder="1" applyAlignment="1">
      <alignment horizontal="center" wrapText="1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177" fontId="1" fillId="2" borderId="1" xfId="0" applyNumberFormat="1" applyFont="1" applyFill="1" applyBorder="1"/>
    <xf numFmtId="43" fontId="1" fillId="29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16" fontId="81" fillId="0" borderId="1" xfId="0" applyNumberFormat="1" applyFont="1" applyBorder="1" quotePrefix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colors>
    <mruColors>
      <color rgb="00FFFF00"/>
      <color rgb="00FFFFFF"/>
      <color rgb="00F2F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2" Type="http://schemas.openxmlformats.org/officeDocument/2006/relationships/styles" Target="styles.xml"/><Relationship Id="rId161" Type="http://schemas.openxmlformats.org/officeDocument/2006/relationships/sharedStrings" Target="sharedStrings.xml"/><Relationship Id="rId160" Type="http://schemas.openxmlformats.org/officeDocument/2006/relationships/theme" Target="theme/theme1.xml"/><Relationship Id="rId16" Type="http://schemas.openxmlformats.org/officeDocument/2006/relationships/worksheet" Target="worksheets/sheet16.xml"/><Relationship Id="rId159" Type="http://schemas.openxmlformats.org/officeDocument/2006/relationships/externalLink" Target="externalLinks/externalLink25.xml"/><Relationship Id="rId158" Type="http://schemas.openxmlformats.org/officeDocument/2006/relationships/externalLink" Target="externalLinks/externalLink24.xml"/><Relationship Id="rId157" Type="http://schemas.openxmlformats.org/officeDocument/2006/relationships/externalLink" Target="externalLinks/externalLink23.xml"/><Relationship Id="rId156" Type="http://schemas.openxmlformats.org/officeDocument/2006/relationships/externalLink" Target="externalLinks/externalLink22.xml"/><Relationship Id="rId155" Type="http://schemas.openxmlformats.org/officeDocument/2006/relationships/externalLink" Target="externalLinks/externalLink21.xml"/><Relationship Id="rId154" Type="http://schemas.openxmlformats.org/officeDocument/2006/relationships/externalLink" Target="externalLinks/externalLink20.xml"/><Relationship Id="rId153" Type="http://schemas.openxmlformats.org/officeDocument/2006/relationships/externalLink" Target="externalLinks/externalLink19.xml"/><Relationship Id="rId152" Type="http://schemas.openxmlformats.org/officeDocument/2006/relationships/externalLink" Target="externalLinks/externalLink18.xml"/><Relationship Id="rId151" Type="http://schemas.openxmlformats.org/officeDocument/2006/relationships/externalLink" Target="externalLinks/externalLink17.xml"/><Relationship Id="rId150" Type="http://schemas.openxmlformats.org/officeDocument/2006/relationships/externalLink" Target="externalLinks/externalLink16.xml"/><Relationship Id="rId15" Type="http://schemas.openxmlformats.org/officeDocument/2006/relationships/worksheet" Target="worksheets/sheet15.xml"/><Relationship Id="rId149" Type="http://schemas.openxmlformats.org/officeDocument/2006/relationships/externalLink" Target="externalLinks/externalLink15.xml"/><Relationship Id="rId148" Type="http://schemas.openxmlformats.org/officeDocument/2006/relationships/externalLink" Target="externalLinks/externalLink14.xml"/><Relationship Id="rId147" Type="http://schemas.openxmlformats.org/officeDocument/2006/relationships/externalLink" Target="externalLinks/externalLink13.xml"/><Relationship Id="rId146" Type="http://schemas.openxmlformats.org/officeDocument/2006/relationships/externalLink" Target="externalLinks/externalLink12.xml"/><Relationship Id="rId145" Type="http://schemas.openxmlformats.org/officeDocument/2006/relationships/externalLink" Target="externalLinks/externalLink11.xml"/><Relationship Id="rId144" Type="http://schemas.openxmlformats.org/officeDocument/2006/relationships/externalLink" Target="externalLinks/externalLink10.xml"/><Relationship Id="rId143" Type="http://schemas.openxmlformats.org/officeDocument/2006/relationships/externalLink" Target="externalLinks/externalLink9.xml"/><Relationship Id="rId142" Type="http://schemas.openxmlformats.org/officeDocument/2006/relationships/externalLink" Target="externalLinks/externalLink8.xml"/><Relationship Id="rId141" Type="http://schemas.openxmlformats.org/officeDocument/2006/relationships/externalLink" Target="externalLinks/externalLink7.xml"/><Relationship Id="rId140" Type="http://schemas.openxmlformats.org/officeDocument/2006/relationships/externalLink" Target="externalLinks/externalLink6.xml"/><Relationship Id="rId14" Type="http://schemas.openxmlformats.org/officeDocument/2006/relationships/worksheet" Target="worksheets/sheet14.xml"/><Relationship Id="rId139" Type="http://schemas.openxmlformats.org/officeDocument/2006/relationships/externalLink" Target="externalLinks/externalLink5.xml"/><Relationship Id="rId138" Type="http://schemas.openxmlformats.org/officeDocument/2006/relationships/externalLink" Target="externalLinks/externalLink4.xml"/><Relationship Id="rId137" Type="http://schemas.openxmlformats.org/officeDocument/2006/relationships/externalLink" Target="externalLinks/externalLink3.xml"/><Relationship Id="rId136" Type="http://schemas.openxmlformats.org/officeDocument/2006/relationships/externalLink" Target="externalLinks/externalLink2.xml"/><Relationship Id="rId135" Type="http://schemas.openxmlformats.org/officeDocument/2006/relationships/externalLink" Target="externalLinks/externalLink1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December%202025%20Contract,%20Sabbatical,NYSC%20&amp;%20Consul.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&amp;%20Peculiar%20Allow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6%20%20Salary%20-%20New%20Staff%20(1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6%20Other%20Staf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Welfar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6%20%20Salary%20-%20New%20Perm%20Staff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 refreshError="1"/>
      <sheetData sheetId="1" refreshError="1">
        <row r="44">
          <cell r="I44">
            <v>539028</v>
          </cell>
        </row>
      </sheetData>
      <sheetData sheetId="2" refreshError="1">
        <row r="44">
          <cell r="I44">
            <v>339980.916666667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ec Contract"/>
      <sheetName val="CASUAL, SABB &amp; NYSC Dec"/>
      <sheetName val="CONSULTANTS Dec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>
        <row r="32">
          <cell r="E32">
            <v>2611200</v>
          </cell>
        </row>
      </sheetData>
      <sheetData sheetId="4">
        <row r="93">
          <cell r="D93">
            <v>4250400</v>
          </cell>
        </row>
      </sheetData>
      <sheetData sheetId="5">
        <row r="20">
          <cell r="D20">
            <v>1296000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K33">
            <v>92926.5</v>
          </cell>
        </row>
        <row r="34">
          <cell r="J34">
            <v>97920.6666666667</v>
          </cell>
        </row>
        <row r="34">
          <cell r="M34">
            <v>102619.5</v>
          </cell>
        </row>
        <row r="36">
          <cell r="I36">
            <v>162898.416666667</v>
          </cell>
          <cell r="J36">
            <v>166508.333333333</v>
          </cell>
          <cell r="K36">
            <v>170118.25</v>
          </cell>
        </row>
        <row r="37">
          <cell r="L37">
            <v>204734.416666667</v>
          </cell>
        </row>
        <row r="37">
          <cell r="O37">
            <v>217289.25</v>
          </cell>
        </row>
        <row r="38">
          <cell r="H38">
            <v>212792.166666667</v>
          </cell>
        </row>
        <row r="38">
          <cell r="K38">
            <v>227615.75</v>
          </cell>
        </row>
        <row r="39">
          <cell r="H39">
            <v>235577.833333333</v>
          </cell>
        </row>
        <row r="39">
          <cell r="K39">
            <v>251467.916666667</v>
          </cell>
        </row>
        <row r="40">
          <cell r="H40">
            <v>278231.25</v>
          </cell>
        </row>
        <row r="40">
          <cell r="L40">
            <v>311094.416666667</v>
          </cell>
        </row>
        <row r="41">
          <cell r="H41">
            <v>302987.416666667</v>
          </cell>
        </row>
        <row r="41">
          <cell r="J41">
            <v>320359.083333333</v>
          </cell>
        </row>
        <row r="41">
          <cell r="L41">
            <v>337730.833333333</v>
          </cell>
        </row>
        <row r="42">
          <cell r="I42">
            <v>338365.25</v>
          </cell>
        </row>
        <row r="42">
          <cell r="L42">
            <v>366417.5</v>
          </cell>
        </row>
        <row r="45">
          <cell r="H45">
            <v>1025768.33333333</v>
          </cell>
        </row>
      </sheetData>
      <sheetData sheetId="2">
        <row r="36">
          <cell r="I36">
            <v>80802</v>
          </cell>
        </row>
        <row r="37">
          <cell r="L37">
            <v>111196.166666667</v>
          </cell>
        </row>
        <row r="37">
          <cell r="O37">
            <v>119670.916666667</v>
          </cell>
        </row>
        <row r="38">
          <cell r="K38">
            <v>127704.916666667</v>
          </cell>
        </row>
        <row r="39">
          <cell r="K39">
            <v>147663.25</v>
          </cell>
        </row>
        <row r="40">
          <cell r="H40">
            <v>162927.75</v>
          </cell>
        </row>
        <row r="40">
          <cell r="L40">
            <v>185402.75</v>
          </cell>
        </row>
        <row r="41">
          <cell r="H41">
            <v>179859.166666667</v>
          </cell>
        </row>
        <row r="41">
          <cell r="J41">
            <v>191739.833333333</v>
          </cell>
        </row>
        <row r="41">
          <cell r="L41">
            <v>203620.5</v>
          </cell>
        </row>
        <row r="42">
          <cell r="I42">
            <v>204054.25</v>
          </cell>
        </row>
        <row r="42">
          <cell r="L42">
            <v>223239.5</v>
          </cell>
        </row>
        <row r="45">
          <cell r="H45">
            <v>621843.666666667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RCH NEW PERM"/>
      <sheetName val="MEMO"/>
      <sheetName val="PAYE"/>
      <sheetName val="Sallah Welf"/>
      <sheetName val="Sheet9"/>
      <sheetName val="DEC NEW PERM"/>
      <sheetName val="2026 ENHANCED WELFARE"/>
      <sheetName val="Sheet7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/>
      <sheetData sheetId="3">
        <row r="89">
          <cell r="E89">
            <v>4550400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April Contract"/>
      <sheetName val="March New Contract "/>
      <sheetName val="March CASUAL, SABB &amp; NYSC "/>
      <sheetName val="March CONSULTANTS "/>
      <sheetName val="ENH WELF Contract"/>
      <sheetName val="Enh Wlf New Cntr"/>
      <sheetName val="Enh Wlfr Casual"/>
      <sheetName val="EW Constcy"/>
      <sheetName val="Sheet8"/>
      <sheetName val="Sallah Welf Contr"/>
      <sheetName val="Sallah Welf New Contr"/>
      <sheetName val="Sal Welfr CASUAL, SABB &amp; NYSC"/>
      <sheetName val="Sallah Welfr CONSULTANTS"/>
      <sheetName val="Sheet7"/>
      <sheetName val="Sheet6"/>
      <sheetName val="ENH WLF New Contract"/>
      <sheetName val="ENH WLF CASUAL"/>
      <sheetName val="Sheet5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>
        <row r="31">
          <cell r="F31">
            <v>6700000</v>
          </cell>
          <cell r="G31">
            <v>2900000</v>
          </cell>
        </row>
      </sheetData>
      <sheetData sheetId="5">
        <row r="27">
          <cell r="F27">
            <v>6100000</v>
          </cell>
          <cell r="G27">
            <v>1000000</v>
          </cell>
        </row>
      </sheetData>
      <sheetData sheetId="6">
        <row r="36">
          <cell r="E36">
            <v>2850000</v>
          </cell>
          <cell r="F36">
            <v>1000000</v>
          </cell>
        </row>
      </sheetData>
      <sheetData sheetId="7"/>
      <sheetData sheetId="8"/>
      <sheetData sheetId="9">
        <row r="26">
          <cell r="E26">
            <v>2313600</v>
          </cell>
        </row>
      </sheetData>
      <sheetData sheetId="10">
        <row r="26">
          <cell r="E26">
            <v>1363200</v>
          </cell>
        </row>
      </sheetData>
      <sheetData sheetId="11">
        <row r="101">
          <cell r="D101">
            <v>54000</v>
          </cell>
        </row>
      </sheetData>
      <sheetData sheetId="12">
        <row r="17">
          <cell r="D17">
            <v>928800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allah Welfare"/>
    </sheetNames>
    <sheetDataSet>
      <sheetData sheetId="0">
        <row r="141">
          <cell r="E141">
            <v>2035000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PRIL NEW PERM"/>
      <sheetName val="MEMO"/>
      <sheetName val="PAYE"/>
      <sheetName val="Sallah Welf"/>
      <sheetName val="Enh Wlf New Perm Staff"/>
      <sheetName val="Sheet9"/>
      <sheetName val="DEC NEW PERM"/>
      <sheetName val="Sheet7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/>
      <sheetData sheetId="3"/>
      <sheetData sheetId="4">
        <row r="92">
          <cell r="F92">
            <v>13200000</v>
          </cell>
          <cell r="G92">
            <v>3900000</v>
          </cell>
          <cell r="H92">
            <v>3500000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1"/>
  <sheetViews>
    <sheetView zoomScaleSheetLayoutView="50" workbookViewId="0">
      <pane xSplit="3" ySplit="7" topLeftCell="M242" activePane="bottomRight" state="frozen"/>
      <selection/>
      <selection pane="topRight"/>
      <selection pane="bottomLeft"/>
      <selection pane="bottomRight" activeCell="M2" sqref="M2"/>
    </sheetView>
  </sheetViews>
  <sheetFormatPr defaultColWidth="9.13636363636364" defaultRowHeight="20.1" customHeight="1"/>
  <cols>
    <col min="1" max="1" width="5.42727272727273" style="1" customWidth="1"/>
    <col min="2" max="2" width="41.3090909090909" style="1" customWidth="1"/>
    <col min="3" max="3" width="36.2636363636364" style="1" customWidth="1"/>
    <col min="4" max="4" width="12.7090909090909" style="1" customWidth="1"/>
    <col min="5" max="5" width="19.2818181818182" style="1" customWidth="1"/>
    <col min="6" max="6" width="15.4545454545455" style="1" customWidth="1"/>
    <col min="7" max="7" width="18.2818181818182" style="1" customWidth="1"/>
    <col min="8" max="8" width="18.1363636363636" style="1" customWidth="1"/>
    <col min="9" max="9" width="16" style="1" customWidth="1"/>
    <col min="10" max="10" width="21.5727272727273" style="1" customWidth="1"/>
    <col min="11" max="11" width="5.81818181818182" style="1" customWidth="1"/>
    <col min="12" max="12" width="16.8727272727273" style="1" customWidth="1"/>
    <col min="13" max="13" width="16.6545454545455" style="1" customWidth="1"/>
    <col min="14" max="14" width="15.4454545454545" style="1" customWidth="1"/>
    <col min="15" max="15" width="15.1454545454545" style="1" customWidth="1"/>
    <col min="16" max="16" width="13.2363636363636" style="1" customWidth="1"/>
    <col min="17" max="17" width="17.2636363636364" style="1" customWidth="1"/>
    <col min="18" max="18" width="15.8545454545455" style="1" customWidth="1"/>
    <col min="19" max="19" width="16.8636363636364" style="1" customWidth="1"/>
    <col min="20" max="20" width="19.7909090909091" style="1" customWidth="1"/>
    <col min="21" max="21" width="23.5363636363636" style="1" customWidth="1"/>
    <col min="22" max="22" width="12.5272727272727" style="1" customWidth="1"/>
    <col min="23" max="16383" width="9.13636363636364" style="1"/>
  </cols>
  <sheetData>
    <row r="1" ht="27" customHeight="1" spans="1:21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1:21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18" t="s">
        <v>14</v>
      </c>
      <c r="P4" s="218" t="s">
        <v>15</v>
      </c>
      <c r="Q4" s="24" t="s">
        <v>16</v>
      </c>
      <c r="R4" s="218" t="s">
        <v>17</v>
      </c>
      <c r="S4" s="506" t="s">
        <v>18</v>
      </c>
      <c r="T4" s="80" t="s">
        <v>19</v>
      </c>
      <c r="U4" s="1189" t="s">
        <v>20</v>
      </c>
    </row>
    <row r="5" ht="17.25" customHeight="1" spans="1:21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/>
      <c r="P5" s="82" t="s">
        <v>21</v>
      </c>
      <c r="Q5" s="82" t="s">
        <v>21</v>
      </c>
      <c r="R5" s="82" t="s">
        <v>21</v>
      </c>
      <c r="S5" s="508" t="s">
        <v>21</v>
      </c>
      <c r="T5" s="82" t="s">
        <v>21</v>
      </c>
      <c r="U5" s="507" t="s">
        <v>21</v>
      </c>
    </row>
    <row r="6" customHeight="1" spans="1:21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82"/>
      <c r="R6" s="82"/>
      <c r="S6" s="508"/>
      <c r="T6" s="82"/>
      <c r="U6" s="507"/>
    </row>
    <row r="7" customHeight="1" spans="1:21">
      <c r="A7" s="10">
        <v>1</v>
      </c>
      <c r="B7" s="11" t="s">
        <v>24</v>
      </c>
      <c r="C7" s="12" t="s">
        <v>25</v>
      </c>
      <c r="D7" s="12" t="s">
        <v>26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 t="shared" ref="J7:J38" si="0">E7+F7+G7+H7+I7</f>
        <v>2246372.08333333</v>
      </c>
      <c r="K7" s="85"/>
      <c r="L7" s="85"/>
      <c r="M7" s="85"/>
      <c r="N7" s="85"/>
      <c r="O7" s="85"/>
      <c r="P7" s="85">
        <v>0</v>
      </c>
      <c r="Q7" s="85">
        <v>427498.912499999</v>
      </c>
      <c r="R7" s="85"/>
      <c r="S7" s="510">
        <f>SUM(K7:R7)</f>
        <v>427498.912499999</v>
      </c>
      <c r="T7" s="85">
        <v>1818873.17083333</v>
      </c>
      <c r="U7" s="509">
        <f t="shared" ref="U7:U26" si="1">J7-S7</f>
        <v>1818873.17083333</v>
      </c>
    </row>
    <row r="8" customHeight="1" spans="1:21">
      <c r="A8" s="10">
        <v>2</v>
      </c>
      <c r="B8" s="11" t="s">
        <v>27</v>
      </c>
      <c r="C8" s="12" t="s">
        <v>28</v>
      </c>
      <c r="D8" s="10" t="s">
        <v>29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1095306.75</v>
      </c>
      <c r="K8" s="85"/>
      <c r="L8" s="85">
        <f>250000</f>
        <v>250000</v>
      </c>
      <c r="M8" s="85"/>
      <c r="N8" s="85">
        <v>100000</v>
      </c>
      <c r="O8" s="85"/>
      <c r="P8" s="85"/>
      <c r="Q8" s="85">
        <v>167305.2641</v>
      </c>
      <c r="R8" s="85">
        <v>72424.54</v>
      </c>
      <c r="S8" s="510">
        <f t="shared" ref="S8:S46" si="2">SUM(K8:R8)</f>
        <v>589729.8041</v>
      </c>
      <c r="T8" s="85">
        <v>505576.9459</v>
      </c>
      <c r="U8" s="509">
        <f t="shared" si="1"/>
        <v>505576.9459</v>
      </c>
    </row>
    <row r="9" customHeight="1" spans="1:21">
      <c r="A9" s="10">
        <v>3</v>
      </c>
      <c r="B9" s="14" t="s">
        <v>30</v>
      </c>
      <c r="C9" s="4" t="s">
        <v>31</v>
      </c>
      <c r="D9" s="10" t="s">
        <v>29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1295306.75</v>
      </c>
      <c r="K9" s="85"/>
      <c r="L9" s="85"/>
      <c r="M9" s="85"/>
      <c r="N9" s="85"/>
      <c r="O9" s="85"/>
      <c r="P9" s="85">
        <v>0</v>
      </c>
      <c r="Q9" s="85">
        <v>224514.4175</v>
      </c>
      <c r="R9" s="85"/>
      <c r="S9" s="510">
        <f t="shared" si="2"/>
        <v>224514.4175</v>
      </c>
      <c r="T9" s="85">
        <v>1070792.3325</v>
      </c>
      <c r="U9" s="509">
        <f t="shared" si="1"/>
        <v>1070792.3325</v>
      </c>
    </row>
    <row r="10" customHeight="1" spans="1:21">
      <c r="A10" s="10">
        <v>4</v>
      </c>
      <c r="B10" s="11" t="s">
        <v>32</v>
      </c>
      <c r="C10" s="17" t="s">
        <v>33</v>
      </c>
      <c r="D10" s="10" t="s">
        <v>29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0"/>
        <v>1085306.75</v>
      </c>
      <c r="K10" s="85"/>
      <c r="L10" s="85">
        <f>50000</f>
        <v>50000</v>
      </c>
      <c r="M10" s="85"/>
      <c r="N10" s="85"/>
      <c r="O10" s="85"/>
      <c r="P10" s="85">
        <v>13866.7375</v>
      </c>
      <c r="Q10" s="85">
        <v>162322.78505</v>
      </c>
      <c r="R10" s="85">
        <v>72424.54</v>
      </c>
      <c r="S10" s="510">
        <f t="shared" si="2"/>
        <v>298614.06255</v>
      </c>
      <c r="T10" s="85">
        <v>786692.68745</v>
      </c>
      <c r="U10" s="509">
        <f t="shared" si="1"/>
        <v>786692.68745</v>
      </c>
    </row>
    <row r="11" customHeight="1" spans="1:21">
      <c r="A11" s="10">
        <v>5</v>
      </c>
      <c r="B11" s="11" t="s">
        <v>34</v>
      </c>
      <c r="C11" s="12" t="s">
        <v>35</v>
      </c>
      <c r="D11" s="15" t="s">
        <v>36</v>
      </c>
      <c r="E11" s="85">
        <v>905306.75</v>
      </c>
      <c r="F11" s="85"/>
      <c r="G11" s="220"/>
      <c r="H11" s="220">
        <f>90000</f>
        <v>90000</v>
      </c>
      <c r="I11" s="85">
        <v>50000</v>
      </c>
      <c r="J11" s="509">
        <f t="shared" si="0"/>
        <v>1045306.75</v>
      </c>
      <c r="K11" s="85"/>
      <c r="L11" s="85">
        <f>50000-40000</f>
        <v>10000</v>
      </c>
      <c r="M11" s="85">
        <f>90000+110000</f>
        <v>200000</v>
      </c>
      <c r="N11" s="85"/>
      <c r="O11" s="85"/>
      <c r="P11" s="85">
        <v>13866.7375</v>
      </c>
      <c r="Q11" s="85">
        <v>155122.78505</v>
      </c>
      <c r="R11" s="85">
        <v>72424.54</v>
      </c>
      <c r="S11" s="510">
        <f t="shared" si="2"/>
        <v>451414.06255</v>
      </c>
      <c r="T11" s="85">
        <v>593892.68745</v>
      </c>
      <c r="U11" s="509">
        <f t="shared" si="1"/>
        <v>593892.68745</v>
      </c>
    </row>
    <row r="12" customHeight="1" spans="1:21">
      <c r="A12" s="10">
        <v>6</v>
      </c>
      <c r="B12" s="11" t="s">
        <v>37</v>
      </c>
      <c r="C12" s="4" t="s">
        <v>38</v>
      </c>
      <c r="D12" s="10" t="s">
        <v>39</v>
      </c>
      <c r="E12" s="85">
        <v>744477</v>
      </c>
      <c r="F12" s="85"/>
      <c r="G12" s="220">
        <v>160000</v>
      </c>
      <c r="H12" s="220"/>
      <c r="I12" s="85">
        <f>100000+100000</f>
        <v>200000</v>
      </c>
      <c r="J12" s="509">
        <f t="shared" si="0"/>
        <v>1104477</v>
      </c>
      <c r="K12" s="85"/>
      <c r="L12" s="85"/>
      <c r="M12" s="85"/>
      <c r="N12" s="85"/>
      <c r="O12" s="85"/>
      <c r="P12" s="85">
        <v>11475.2625</v>
      </c>
      <c r="Q12" s="85">
        <v>169523.151275</v>
      </c>
      <c r="R12" s="85">
        <v>59558.16</v>
      </c>
      <c r="S12" s="510">
        <f t="shared" si="2"/>
        <v>240556.573775</v>
      </c>
      <c r="T12" s="85">
        <v>863920.426225</v>
      </c>
      <c r="U12" s="509">
        <f t="shared" si="1"/>
        <v>863920.426225</v>
      </c>
    </row>
    <row r="13" customHeight="1" spans="1:21">
      <c r="A13" s="10">
        <v>7</v>
      </c>
      <c r="B13" s="11" t="s">
        <v>40</v>
      </c>
      <c r="C13" s="4" t="s">
        <v>41</v>
      </c>
      <c r="D13" s="15" t="s">
        <v>42</v>
      </c>
      <c r="E13" s="85">
        <v>700713.916666666</v>
      </c>
      <c r="F13" s="85"/>
      <c r="G13" s="220"/>
      <c r="H13" s="220">
        <f>80000</f>
        <v>80000</v>
      </c>
      <c r="I13" s="85">
        <f>0</f>
        <v>0</v>
      </c>
      <c r="J13" s="509">
        <f t="shared" si="0"/>
        <v>780713.916666666</v>
      </c>
      <c r="K13" s="85"/>
      <c r="L13" s="85"/>
      <c r="M13" s="85"/>
      <c r="N13" s="85"/>
      <c r="O13" s="85"/>
      <c r="P13" s="85"/>
      <c r="Q13" s="85">
        <v>112938.2246</v>
      </c>
      <c r="R13" s="85">
        <v>56057.1133333333</v>
      </c>
      <c r="S13" s="510">
        <f t="shared" si="2"/>
        <v>168995.337933333</v>
      </c>
      <c r="T13" s="85">
        <v>611718.578733333</v>
      </c>
      <c r="U13" s="509">
        <f t="shared" si="1"/>
        <v>611718.578733333</v>
      </c>
    </row>
    <row r="14" customHeight="1" spans="1:21">
      <c r="A14" s="10">
        <v>8</v>
      </c>
      <c r="B14" s="14" t="s">
        <v>43</v>
      </c>
      <c r="C14" s="17" t="s">
        <v>44</v>
      </c>
      <c r="D14" s="15" t="s">
        <v>39</v>
      </c>
      <c r="E14" s="85">
        <v>744477</v>
      </c>
      <c r="F14" s="85"/>
      <c r="G14" s="220">
        <v>160000</v>
      </c>
      <c r="H14" s="220"/>
      <c r="I14" s="85">
        <f>50000</f>
        <v>50000</v>
      </c>
      <c r="J14" s="509">
        <f t="shared" si="0"/>
        <v>954477</v>
      </c>
      <c r="K14" s="85"/>
      <c r="L14" s="85">
        <f>50000</f>
        <v>50000</v>
      </c>
      <c r="M14" s="85"/>
      <c r="N14" s="85"/>
      <c r="O14" s="85"/>
      <c r="P14" s="85"/>
      <c r="Q14" s="85">
        <v>143585.3912</v>
      </c>
      <c r="R14" s="85">
        <v>59558.16</v>
      </c>
      <c r="S14" s="510">
        <f t="shared" si="2"/>
        <v>253143.5512</v>
      </c>
      <c r="T14" s="85">
        <v>701333.4488</v>
      </c>
      <c r="U14" s="509">
        <f t="shared" si="1"/>
        <v>701333.4488</v>
      </c>
    </row>
    <row r="15" customHeight="1" spans="1:21">
      <c r="A15" s="10">
        <v>9</v>
      </c>
      <c r="B15" s="11" t="s">
        <v>45</v>
      </c>
      <c r="C15" s="4" t="s">
        <v>46</v>
      </c>
      <c r="D15" s="10" t="s">
        <v>47</v>
      </c>
      <c r="E15" s="85">
        <v>573911.083333334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0"/>
        <v>963911.083333334</v>
      </c>
      <c r="K15" s="85"/>
      <c r="L15" s="85">
        <v>150000</v>
      </c>
      <c r="M15" s="85">
        <v>0</v>
      </c>
      <c r="N15" s="85"/>
      <c r="O15" s="85"/>
      <c r="P15" s="85">
        <v>8926.66666666668</v>
      </c>
      <c r="Q15" s="85">
        <v>146132.8754</v>
      </c>
      <c r="R15" s="85">
        <v>45912.8866666667</v>
      </c>
      <c r="S15" s="510">
        <f t="shared" si="2"/>
        <v>350972.428733333</v>
      </c>
      <c r="T15" s="85">
        <v>612938.654600001</v>
      </c>
      <c r="U15" s="509">
        <f t="shared" si="1"/>
        <v>612938.654600001</v>
      </c>
    </row>
    <row r="16" customHeight="1" spans="1:21">
      <c r="A16" s="10">
        <v>10</v>
      </c>
      <c r="B16" s="11" t="s">
        <v>48</v>
      </c>
      <c r="C16" s="4" t="s">
        <v>49</v>
      </c>
      <c r="D16" s="10" t="s">
        <v>50</v>
      </c>
      <c r="E16" s="85">
        <v>722595.5</v>
      </c>
      <c r="F16" s="85"/>
      <c r="G16" s="220"/>
      <c r="H16" s="220">
        <v>80000</v>
      </c>
      <c r="I16" s="85">
        <v>50000</v>
      </c>
      <c r="J16" s="509">
        <f t="shared" si="0"/>
        <v>852595.5</v>
      </c>
      <c r="K16" s="4"/>
      <c r="L16" s="4"/>
      <c r="M16" s="85"/>
      <c r="N16" s="85">
        <v>10000</v>
      </c>
      <c r="O16" s="85">
        <v>57818.75</v>
      </c>
      <c r="P16" s="85"/>
      <c r="Q16" s="85">
        <v>125561.8148</v>
      </c>
      <c r="R16" s="85">
        <v>57807.64</v>
      </c>
      <c r="S16" s="510">
        <f t="shared" si="2"/>
        <v>251188.2048</v>
      </c>
      <c r="T16" s="85">
        <v>601407.2952</v>
      </c>
      <c r="U16" s="509">
        <f t="shared" si="1"/>
        <v>601407.2952</v>
      </c>
    </row>
    <row r="17" customHeight="1" spans="1:22">
      <c r="A17" s="10">
        <v>11</v>
      </c>
      <c r="B17" s="11" t="s">
        <v>51</v>
      </c>
      <c r="C17" s="12" t="s">
        <v>52</v>
      </c>
      <c r="D17" s="10" t="s">
        <v>53</v>
      </c>
      <c r="E17" s="85">
        <v>542419.5</v>
      </c>
      <c r="F17" s="85"/>
      <c r="G17" s="220">
        <f>140000</f>
        <v>140000</v>
      </c>
      <c r="H17" s="220"/>
      <c r="I17" s="85">
        <v>0</v>
      </c>
      <c r="J17" s="509">
        <f t="shared" si="0"/>
        <v>682419.5</v>
      </c>
      <c r="K17" s="85"/>
      <c r="L17" s="85"/>
      <c r="M17" s="85"/>
      <c r="N17" s="85"/>
      <c r="O17" s="85"/>
      <c r="P17" s="85"/>
      <c r="Q17" s="85">
        <v>97524.6692</v>
      </c>
      <c r="R17" s="85">
        <v>43393.56</v>
      </c>
      <c r="S17" s="510">
        <f t="shared" si="2"/>
        <v>140918.2292</v>
      </c>
      <c r="T17" s="85">
        <v>541501.2708</v>
      </c>
      <c r="U17" s="509">
        <f t="shared" si="1"/>
        <v>541501.2708</v>
      </c>
    </row>
    <row r="18" customHeight="1" spans="1:22">
      <c r="A18" s="10">
        <v>12</v>
      </c>
      <c r="B18" s="18" t="s">
        <v>54</v>
      </c>
      <c r="C18" s="4" t="s">
        <v>55</v>
      </c>
      <c r="D18" s="15" t="s">
        <v>56</v>
      </c>
      <c r="E18" s="85">
        <v>541351.333333333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0"/>
        <v>861351.333333333</v>
      </c>
      <c r="K18" s="85"/>
      <c r="L18" s="85">
        <f>30000-20000</f>
        <v>10000</v>
      </c>
      <c r="M18" s="85">
        <f>127777.78</f>
        <v>127777.78</v>
      </c>
      <c r="N18" s="85"/>
      <c r="O18" s="85"/>
      <c r="P18" s="85">
        <v>8443.27083333333</v>
      </c>
      <c r="Q18" s="85">
        <v>128227.99205</v>
      </c>
      <c r="R18" s="85">
        <v>43308.1066666667</v>
      </c>
      <c r="S18" s="510">
        <f t="shared" si="2"/>
        <v>317757.14955</v>
      </c>
      <c r="T18" s="85">
        <v>543594.183783333</v>
      </c>
      <c r="U18" s="509">
        <f t="shared" si="1"/>
        <v>543594.183783333</v>
      </c>
    </row>
    <row r="19" customHeight="1" spans="1:22">
      <c r="A19" s="10">
        <v>13</v>
      </c>
      <c r="B19" s="18" t="s">
        <v>57</v>
      </c>
      <c r="C19" s="4" t="s">
        <v>58</v>
      </c>
      <c r="D19" s="15" t="s">
        <v>59</v>
      </c>
      <c r="E19" s="680">
        <v>512098.916666667</v>
      </c>
      <c r="F19" s="85"/>
      <c r="G19" s="4"/>
      <c r="H19" s="220">
        <v>70000</v>
      </c>
      <c r="I19" s="85"/>
      <c r="J19" s="509">
        <f t="shared" si="0"/>
        <v>582098.916666667</v>
      </c>
      <c r="K19" s="85"/>
      <c r="L19" s="683">
        <v>50000</v>
      </c>
      <c r="M19" s="683">
        <v>250000</v>
      </c>
      <c r="N19" s="683"/>
      <c r="O19" s="833"/>
      <c r="P19" s="833">
        <v>8008.97708333333</v>
      </c>
      <c r="Q19" s="683">
        <v>78461.964725</v>
      </c>
      <c r="R19" s="85">
        <v>40967.9133333333</v>
      </c>
      <c r="S19" s="510">
        <f t="shared" si="2"/>
        <v>427438.855141667</v>
      </c>
      <c r="T19" s="85">
        <v>154660.061525</v>
      </c>
      <c r="U19" s="509">
        <f t="shared" si="1"/>
        <v>154660.061525</v>
      </c>
    </row>
    <row r="20" customHeight="1" spans="1:22">
      <c r="A20" s="10">
        <v>14</v>
      </c>
      <c r="B20" s="18" t="s">
        <v>60</v>
      </c>
      <c r="C20" s="4" t="s">
        <v>61</v>
      </c>
      <c r="D20" s="15" t="s">
        <v>59</v>
      </c>
      <c r="E20" s="680">
        <v>512098.916666667</v>
      </c>
      <c r="F20" s="85"/>
      <c r="G20" s="833">
        <v>120000</v>
      </c>
      <c r="H20" s="220"/>
      <c r="I20" s="85"/>
      <c r="J20" s="509">
        <f t="shared" si="0"/>
        <v>632098.916666667</v>
      </c>
      <c r="K20" s="85"/>
      <c r="L20" s="683"/>
      <c r="M20" s="683"/>
      <c r="N20" s="683"/>
      <c r="O20" s="4"/>
      <c r="P20" s="4"/>
      <c r="Q20" s="683">
        <v>88903.5806</v>
      </c>
      <c r="R20" s="85">
        <v>40967.9133333333</v>
      </c>
      <c r="S20" s="510">
        <f t="shared" si="2"/>
        <v>129871.493933333</v>
      </c>
      <c r="T20" s="85">
        <v>502227.422733334</v>
      </c>
      <c r="U20" s="509">
        <f t="shared" si="1"/>
        <v>502227.422733334</v>
      </c>
    </row>
    <row r="21" customHeight="1" spans="1:22">
      <c r="A21" s="10">
        <v>15</v>
      </c>
      <c r="B21" s="11" t="s">
        <v>62</v>
      </c>
      <c r="C21" s="12" t="s">
        <v>63</v>
      </c>
      <c r="D21" s="15" t="s">
        <v>64</v>
      </c>
      <c r="E21" s="85">
        <v>497472.75</v>
      </c>
      <c r="F21" s="85"/>
      <c r="G21" s="220"/>
      <c r="H21" s="220">
        <f>70000</f>
        <v>70000</v>
      </c>
      <c r="I21" s="85">
        <f>250000</f>
        <v>250000</v>
      </c>
      <c r="J21" s="509">
        <f t="shared" si="0"/>
        <v>817472.75</v>
      </c>
      <c r="K21" s="85"/>
      <c r="L21" s="85">
        <v>20000</v>
      </c>
      <c r="M21" s="85">
        <f>68750</f>
        <v>68750</v>
      </c>
      <c r="N21" s="85"/>
      <c r="O21" s="85"/>
      <c r="P21" s="85">
        <v>7791.83125</v>
      </c>
      <c r="Q21" s="85">
        <v>121078.957775</v>
      </c>
      <c r="R21" s="85">
        <v>39797.82</v>
      </c>
      <c r="S21" s="510">
        <f t="shared" si="2"/>
        <v>257418.609025</v>
      </c>
      <c r="T21" s="85">
        <v>560054.140975</v>
      </c>
      <c r="U21" s="509">
        <f t="shared" si="1"/>
        <v>560054.140975</v>
      </c>
    </row>
    <row r="22" ht="18.75" customHeight="1" spans="1:22">
      <c r="A22" s="10">
        <v>16</v>
      </c>
      <c r="B22" s="11" t="s">
        <v>65</v>
      </c>
      <c r="C22" s="4" t="s">
        <v>66</v>
      </c>
      <c r="D22" s="15" t="s">
        <v>67</v>
      </c>
      <c r="E22" s="85">
        <v>482846.583333333</v>
      </c>
      <c r="F22" s="85"/>
      <c r="G22" s="220"/>
      <c r="H22" s="220">
        <f>70000</f>
        <v>70000</v>
      </c>
      <c r="I22" s="85">
        <f>100000+50000</f>
        <v>150000</v>
      </c>
      <c r="J22" s="509">
        <f t="shared" si="0"/>
        <v>702846.583333333</v>
      </c>
      <c r="K22" s="85"/>
      <c r="L22" s="85">
        <f>10000</f>
        <v>10000</v>
      </c>
      <c r="M22" s="85">
        <v>292813.77</v>
      </c>
      <c r="N22" s="85"/>
      <c r="O22" s="85"/>
      <c r="P22" s="85">
        <v>7574.68541666667</v>
      </c>
      <c r="Q22" s="85">
        <v>100695.950825</v>
      </c>
      <c r="R22" s="85">
        <v>38627.7266666666</v>
      </c>
      <c r="S22" s="510">
        <f t="shared" si="2"/>
        <v>449712.132908333</v>
      </c>
      <c r="T22" s="85">
        <v>253134.450425</v>
      </c>
      <c r="U22" s="509">
        <f t="shared" si="1"/>
        <v>253134.450425</v>
      </c>
    </row>
    <row r="23" customHeight="1" spans="1:22">
      <c r="A23" s="10">
        <v>17</v>
      </c>
      <c r="B23" s="14" t="s">
        <v>68</v>
      </c>
      <c r="C23" s="17" t="s">
        <v>69</v>
      </c>
      <c r="D23" s="10" t="s">
        <v>70</v>
      </c>
      <c r="E23" s="85">
        <v>468828.166666667</v>
      </c>
      <c r="F23" s="85"/>
      <c r="G23" s="220">
        <f t="shared" ref="G23" si="3">100000</f>
        <v>100000</v>
      </c>
      <c r="H23" s="220"/>
      <c r="I23" s="85">
        <f>100000+100000</f>
        <v>200000</v>
      </c>
      <c r="J23" s="509">
        <f t="shared" si="0"/>
        <v>768828.166666667</v>
      </c>
      <c r="K23" s="85"/>
      <c r="L23" s="85">
        <f>50000+100000</f>
        <v>150000</v>
      </c>
      <c r="M23" s="85"/>
      <c r="N23" s="85"/>
      <c r="O23" s="85"/>
      <c r="P23" s="85"/>
      <c r="Q23" s="85">
        <v>114137.9444</v>
      </c>
      <c r="R23" s="85">
        <v>37506.2533333334</v>
      </c>
      <c r="S23" s="510">
        <f t="shared" si="2"/>
        <v>301644.197733333</v>
      </c>
      <c r="T23" s="85">
        <v>467183.968933334</v>
      </c>
      <c r="U23" s="509">
        <f t="shared" si="1"/>
        <v>467183.968933334</v>
      </c>
    </row>
    <row r="24" ht="21.6" customHeight="1" spans="1:22">
      <c r="A24" s="10">
        <v>18</v>
      </c>
      <c r="B24" s="11" t="s">
        <v>71</v>
      </c>
      <c r="C24" s="17" t="s">
        <v>72</v>
      </c>
      <c r="D24" s="15" t="s">
        <v>70</v>
      </c>
      <c r="E24" s="85">
        <v>468828.166666667</v>
      </c>
      <c r="F24" s="85"/>
      <c r="G24" s="220">
        <v>110000</v>
      </c>
      <c r="H24" s="220"/>
      <c r="I24" s="85">
        <v>0</v>
      </c>
      <c r="J24" s="509">
        <f t="shared" si="0"/>
        <v>578828.166666667</v>
      </c>
      <c r="K24" s="85"/>
      <c r="L24" s="85">
        <v>0</v>
      </c>
      <c r="M24" s="85"/>
      <c r="N24" s="85">
        <v>30000</v>
      </c>
      <c r="O24" s="85"/>
      <c r="P24" s="85">
        <v>7366.57291666668</v>
      </c>
      <c r="Q24" s="85">
        <v>75611.961275</v>
      </c>
      <c r="R24" s="85">
        <v>37506.2533333334</v>
      </c>
      <c r="S24" s="510">
        <f t="shared" si="2"/>
        <v>150484.787525</v>
      </c>
      <c r="T24" s="85">
        <v>428343.379141667</v>
      </c>
      <c r="U24" s="509">
        <f t="shared" si="1"/>
        <v>428343.379141667</v>
      </c>
    </row>
    <row r="25" customHeight="1" spans="1:22">
      <c r="A25" s="10">
        <v>19</v>
      </c>
      <c r="B25" s="14" t="s">
        <v>73</v>
      </c>
      <c r="C25" s="17" t="s">
        <v>74</v>
      </c>
      <c r="D25" s="10" t="s">
        <v>75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0"/>
        <v>641140.666666666</v>
      </c>
      <c r="K25" s="85"/>
      <c r="L25" s="85">
        <v>150000</v>
      </c>
      <c r="M25" s="85"/>
      <c r="N25" s="85"/>
      <c r="O25" s="85"/>
      <c r="P25" s="85"/>
      <c r="Q25" s="85">
        <v>92416.8943999999</v>
      </c>
      <c r="R25" s="85">
        <v>30491.2533333333</v>
      </c>
      <c r="S25" s="510">
        <f t="shared" si="2"/>
        <v>272908.147733333</v>
      </c>
      <c r="T25" s="85">
        <v>368232.518933333</v>
      </c>
      <c r="U25" s="509">
        <f t="shared" si="1"/>
        <v>368232.518933333</v>
      </c>
    </row>
    <row r="26" customHeight="1" spans="1:22">
      <c r="A26" s="10">
        <v>20</v>
      </c>
      <c r="B26" s="14" t="s">
        <v>76</v>
      </c>
      <c r="C26" s="17" t="s">
        <v>77</v>
      </c>
      <c r="D26" s="10" t="s">
        <v>78</v>
      </c>
      <c r="E26" s="85">
        <v>390135.833333334</v>
      </c>
      <c r="F26" s="85"/>
      <c r="G26" s="220"/>
      <c r="H26" s="220">
        <v>60000</v>
      </c>
      <c r="I26" s="85"/>
      <c r="J26" s="509">
        <f t="shared" si="0"/>
        <v>450135.833333334</v>
      </c>
      <c r="K26" s="85"/>
      <c r="L26" s="85">
        <v>50000</v>
      </c>
      <c r="M26" s="85"/>
      <c r="N26" s="1190">
        <v>10000</v>
      </c>
      <c r="O26" s="912"/>
      <c r="P26" s="912">
        <v>6154.27916666668</v>
      </c>
      <c r="Q26" s="85">
        <v>56798.7237500001</v>
      </c>
      <c r="R26" s="85">
        <v>31210.8666666667</v>
      </c>
      <c r="S26" s="510">
        <f t="shared" si="2"/>
        <v>154163.869583333</v>
      </c>
      <c r="T26" s="85">
        <v>295971.963750001</v>
      </c>
      <c r="U26" s="509">
        <f t="shared" si="1"/>
        <v>295971.963750001</v>
      </c>
    </row>
    <row r="27" ht="18.75" customHeight="1" spans="1:22">
      <c r="A27" s="10">
        <v>21</v>
      </c>
      <c r="B27" s="18" t="s">
        <v>79</v>
      </c>
      <c r="C27" s="12" t="s">
        <v>80</v>
      </c>
      <c r="D27" s="15" t="s">
        <v>81</v>
      </c>
      <c r="E27" s="85">
        <v>372145.333333333</v>
      </c>
      <c r="F27" s="85"/>
      <c r="G27" s="220"/>
      <c r="H27" s="220">
        <f>50000+10000</f>
        <v>60000</v>
      </c>
      <c r="I27" s="85"/>
      <c r="J27" s="509">
        <f t="shared" si="0"/>
        <v>432145.333333333</v>
      </c>
      <c r="K27" s="85"/>
      <c r="L27" s="85"/>
      <c r="M27" s="85"/>
      <c r="N27" s="85"/>
      <c r="O27" s="85"/>
      <c r="P27" s="85">
        <v>5889.44583333333</v>
      </c>
      <c r="Q27" s="85">
        <v>53867.1669499999</v>
      </c>
      <c r="R27" s="85">
        <v>29771.6266666666</v>
      </c>
      <c r="S27" s="510">
        <f t="shared" si="2"/>
        <v>89528.2394499998</v>
      </c>
      <c r="T27" s="85">
        <v>342617.093883333</v>
      </c>
      <c r="U27" s="509">
        <f t="shared" ref="U27:U46" si="4">J27-S27</f>
        <v>342617.093883333</v>
      </c>
    </row>
    <row r="28" customHeight="1" spans="1:22">
      <c r="A28" s="10">
        <v>22</v>
      </c>
      <c r="B28" s="11" t="s">
        <v>82</v>
      </c>
      <c r="C28" s="4" t="s">
        <v>83</v>
      </c>
      <c r="D28" s="15" t="s">
        <v>75</v>
      </c>
      <c r="E28" s="85">
        <v>381140.666666666</v>
      </c>
      <c r="F28" s="85"/>
      <c r="G28" s="220">
        <f>110000</f>
        <v>110000</v>
      </c>
      <c r="H28" s="220"/>
      <c r="I28" s="85"/>
      <c r="J28" s="509">
        <f t="shared" si="0"/>
        <v>491140.666666666</v>
      </c>
      <c r="K28" s="85"/>
      <c r="L28" s="85">
        <f>10000</f>
        <v>10000</v>
      </c>
      <c r="M28" s="85">
        <v>127777.78</v>
      </c>
      <c r="N28" s="85"/>
      <c r="O28" s="85"/>
      <c r="P28" s="85">
        <v>6021.86458333332</v>
      </c>
      <c r="Q28" s="85">
        <v>59832.9587749999</v>
      </c>
      <c r="R28" s="85">
        <v>30491.2533333333</v>
      </c>
      <c r="S28" s="510">
        <f t="shared" si="2"/>
        <v>234123.856691667</v>
      </c>
      <c r="T28" s="85">
        <v>257016.809974999</v>
      </c>
      <c r="U28" s="509">
        <f t="shared" si="4"/>
        <v>257016.809974999</v>
      </c>
    </row>
    <row r="29" ht="18.75" customHeight="1" spans="1:22">
      <c r="A29" s="10">
        <v>23</v>
      </c>
      <c r="B29" s="18" t="s">
        <v>84</v>
      </c>
      <c r="C29" s="12" t="s">
        <v>85</v>
      </c>
      <c r="D29" s="15" t="s">
        <v>86</v>
      </c>
      <c r="E29" s="85">
        <v>347016.166666666</v>
      </c>
      <c r="F29" s="85"/>
      <c r="G29" s="220"/>
      <c r="H29" s="220">
        <f t="shared" ref="H29:H38" si="5">60000</f>
        <v>60000</v>
      </c>
      <c r="I29" s="4"/>
      <c r="J29" s="509">
        <f t="shared" si="0"/>
        <v>407016.166666666</v>
      </c>
      <c r="K29" s="85"/>
      <c r="L29" s="85">
        <f>20000</f>
        <v>20000</v>
      </c>
      <c r="M29" s="85">
        <f>17500</f>
        <v>17500</v>
      </c>
      <c r="N29" s="85">
        <v>50000</v>
      </c>
      <c r="O29" s="85"/>
      <c r="P29" s="85"/>
      <c r="Q29" s="85">
        <v>50765.8771999999</v>
      </c>
      <c r="R29" s="85">
        <v>27761.2933333333</v>
      </c>
      <c r="S29" s="510">
        <f t="shared" si="2"/>
        <v>166027.170533333</v>
      </c>
      <c r="T29" s="85">
        <v>240988.996133333</v>
      </c>
      <c r="U29" s="509">
        <f t="shared" si="4"/>
        <v>240988.996133333</v>
      </c>
    </row>
    <row r="30" ht="18.75" customHeight="1" spans="1:22">
      <c r="A30" s="10">
        <v>24</v>
      </c>
      <c r="B30" s="18" t="s">
        <v>87</v>
      </c>
      <c r="C30" s="4" t="s">
        <v>88</v>
      </c>
      <c r="D30" s="10" t="s">
        <v>86</v>
      </c>
      <c r="E30" s="85">
        <v>347016.166666666</v>
      </c>
      <c r="F30" s="85"/>
      <c r="G30" s="220"/>
      <c r="H30" s="220">
        <f t="shared" si="5"/>
        <v>60000</v>
      </c>
      <c r="I30" s="85"/>
      <c r="J30" s="509">
        <f t="shared" si="0"/>
        <v>407016.166666666</v>
      </c>
      <c r="K30" s="85"/>
      <c r="L30" s="85">
        <f>30000+20000</f>
        <v>50000</v>
      </c>
      <c r="M30" s="85">
        <v>0</v>
      </c>
      <c r="N30" s="85"/>
      <c r="O30" s="85"/>
      <c r="P30" s="85"/>
      <c r="Q30" s="85">
        <v>50765.8771999999</v>
      </c>
      <c r="R30" s="85">
        <v>27761.2933333333</v>
      </c>
      <c r="S30" s="510">
        <f t="shared" si="2"/>
        <v>128527.170533333</v>
      </c>
      <c r="T30" s="85">
        <v>278488.996133333</v>
      </c>
      <c r="U30" s="509">
        <f t="shared" si="4"/>
        <v>278488.996133333</v>
      </c>
    </row>
    <row r="31" ht="18.75" customHeight="1" spans="1:22">
      <c r="A31" s="10">
        <v>25</v>
      </c>
      <c r="B31" s="18" t="s">
        <v>89</v>
      </c>
      <c r="C31" s="4" t="s">
        <v>90</v>
      </c>
      <c r="D31" s="15" t="s">
        <v>75</v>
      </c>
      <c r="E31" s="85">
        <v>381140.666666666</v>
      </c>
      <c r="F31" s="85">
        <v>19969.64</v>
      </c>
      <c r="G31" s="220"/>
      <c r="H31" s="220">
        <v>60000</v>
      </c>
      <c r="I31" s="85"/>
      <c r="J31" s="509">
        <f t="shared" si="0"/>
        <v>461110.306666666</v>
      </c>
      <c r="K31" s="85"/>
      <c r="L31" s="85"/>
      <c r="M31" s="85">
        <v>0</v>
      </c>
      <c r="N31" s="85"/>
      <c r="O31" s="912"/>
      <c r="P31" s="912">
        <v>5889.44583333333</v>
      </c>
      <c r="Q31" s="85">
        <v>55486.3269499999</v>
      </c>
      <c r="R31" s="85">
        <v>30491.2533333333</v>
      </c>
      <c r="S31" s="510">
        <f t="shared" si="2"/>
        <v>91867.0261166665</v>
      </c>
      <c r="T31" s="85">
        <v>342617.093883333</v>
      </c>
      <c r="U31" s="509">
        <f t="shared" si="4"/>
        <v>369243.28055</v>
      </c>
      <c r="V31" s="13"/>
    </row>
    <row r="32" ht="18.75" customHeight="1" spans="1:22">
      <c r="A32" s="10">
        <v>26</v>
      </c>
      <c r="B32" s="18" t="s">
        <v>91</v>
      </c>
      <c r="C32" s="4" t="s">
        <v>92</v>
      </c>
      <c r="D32" s="15" t="s">
        <v>81</v>
      </c>
      <c r="E32" s="85">
        <v>372145.333333333</v>
      </c>
      <c r="F32" s="85"/>
      <c r="G32" s="220"/>
      <c r="H32" s="220">
        <v>60000</v>
      </c>
      <c r="I32" s="85"/>
      <c r="J32" s="509">
        <f t="shared" si="0"/>
        <v>432145.333333333</v>
      </c>
      <c r="K32" s="85"/>
      <c r="L32" s="85">
        <f>20000</f>
        <v>20000</v>
      </c>
      <c r="M32" s="85">
        <f>161429.76+39000+50000</f>
        <v>250429.76</v>
      </c>
      <c r="N32" s="85"/>
      <c r="O32" s="912"/>
      <c r="P32" s="912">
        <v>5889.44583333333</v>
      </c>
      <c r="Q32" s="220">
        <v>53867.16695</v>
      </c>
      <c r="R32" s="220">
        <v>29771.6266666666</v>
      </c>
      <c r="S32" s="510">
        <f t="shared" si="2"/>
        <v>359957.99945</v>
      </c>
      <c r="T32" s="85">
        <v>72187.3338833331</v>
      </c>
      <c r="U32" s="509">
        <f t="shared" si="4"/>
        <v>72187.3338833331</v>
      </c>
      <c r="V32" s="13"/>
    </row>
    <row r="33" ht="18.75" customHeight="1" spans="1:21">
      <c r="A33" s="10">
        <v>27</v>
      </c>
      <c r="B33" s="18" t="s">
        <v>93</v>
      </c>
      <c r="C33" s="4" t="s">
        <v>94</v>
      </c>
      <c r="D33" s="10" t="s">
        <v>86</v>
      </c>
      <c r="E33" s="85">
        <v>347016.166666666</v>
      </c>
      <c r="F33" s="85"/>
      <c r="G33" s="220"/>
      <c r="H33" s="220">
        <f t="shared" si="5"/>
        <v>60000</v>
      </c>
      <c r="I33" s="85"/>
      <c r="J33" s="509">
        <f t="shared" si="0"/>
        <v>407016.166666666</v>
      </c>
      <c r="K33" s="85"/>
      <c r="L33" s="85"/>
      <c r="M33" s="85">
        <v>0</v>
      </c>
      <c r="N33" s="85"/>
      <c r="O33" s="85"/>
      <c r="P33" s="85"/>
      <c r="Q33" s="85">
        <v>50765.8771999999</v>
      </c>
      <c r="R33" s="85">
        <v>27761.2933333333</v>
      </c>
      <c r="S33" s="510">
        <f t="shared" si="2"/>
        <v>78527.1705333332</v>
      </c>
      <c r="T33" s="85">
        <v>328488.996133333</v>
      </c>
      <c r="U33" s="509">
        <f t="shared" si="4"/>
        <v>328488.996133333</v>
      </c>
    </row>
    <row r="34" ht="18.75" customHeight="1" spans="1:21">
      <c r="A34" s="10">
        <v>28</v>
      </c>
      <c r="B34" s="18" t="s">
        <v>95</v>
      </c>
      <c r="C34" s="4" t="s">
        <v>96</v>
      </c>
      <c r="D34" s="15" t="s">
        <v>81</v>
      </c>
      <c r="E34" s="85">
        <v>372145.333333333</v>
      </c>
      <c r="F34" s="85"/>
      <c r="G34" s="220"/>
      <c r="H34" s="220">
        <v>60000</v>
      </c>
      <c r="I34" s="85"/>
      <c r="J34" s="509">
        <f t="shared" si="0"/>
        <v>432145.333333333</v>
      </c>
      <c r="K34" s="85"/>
      <c r="L34" s="85">
        <f>0</f>
        <v>0</v>
      </c>
      <c r="M34" s="85"/>
      <c r="N34" s="85"/>
      <c r="O34" s="85"/>
      <c r="P34" s="85"/>
      <c r="Q34" s="85">
        <v>54927.2671999999</v>
      </c>
      <c r="R34" s="85">
        <v>29771.6266666666</v>
      </c>
      <c r="S34" s="510">
        <f t="shared" si="2"/>
        <v>84698.8938666665</v>
      </c>
      <c r="T34" s="85">
        <v>347446.439466667</v>
      </c>
      <c r="U34" s="509">
        <f t="shared" si="4"/>
        <v>347446.439466667</v>
      </c>
    </row>
    <row r="35" s="1" customFormat="1" ht="18.75" customHeight="1" spans="1:21">
      <c r="A35" s="10">
        <v>29</v>
      </c>
      <c r="B35" s="18" t="s">
        <v>97</v>
      </c>
      <c r="C35" s="4" t="s">
        <v>98</v>
      </c>
      <c r="D35" s="10" t="s">
        <v>99</v>
      </c>
      <c r="E35" s="85">
        <v>338711.666666667</v>
      </c>
      <c r="F35" s="85"/>
      <c r="G35" s="220"/>
      <c r="H35" s="220">
        <f t="shared" si="5"/>
        <v>60000</v>
      </c>
      <c r="I35" s="85"/>
      <c r="J35" s="509">
        <f t="shared" si="0"/>
        <v>398711.666666667</v>
      </c>
      <c r="K35" s="85"/>
      <c r="L35" s="85">
        <v>50000</v>
      </c>
      <c r="M35" s="85"/>
      <c r="N35" s="85"/>
      <c r="O35" s="85"/>
      <c r="P35" s="85">
        <v>5443.33541666668</v>
      </c>
      <c r="Q35" s="85">
        <v>45410.851625</v>
      </c>
      <c r="R35" s="85">
        <v>27096.9333333334</v>
      </c>
      <c r="S35" s="510">
        <f t="shared" si="2"/>
        <v>127951.120375</v>
      </c>
      <c r="T35" s="85">
        <v>270760.546291667</v>
      </c>
      <c r="U35" s="509">
        <f t="shared" si="4"/>
        <v>270760.546291667</v>
      </c>
    </row>
    <row r="36" s="1" customFormat="1" ht="18.75" customHeight="1" spans="1:21">
      <c r="A36" s="10">
        <v>30</v>
      </c>
      <c r="B36" s="18" t="s">
        <v>100</v>
      </c>
      <c r="C36" s="4" t="s">
        <v>98</v>
      </c>
      <c r="D36" s="10" t="s">
        <v>99</v>
      </c>
      <c r="E36" s="85">
        <v>338711.666666667</v>
      </c>
      <c r="F36" s="85"/>
      <c r="G36" s="220"/>
      <c r="H36" s="220">
        <f t="shared" si="5"/>
        <v>60000</v>
      </c>
      <c r="I36" s="85"/>
      <c r="J36" s="509">
        <f t="shared" si="0"/>
        <v>398711.666666667</v>
      </c>
      <c r="K36" s="85"/>
      <c r="L36" s="85">
        <v>50000</v>
      </c>
      <c r="M36" s="85">
        <v>60625</v>
      </c>
      <c r="N36" s="85"/>
      <c r="O36" s="85"/>
      <c r="P36" s="85">
        <v>5443.33541666668</v>
      </c>
      <c r="Q36" s="85">
        <v>43010.851625</v>
      </c>
      <c r="R36" s="85">
        <v>27096.9333333334</v>
      </c>
      <c r="S36" s="510">
        <f t="shared" si="2"/>
        <v>186176.120375</v>
      </c>
      <c r="T36" s="85">
        <v>223335.546291667</v>
      </c>
      <c r="U36" s="509">
        <f t="shared" si="4"/>
        <v>212535.546291667</v>
      </c>
    </row>
    <row r="37" s="1" customFormat="1" ht="18.75" customHeight="1" spans="1:21">
      <c r="A37" s="10">
        <v>31</v>
      </c>
      <c r="B37" s="18" t="s">
        <v>101</v>
      </c>
      <c r="C37" s="4" t="s">
        <v>85</v>
      </c>
      <c r="D37" s="10" t="s">
        <v>99</v>
      </c>
      <c r="E37" s="85">
        <v>338711.666666667</v>
      </c>
      <c r="F37" s="85"/>
      <c r="G37" s="220"/>
      <c r="H37" s="220">
        <f t="shared" si="5"/>
        <v>60000</v>
      </c>
      <c r="I37" s="85"/>
      <c r="J37" s="509">
        <f t="shared" si="0"/>
        <v>398711.666666667</v>
      </c>
      <c r="K37" s="85"/>
      <c r="L37" s="85"/>
      <c r="M37" s="85"/>
      <c r="N37" s="85"/>
      <c r="O37" s="85"/>
      <c r="P37" s="85"/>
      <c r="Q37" s="85">
        <v>49390.6520000001</v>
      </c>
      <c r="R37" s="85">
        <v>27096.9333333334</v>
      </c>
      <c r="S37" s="510">
        <f t="shared" si="2"/>
        <v>76487.5853333335</v>
      </c>
      <c r="T37" s="85">
        <v>322224.081333334</v>
      </c>
      <c r="U37" s="509">
        <f t="shared" si="4"/>
        <v>322224.081333334</v>
      </c>
    </row>
    <row r="38" s="1" customFormat="1" ht="18.75" customHeight="1" spans="1:21">
      <c r="A38" s="10">
        <v>32</v>
      </c>
      <c r="B38" s="18" t="s">
        <v>102</v>
      </c>
      <c r="C38" s="4" t="s">
        <v>94</v>
      </c>
      <c r="D38" s="10" t="s">
        <v>99</v>
      </c>
      <c r="E38" s="85">
        <v>338711.666666667</v>
      </c>
      <c r="F38" s="85"/>
      <c r="G38" s="220"/>
      <c r="H38" s="220">
        <f t="shared" si="5"/>
        <v>60000</v>
      </c>
      <c r="I38" s="85"/>
      <c r="J38" s="509">
        <f t="shared" ref="J38:J69" si="6">E38+F38+G38+H38+I38</f>
        <v>398711.666666667</v>
      </c>
      <c r="K38" s="85"/>
      <c r="L38" s="85"/>
      <c r="M38" s="85"/>
      <c r="N38" s="85"/>
      <c r="O38" s="85"/>
      <c r="P38" s="85">
        <v>5443.33541666668</v>
      </c>
      <c r="Q38" s="85">
        <v>48410.8516250001</v>
      </c>
      <c r="R38" s="85">
        <v>27096.9333333334</v>
      </c>
      <c r="S38" s="510">
        <f t="shared" si="2"/>
        <v>80951.1203750002</v>
      </c>
      <c r="T38" s="85">
        <v>317760.546291667</v>
      </c>
      <c r="U38" s="509">
        <f t="shared" si="4"/>
        <v>317760.546291667</v>
      </c>
    </row>
    <row r="39" ht="18.75" customHeight="1" spans="1:21">
      <c r="A39" s="10">
        <v>33</v>
      </c>
      <c r="B39" s="18" t="s">
        <v>103</v>
      </c>
      <c r="C39" s="12" t="s">
        <v>104</v>
      </c>
      <c r="D39" s="15" t="s">
        <v>105</v>
      </c>
      <c r="E39" s="85">
        <v>308920.666666667</v>
      </c>
      <c r="F39" s="85"/>
      <c r="G39" s="220"/>
      <c r="H39" s="220">
        <v>50000</v>
      </c>
      <c r="I39" s="85"/>
      <c r="J39" s="509">
        <f t="shared" si="6"/>
        <v>358920.666666667</v>
      </c>
      <c r="K39" s="85"/>
      <c r="L39" s="85">
        <v>20000</v>
      </c>
      <c r="M39" s="85">
        <v>22916.66</v>
      </c>
      <c r="N39" s="1190"/>
      <c r="O39" s="912"/>
      <c r="P39" s="912">
        <v>5013.73541666668</v>
      </c>
      <c r="Q39" s="85">
        <v>41754.7900250001</v>
      </c>
      <c r="R39" s="85">
        <v>24713.6533333334</v>
      </c>
      <c r="S39" s="510">
        <f t="shared" si="2"/>
        <v>114398.838775</v>
      </c>
      <c r="T39" s="85">
        <v>267438.487891667</v>
      </c>
      <c r="U39" s="509">
        <f t="shared" si="4"/>
        <v>244521.827891667</v>
      </c>
    </row>
    <row r="40" ht="18.75" customHeight="1" spans="1:21">
      <c r="A40" s="10">
        <v>34</v>
      </c>
      <c r="B40" s="18" t="s">
        <v>106</v>
      </c>
      <c r="C40" s="12" t="s">
        <v>107</v>
      </c>
      <c r="D40" s="15" t="s">
        <v>108</v>
      </c>
      <c r="E40" s="680">
        <v>301910.75</v>
      </c>
      <c r="F40" s="85"/>
      <c r="G40" s="220"/>
      <c r="H40" s="220">
        <v>50000</v>
      </c>
      <c r="I40" s="85"/>
      <c r="J40" s="509">
        <f t="shared" si="6"/>
        <v>351910.75</v>
      </c>
      <c r="K40" s="85"/>
      <c r="L40" s="683">
        <v>50000</v>
      </c>
      <c r="M40" s="683">
        <v>45833.33</v>
      </c>
      <c r="N40" s="1191">
        <v>50000</v>
      </c>
      <c r="O40" s="912"/>
      <c r="P40" s="912">
        <v>4909.11041666668</v>
      </c>
      <c r="Q40" s="683">
        <v>40612.780325</v>
      </c>
      <c r="R40" s="684">
        <v>24152.86</v>
      </c>
      <c r="S40" s="510">
        <f t="shared" si="2"/>
        <v>215508.080741667</v>
      </c>
      <c r="T40" s="85">
        <v>136402.669258333</v>
      </c>
      <c r="U40" s="509">
        <f t="shared" si="4"/>
        <v>136402.669258333</v>
      </c>
    </row>
    <row r="41" s="1" customFormat="1" customHeight="1" spans="1:21">
      <c r="A41" s="10">
        <v>35</v>
      </c>
      <c r="B41" s="18" t="s">
        <v>109</v>
      </c>
      <c r="C41" s="12" t="s">
        <v>110</v>
      </c>
      <c r="D41" s="15" t="s">
        <v>111</v>
      </c>
      <c r="E41" s="85">
        <v>294900.833333334</v>
      </c>
      <c r="F41" s="85"/>
      <c r="G41" s="220"/>
      <c r="H41" s="220">
        <f t="shared" ref="H41:H46" si="7">50000</f>
        <v>50000</v>
      </c>
      <c r="I41" s="85"/>
      <c r="J41" s="509">
        <f t="shared" si="6"/>
        <v>344900.833333334</v>
      </c>
      <c r="K41" s="85"/>
      <c r="L41" s="683">
        <v>10000</v>
      </c>
      <c r="M41" s="683">
        <v>66666.67</v>
      </c>
      <c r="N41" s="683"/>
      <c r="O41" s="833"/>
      <c r="P41" s="833">
        <v>4804.48541666668</v>
      </c>
      <c r="Q41" s="683">
        <v>39470.7706250001</v>
      </c>
      <c r="R41" s="683">
        <v>23592.0666666667</v>
      </c>
      <c r="S41" s="510">
        <f t="shared" si="2"/>
        <v>144533.992708333</v>
      </c>
      <c r="T41" s="85">
        <v>200366.840625001</v>
      </c>
      <c r="U41" s="509">
        <f t="shared" si="4"/>
        <v>200366.840625001</v>
      </c>
    </row>
    <row r="42" s="1" customFormat="1" customHeight="1" spans="1:21">
      <c r="A42" s="10">
        <v>36</v>
      </c>
      <c r="B42" s="18" t="s">
        <v>112</v>
      </c>
      <c r="C42" s="12" t="s">
        <v>113</v>
      </c>
      <c r="D42" s="15" t="s">
        <v>111</v>
      </c>
      <c r="E42" s="85">
        <v>294900.833333334</v>
      </c>
      <c r="F42" s="85"/>
      <c r="G42" s="220"/>
      <c r="H42" s="220">
        <f t="shared" si="7"/>
        <v>50000</v>
      </c>
      <c r="I42" s="85"/>
      <c r="J42" s="509">
        <f t="shared" si="6"/>
        <v>344900.833333334</v>
      </c>
      <c r="K42" s="85"/>
      <c r="L42" s="683"/>
      <c r="M42" s="683"/>
      <c r="N42" s="683">
        <v>70000</v>
      </c>
      <c r="O42" s="833"/>
      <c r="P42" s="833"/>
      <c r="Q42" s="261">
        <v>40335.5780000001</v>
      </c>
      <c r="R42" s="261">
        <v>23592.0666666667</v>
      </c>
      <c r="S42" s="510">
        <f t="shared" si="2"/>
        <v>133927.644666667</v>
      </c>
      <c r="T42" s="85">
        <v>210973.188666667</v>
      </c>
      <c r="U42" s="509">
        <f t="shared" si="4"/>
        <v>210973.188666667</v>
      </c>
    </row>
    <row r="43" s="1" customFormat="1" customHeight="1" spans="1:21">
      <c r="A43" s="10">
        <v>37</v>
      </c>
      <c r="B43" s="18" t="s">
        <v>114</v>
      </c>
      <c r="C43" s="12" t="s">
        <v>113</v>
      </c>
      <c r="D43" s="15" t="s">
        <v>111</v>
      </c>
      <c r="E43" s="85">
        <v>294900.833333334</v>
      </c>
      <c r="F43" s="85"/>
      <c r="G43" s="220"/>
      <c r="H43" s="220">
        <f t="shared" si="7"/>
        <v>50000</v>
      </c>
      <c r="I43" s="85"/>
      <c r="J43" s="509">
        <f t="shared" si="6"/>
        <v>344900.833333334</v>
      </c>
      <c r="K43" s="85"/>
      <c r="L43" s="683"/>
      <c r="M43" s="683"/>
      <c r="N43" s="683"/>
      <c r="O43" s="833"/>
      <c r="P43" s="833"/>
      <c r="Q43" s="261">
        <v>40335.5780000001</v>
      </c>
      <c r="R43" s="261">
        <v>23592.0666666667</v>
      </c>
      <c r="S43" s="510">
        <f t="shared" si="2"/>
        <v>63927.6446666668</v>
      </c>
      <c r="T43" s="85">
        <v>280973.188666667</v>
      </c>
      <c r="U43" s="509">
        <f t="shared" si="4"/>
        <v>280973.188666667</v>
      </c>
    </row>
    <row r="44" s="1" customFormat="1" customHeight="1" spans="1:21">
      <c r="A44" s="10">
        <v>38</v>
      </c>
      <c r="B44" s="18" t="s">
        <v>115</v>
      </c>
      <c r="C44" s="12" t="s">
        <v>116</v>
      </c>
      <c r="D44" s="15" t="s">
        <v>111</v>
      </c>
      <c r="E44" s="85">
        <v>294900.833333334</v>
      </c>
      <c r="F44" s="85"/>
      <c r="G44" s="220"/>
      <c r="H44" s="220">
        <f t="shared" si="7"/>
        <v>50000</v>
      </c>
      <c r="I44" s="85"/>
      <c r="J44" s="509">
        <f t="shared" si="6"/>
        <v>344900.833333334</v>
      </c>
      <c r="K44" s="85"/>
      <c r="L44" s="683">
        <v>20000</v>
      </c>
      <c r="M44" s="683"/>
      <c r="N44" s="683"/>
      <c r="O44" s="833"/>
      <c r="P44" s="833"/>
      <c r="Q44" s="261">
        <v>40335.5780000001</v>
      </c>
      <c r="R44" s="261">
        <v>23592.0666666667</v>
      </c>
      <c r="S44" s="510">
        <f t="shared" si="2"/>
        <v>83927.6446666668</v>
      </c>
      <c r="T44" s="85">
        <v>260973.188666667</v>
      </c>
      <c r="U44" s="509">
        <f t="shared" si="4"/>
        <v>260973.188666667</v>
      </c>
    </row>
    <row r="45" s="1" customFormat="1" customHeight="1" spans="1:21">
      <c r="A45" s="10">
        <v>39</v>
      </c>
      <c r="B45" s="18" t="s">
        <v>117</v>
      </c>
      <c r="C45" s="12" t="s">
        <v>113</v>
      </c>
      <c r="D45" s="15" t="s">
        <v>111</v>
      </c>
      <c r="E45" s="85">
        <v>294900.833333334</v>
      </c>
      <c r="F45" s="85"/>
      <c r="G45" s="220"/>
      <c r="H45" s="220">
        <f t="shared" si="7"/>
        <v>50000</v>
      </c>
      <c r="I45" s="85"/>
      <c r="J45" s="509">
        <f t="shared" si="6"/>
        <v>344900.833333334</v>
      </c>
      <c r="K45" s="85"/>
      <c r="L45" s="683">
        <v>20000</v>
      </c>
      <c r="M45" s="683">
        <v>150000</v>
      </c>
      <c r="N45" s="683"/>
      <c r="O45" s="833"/>
      <c r="P45" s="833"/>
      <c r="Q45" s="261">
        <v>40335.5780000001</v>
      </c>
      <c r="R45" s="261">
        <v>23592.0666666667</v>
      </c>
      <c r="S45" s="510">
        <f t="shared" si="2"/>
        <v>233927.644666667</v>
      </c>
      <c r="T45" s="85">
        <v>110973.188666667</v>
      </c>
      <c r="U45" s="509">
        <f t="shared" si="4"/>
        <v>110973.188666667</v>
      </c>
    </row>
    <row r="46" s="1" customFormat="1" customHeight="1" spans="1:21">
      <c r="A46" s="10">
        <v>40</v>
      </c>
      <c r="B46" s="18" t="s">
        <v>118</v>
      </c>
      <c r="C46" s="12" t="s">
        <v>119</v>
      </c>
      <c r="D46" s="15" t="s">
        <v>111</v>
      </c>
      <c r="E46" s="85">
        <v>294900.833333334</v>
      </c>
      <c r="F46" s="85"/>
      <c r="G46" s="220"/>
      <c r="H46" s="220">
        <f t="shared" si="7"/>
        <v>50000</v>
      </c>
      <c r="I46" s="85"/>
      <c r="J46" s="509">
        <f t="shared" si="6"/>
        <v>344900.833333334</v>
      </c>
      <c r="K46" s="85"/>
      <c r="L46" s="683"/>
      <c r="M46" s="683"/>
      <c r="N46" s="683"/>
      <c r="O46" s="4"/>
      <c r="P46" s="4"/>
      <c r="Q46" s="683">
        <v>40335.5780000001</v>
      </c>
      <c r="R46" s="683">
        <v>23592.0666666667</v>
      </c>
      <c r="S46" s="510">
        <f t="shared" si="2"/>
        <v>63927.6446666668</v>
      </c>
      <c r="T46" s="85">
        <v>280973.188666667</v>
      </c>
      <c r="U46" s="509">
        <f t="shared" si="4"/>
        <v>280973.188666667</v>
      </c>
    </row>
    <row r="47" ht="26.25" customHeight="1" spans="1:21">
      <c r="A47" s="10"/>
      <c r="B47" s="20" t="s">
        <v>120</v>
      </c>
      <c r="C47" s="21">
        <v>40</v>
      </c>
      <c r="D47" s="15"/>
      <c r="E47" s="221">
        <f>SUM(E7:E46)</f>
        <v>20530608.3333334</v>
      </c>
      <c r="F47" s="221">
        <f t="shared" ref="F47:T47" si="8">SUM(F7:F46)</f>
        <v>19969.64</v>
      </c>
      <c r="G47" s="221">
        <f t="shared" si="8"/>
        <v>1590000</v>
      </c>
      <c r="H47" s="221">
        <f t="shared" si="8"/>
        <v>1820000</v>
      </c>
      <c r="I47" s="221">
        <f t="shared" si="8"/>
        <v>2025235</v>
      </c>
      <c r="J47" s="509">
        <f t="shared" si="6"/>
        <v>25985812.9733334</v>
      </c>
      <c r="K47" s="221">
        <f t="shared" si="8"/>
        <v>0</v>
      </c>
      <c r="L47" s="221">
        <f t="shared" si="8"/>
        <v>1270000</v>
      </c>
      <c r="M47" s="221">
        <f t="shared" si="8"/>
        <v>1681090.75</v>
      </c>
      <c r="N47" s="221">
        <f t="shared" si="8"/>
        <v>320000</v>
      </c>
      <c r="O47" s="221">
        <f t="shared" si="8"/>
        <v>57818.75</v>
      </c>
      <c r="P47" s="221">
        <f t="shared" si="8"/>
        <v>148222.560416667</v>
      </c>
      <c r="Q47" s="221">
        <f t="shared" si="8"/>
        <v>3728382.21675</v>
      </c>
      <c r="R47" s="221">
        <f t="shared" si="8"/>
        <v>1412333.16</v>
      </c>
      <c r="S47" s="221">
        <f t="shared" si="8"/>
        <v>8617847.43716667</v>
      </c>
      <c r="T47" s="221">
        <v>17375056.0095</v>
      </c>
      <c r="U47" s="221">
        <f>SUM(U7:U46)</f>
        <v>17367965.5361667</v>
      </c>
    </row>
    <row r="48" ht="18.75" customHeight="1" spans="1:21">
      <c r="A48" s="10"/>
      <c r="B48" s="22"/>
      <c r="C48" s="4"/>
      <c r="D48" s="15"/>
      <c r="E48" s="221"/>
      <c r="F48" s="221"/>
      <c r="G48" s="220"/>
      <c r="H48" s="220"/>
      <c r="I48" s="221"/>
      <c r="J48" s="509"/>
      <c r="K48" s="221"/>
      <c r="L48" s="221"/>
      <c r="M48" s="221"/>
      <c r="N48" s="221"/>
      <c r="O48" s="221"/>
      <c r="P48" s="221"/>
      <c r="Q48" s="221"/>
      <c r="R48" s="221"/>
      <c r="S48" s="515"/>
      <c r="T48" s="221"/>
      <c r="U48" s="514"/>
    </row>
    <row r="49" ht="18.75" customHeight="1" spans="1:21">
      <c r="A49" s="10"/>
      <c r="B49" s="20" t="s">
        <v>121</v>
      </c>
      <c r="C49" s="4"/>
      <c r="D49" s="15"/>
      <c r="E49" s="85"/>
      <c r="F49" s="85"/>
      <c r="G49" s="220"/>
      <c r="H49" s="220"/>
      <c r="I49" s="85"/>
      <c r="J49" s="509"/>
      <c r="K49" s="85"/>
      <c r="L49" s="85"/>
      <c r="M49" s="85"/>
      <c r="N49" s="85"/>
      <c r="O49" s="85"/>
      <c r="P49" s="85"/>
      <c r="Q49" s="85"/>
      <c r="R49" s="85"/>
      <c r="S49" s="510"/>
      <c r="T49" s="85"/>
      <c r="U49" s="509"/>
    </row>
    <row r="50" ht="18.75" customHeight="1" spans="1:21">
      <c r="A50" s="10">
        <v>1</v>
      </c>
      <c r="B50" s="18" t="s">
        <v>122</v>
      </c>
      <c r="C50" s="4" t="s">
        <v>123</v>
      </c>
      <c r="D50" s="10" t="s">
        <v>124</v>
      </c>
      <c r="E50" s="85">
        <v>1747106.41666666</v>
      </c>
      <c r="F50" s="85"/>
      <c r="G50" s="220"/>
      <c r="H50" s="220">
        <f>100000</f>
        <v>100000</v>
      </c>
      <c r="I50" s="85"/>
      <c r="J50" s="509">
        <f t="shared" si="6"/>
        <v>1847106.41666666</v>
      </c>
      <c r="K50" s="85">
        <f>'APRIL 2026'!F248</f>
        <v>0</v>
      </c>
      <c r="L50" s="85">
        <f>300000</f>
        <v>300000</v>
      </c>
      <c r="M50" s="85">
        <f>458333.33</f>
        <v>458333.33</v>
      </c>
      <c r="N50" s="85"/>
      <c r="O50" s="85"/>
      <c r="P50" s="85"/>
      <c r="Q50" s="85">
        <v>311040.959699999</v>
      </c>
      <c r="R50" s="85">
        <v>139768.513333333</v>
      </c>
      <c r="S50" s="510">
        <f t="shared" ref="S50:S56" si="9">SUM(K50:R50)</f>
        <v>1209142.80303333</v>
      </c>
      <c r="T50" s="85">
        <v>637963.613633328</v>
      </c>
      <c r="U50" s="509">
        <f>J50-S50</f>
        <v>637963.613633328</v>
      </c>
    </row>
    <row r="51" customHeight="1" spans="1:21">
      <c r="A51" s="10">
        <v>2</v>
      </c>
      <c r="B51" s="11" t="s">
        <v>125</v>
      </c>
      <c r="C51" s="12" t="s">
        <v>126</v>
      </c>
      <c r="D51" s="15" t="s">
        <v>50</v>
      </c>
      <c r="E51" s="85">
        <v>722595.5</v>
      </c>
      <c r="F51" s="85"/>
      <c r="G51" s="220"/>
      <c r="H51" s="220">
        <f>80000</f>
        <v>80000</v>
      </c>
      <c r="I51" s="85">
        <v>0</v>
      </c>
      <c r="J51" s="509">
        <f t="shared" si="6"/>
        <v>802595.5</v>
      </c>
      <c r="K51" s="85"/>
      <c r="L51" s="85">
        <v>50000</v>
      </c>
      <c r="M51" s="85"/>
      <c r="N51" s="85"/>
      <c r="O51" s="85"/>
      <c r="P51" s="85"/>
      <c r="Q51" s="85">
        <v>116561.8148</v>
      </c>
      <c r="R51" s="85">
        <v>57807.64</v>
      </c>
      <c r="S51" s="510">
        <f t="shared" si="9"/>
        <v>224369.4548</v>
      </c>
      <c r="T51" s="85">
        <v>578226.0452</v>
      </c>
      <c r="U51" s="509">
        <f t="shared" ref="U51:U56" si="10">J51-S51</f>
        <v>578226.0452</v>
      </c>
    </row>
    <row r="52" ht="18.75" customHeight="1" spans="1:21">
      <c r="A52" s="10">
        <v>3</v>
      </c>
      <c r="B52" s="18" t="s">
        <v>127</v>
      </c>
      <c r="C52" s="4" t="s">
        <v>128</v>
      </c>
      <c r="D52" s="10" t="s">
        <v>78</v>
      </c>
      <c r="E52" s="85">
        <v>390135.833333334</v>
      </c>
      <c r="F52" s="85"/>
      <c r="G52" s="220"/>
      <c r="H52" s="220">
        <f>60000</f>
        <v>60000</v>
      </c>
      <c r="I52" s="85"/>
      <c r="J52" s="509">
        <f t="shared" si="6"/>
        <v>450135.833333334</v>
      </c>
      <c r="K52" s="85"/>
      <c r="L52" s="85">
        <f>20000</f>
        <v>20000</v>
      </c>
      <c r="M52" s="85">
        <v>73333.33</v>
      </c>
      <c r="N52" s="85">
        <v>20000</v>
      </c>
      <c r="O52" s="85"/>
      <c r="P52" s="85">
        <v>6154.27916666668</v>
      </c>
      <c r="Q52" s="85">
        <v>56798.7237500001</v>
      </c>
      <c r="R52" s="85">
        <v>31210.8666666667</v>
      </c>
      <c r="S52" s="510">
        <f t="shared" si="9"/>
        <v>207497.199583333</v>
      </c>
      <c r="T52" s="85">
        <v>215509.883750001</v>
      </c>
      <c r="U52" s="509">
        <f t="shared" si="10"/>
        <v>242638.633750001</v>
      </c>
    </row>
    <row r="53" ht="18.75" customHeight="1" spans="1:21">
      <c r="A53" s="10">
        <v>4</v>
      </c>
      <c r="B53" s="11" t="s">
        <v>129</v>
      </c>
      <c r="C53" s="4" t="s">
        <v>130</v>
      </c>
      <c r="D53" s="15" t="s">
        <v>131</v>
      </c>
      <c r="E53" s="220">
        <v>454993.583333333</v>
      </c>
      <c r="F53" s="85"/>
      <c r="G53" s="220"/>
      <c r="H53" s="220">
        <f>60000</f>
        <v>60000</v>
      </c>
      <c r="I53" s="85"/>
      <c r="J53" s="509">
        <f t="shared" si="6"/>
        <v>514993.583333333</v>
      </c>
      <c r="K53" s="85"/>
      <c r="L53" s="85">
        <f>10000</f>
        <v>10000</v>
      </c>
      <c r="M53" s="85"/>
      <c r="N53" s="85"/>
      <c r="O53" s="85"/>
      <c r="P53" s="85"/>
      <c r="Q53" s="85">
        <v>68646.9374</v>
      </c>
      <c r="R53" s="85">
        <v>36399.4866666666</v>
      </c>
      <c r="S53" s="510">
        <f t="shared" si="9"/>
        <v>115046.424066667</v>
      </c>
      <c r="T53" s="85">
        <v>399947.159266666</v>
      </c>
      <c r="U53" s="509">
        <f t="shared" si="10"/>
        <v>399947.159266666</v>
      </c>
    </row>
    <row r="54" s="1" customFormat="1" customHeight="1" spans="1:21">
      <c r="A54" s="10">
        <v>5</v>
      </c>
      <c r="B54" s="18" t="s">
        <v>132</v>
      </c>
      <c r="C54" s="4" t="s">
        <v>128</v>
      </c>
      <c r="D54" s="15" t="s">
        <v>99</v>
      </c>
      <c r="E54" s="85">
        <v>338711.666666667</v>
      </c>
      <c r="F54" s="85"/>
      <c r="G54" s="220"/>
      <c r="H54" s="220">
        <v>60000</v>
      </c>
      <c r="I54" s="85"/>
      <c r="J54" s="509">
        <f t="shared" si="6"/>
        <v>398711.666666667</v>
      </c>
      <c r="K54" s="85"/>
      <c r="L54" s="683">
        <f>100000</f>
        <v>100000</v>
      </c>
      <c r="M54" s="683"/>
      <c r="N54" s="683"/>
      <c r="O54" s="833">
        <v>77277.75</v>
      </c>
      <c r="P54" s="833">
        <v>5443.33541666668</v>
      </c>
      <c r="Q54" s="683">
        <v>44810.851625</v>
      </c>
      <c r="R54" s="684">
        <v>27096.9333333334</v>
      </c>
      <c r="S54" s="510">
        <f t="shared" si="9"/>
        <v>254628.870375</v>
      </c>
      <c r="T54" s="85">
        <v>151282.796291667</v>
      </c>
      <c r="U54" s="509">
        <f t="shared" si="10"/>
        <v>144082.796291667</v>
      </c>
    </row>
    <row r="55" ht="18.75" customHeight="1" spans="1:21">
      <c r="A55" s="10">
        <v>6</v>
      </c>
      <c r="B55" s="11" t="s">
        <v>133</v>
      </c>
      <c r="C55" s="4" t="s">
        <v>134</v>
      </c>
      <c r="D55" s="15" t="s">
        <v>86</v>
      </c>
      <c r="E55" s="680">
        <v>347016.166666666</v>
      </c>
      <c r="F55" s="85"/>
      <c r="G55" s="220"/>
      <c r="H55" s="220">
        <v>60000</v>
      </c>
      <c r="I55" s="85"/>
      <c r="J55" s="509">
        <f t="shared" si="6"/>
        <v>407016.166666666</v>
      </c>
      <c r="K55" s="85"/>
      <c r="L55" s="683">
        <v>20000</v>
      </c>
      <c r="M55" s="683">
        <v>98878.69</v>
      </c>
      <c r="N55" s="683"/>
      <c r="O55" s="833"/>
      <c r="P55" s="833">
        <v>5566.86458333332</v>
      </c>
      <c r="Q55" s="683">
        <v>49763.8415749999</v>
      </c>
      <c r="R55" s="684">
        <v>27761.2933333333</v>
      </c>
      <c r="S55" s="510">
        <f t="shared" si="9"/>
        <v>201970.689491667</v>
      </c>
      <c r="T55" s="85">
        <v>205045.477174999</v>
      </c>
      <c r="U55" s="509">
        <f t="shared" si="10"/>
        <v>205045.477174999</v>
      </c>
    </row>
    <row r="56" s="1" customFormat="1" customHeight="1" spans="1:21">
      <c r="A56" s="10">
        <v>7</v>
      </c>
      <c r="B56" s="18" t="s">
        <v>135</v>
      </c>
      <c r="C56" s="12" t="s">
        <v>136</v>
      </c>
      <c r="D56" s="15" t="s">
        <v>111</v>
      </c>
      <c r="E56" s="85">
        <v>294900.833333334</v>
      </c>
      <c r="F56" s="85"/>
      <c r="G56" s="220"/>
      <c r="H56" s="220">
        <v>50000</v>
      </c>
      <c r="I56" s="85"/>
      <c r="J56" s="509">
        <f t="shared" si="6"/>
        <v>344900.833333334</v>
      </c>
      <c r="K56" s="85"/>
      <c r="L56" s="683">
        <v>100000</v>
      </c>
      <c r="M56" s="683"/>
      <c r="N56" s="683"/>
      <c r="O56" s="833">
        <v>20453.13</v>
      </c>
      <c r="P56" s="4"/>
      <c r="Q56" s="683">
        <v>38685.5780000001</v>
      </c>
      <c r="R56" s="684">
        <v>23592.0666666667</v>
      </c>
      <c r="S56" s="510">
        <f t="shared" si="9"/>
        <v>182730.774666667</v>
      </c>
      <c r="T56" s="85">
        <v>162170.058666667</v>
      </c>
      <c r="U56" s="509">
        <f t="shared" si="10"/>
        <v>162170.058666667</v>
      </c>
    </row>
    <row r="57" ht="19.5" customHeight="1" spans="1:21">
      <c r="A57" s="10"/>
      <c r="B57" s="14"/>
      <c r="C57" s="21">
        <v>7</v>
      </c>
      <c r="D57" s="10"/>
      <c r="E57" s="221">
        <f>SUM(E50:E56)</f>
        <v>4295459.99999999</v>
      </c>
      <c r="F57" s="221">
        <f t="shared" ref="F57:T57" si="11">SUM(F50:F56)</f>
        <v>0</v>
      </c>
      <c r="G57" s="221">
        <f t="shared" si="11"/>
        <v>0</v>
      </c>
      <c r="H57" s="221">
        <f t="shared" si="11"/>
        <v>470000</v>
      </c>
      <c r="I57" s="221">
        <f t="shared" si="11"/>
        <v>0</v>
      </c>
      <c r="J57" s="514">
        <f t="shared" si="6"/>
        <v>4765459.99999999</v>
      </c>
      <c r="K57" s="221">
        <f t="shared" si="11"/>
        <v>0</v>
      </c>
      <c r="L57" s="221">
        <f t="shared" si="11"/>
        <v>600000</v>
      </c>
      <c r="M57" s="221">
        <f t="shared" si="11"/>
        <v>630545.35</v>
      </c>
      <c r="N57" s="221">
        <f t="shared" si="11"/>
        <v>20000</v>
      </c>
      <c r="O57" s="221">
        <f t="shared" si="11"/>
        <v>97730.88</v>
      </c>
      <c r="P57" s="221">
        <f t="shared" si="11"/>
        <v>17164.4791666667</v>
      </c>
      <c r="Q57" s="221">
        <f t="shared" si="11"/>
        <v>686308.706849999</v>
      </c>
      <c r="R57" s="221">
        <f t="shared" si="11"/>
        <v>343636.8</v>
      </c>
      <c r="S57" s="221">
        <f t="shared" si="11"/>
        <v>2395386.21601667</v>
      </c>
      <c r="T57" s="221">
        <v>2350145.03398333</v>
      </c>
      <c r="U57" s="221">
        <f>SUM(U50:U56)</f>
        <v>2370073.78398333</v>
      </c>
    </row>
    <row r="58" customHeight="1" spans="1:21">
      <c r="A58" s="10"/>
      <c r="B58" s="14"/>
      <c r="C58" s="4"/>
      <c r="D58" s="10"/>
      <c r="E58" s="221"/>
      <c r="F58" s="221"/>
      <c r="G58" s="220"/>
      <c r="H58" s="220"/>
      <c r="I58" s="221"/>
      <c r="J58" s="509"/>
      <c r="K58" s="221"/>
      <c r="L58" s="221"/>
      <c r="M58" s="221"/>
      <c r="N58" s="221"/>
      <c r="O58" s="221"/>
      <c r="P58" s="221"/>
      <c r="Q58" s="221"/>
      <c r="R58" s="221"/>
      <c r="S58" s="510"/>
      <c r="T58" s="85"/>
      <c r="U58" s="509"/>
    </row>
    <row r="59" customHeight="1" spans="1:21">
      <c r="A59" s="10"/>
      <c r="B59" s="23" t="s">
        <v>137</v>
      </c>
      <c r="C59" s="5"/>
      <c r="D59" s="24"/>
      <c r="E59" s="221"/>
      <c r="F59" s="221"/>
      <c r="G59" s="220"/>
      <c r="H59" s="220"/>
      <c r="I59" s="85"/>
      <c r="J59" s="509"/>
      <c r="K59" s="85"/>
      <c r="L59" s="85"/>
      <c r="M59" s="85"/>
      <c r="N59" s="85"/>
      <c r="O59" s="85"/>
      <c r="P59" s="85"/>
      <c r="Q59" s="85"/>
      <c r="R59" s="85"/>
      <c r="S59" s="510"/>
      <c r="T59" s="85"/>
      <c r="U59" s="509"/>
    </row>
    <row r="60" customHeight="1" spans="1:21">
      <c r="A60" s="10">
        <v>1</v>
      </c>
      <c r="B60" s="11" t="s">
        <v>138</v>
      </c>
      <c r="C60" s="4" t="s">
        <v>139</v>
      </c>
      <c r="D60" s="10" t="s">
        <v>140</v>
      </c>
      <c r="E60" s="85">
        <v>1697359.33333333</v>
      </c>
      <c r="F60" s="85"/>
      <c r="G60" s="220">
        <f>200000</f>
        <v>200000</v>
      </c>
      <c r="H60" s="220"/>
      <c r="I60" s="85"/>
      <c r="J60" s="509">
        <f t="shared" si="6"/>
        <v>1897359.33333333</v>
      </c>
      <c r="K60" s="85"/>
      <c r="L60" s="85">
        <f>80000+23000+300000</f>
        <v>403000</v>
      </c>
      <c r="M60" s="85">
        <f>246905.96</f>
        <v>246905.96</v>
      </c>
      <c r="N60" s="85">
        <v>150000</v>
      </c>
      <c r="O60" s="85"/>
      <c r="P60" s="85"/>
      <c r="Q60" s="85">
        <v>322429.823199999</v>
      </c>
      <c r="R60" s="85">
        <v>135788.746666666</v>
      </c>
      <c r="S60" s="510">
        <f t="shared" ref="S60:S71" si="12">SUM(K60:R60)</f>
        <v>1258124.52986667</v>
      </c>
      <c r="T60" s="85">
        <v>639234.80346666</v>
      </c>
      <c r="U60" s="509">
        <f>J60-S60</f>
        <v>639234.803466665</v>
      </c>
    </row>
    <row r="61" customHeight="1" spans="1:21">
      <c r="A61" s="10">
        <v>2</v>
      </c>
      <c r="B61" s="11" t="s">
        <v>141</v>
      </c>
      <c r="C61" s="4" t="s">
        <v>142</v>
      </c>
      <c r="D61" s="10" t="s">
        <v>143</v>
      </c>
      <c r="E61" s="85">
        <f>852711.083333</f>
        <v>852711.083333</v>
      </c>
      <c r="F61" s="85"/>
      <c r="G61" s="220">
        <f>180000</f>
        <v>180000</v>
      </c>
      <c r="H61" s="220"/>
      <c r="I61" s="85"/>
      <c r="J61" s="509">
        <f t="shared" si="6"/>
        <v>1032711.083333</v>
      </c>
      <c r="K61" s="85"/>
      <c r="L61" s="85">
        <f>30000</f>
        <v>30000</v>
      </c>
      <c r="M61" s="85">
        <v>223059.88</v>
      </c>
      <c r="N61" s="85"/>
      <c r="O61" s="85"/>
      <c r="P61" s="85"/>
      <c r="Q61" s="85">
        <v>157667.52619994</v>
      </c>
      <c r="R61" s="85">
        <f>0.08*E61</f>
        <v>68216.88666664</v>
      </c>
      <c r="S61" s="510">
        <f t="shared" si="12"/>
        <v>478944.29286658</v>
      </c>
      <c r="T61" s="85">
        <v>457273.5688</v>
      </c>
      <c r="U61" s="509">
        <f t="shared" ref="U61:U71" si="13">J61-S61</f>
        <v>553766.79046642</v>
      </c>
    </row>
    <row r="62" customHeight="1" spans="1:21">
      <c r="A62" s="10">
        <v>3</v>
      </c>
      <c r="B62" s="11" t="s">
        <v>144</v>
      </c>
      <c r="C62" s="4" t="s">
        <v>145</v>
      </c>
      <c r="D62" s="10" t="s">
        <v>39</v>
      </c>
      <c r="E62" s="85">
        <v>744477</v>
      </c>
      <c r="F62" s="85"/>
      <c r="G62" s="220">
        <f>140000+20000</f>
        <v>160000</v>
      </c>
      <c r="H62" s="220"/>
      <c r="I62" s="85">
        <v>0</v>
      </c>
      <c r="J62" s="509">
        <f t="shared" si="6"/>
        <v>904477</v>
      </c>
      <c r="K62" s="85"/>
      <c r="L62" s="85"/>
      <c r="M62" s="85"/>
      <c r="N62" s="85">
        <v>50000</v>
      </c>
      <c r="O62" s="85">
        <v>30855</v>
      </c>
      <c r="P62" s="85">
        <v>11475.2625</v>
      </c>
      <c r="Q62" s="85">
        <v>132519.84395</v>
      </c>
      <c r="R62" s="85">
        <v>59558.16</v>
      </c>
      <c r="S62" s="510">
        <f t="shared" si="12"/>
        <v>284408.26645</v>
      </c>
      <c r="T62" s="85">
        <v>620068.73355</v>
      </c>
      <c r="U62" s="509">
        <f t="shared" si="13"/>
        <v>620068.73355</v>
      </c>
    </row>
    <row r="63" customHeight="1" spans="1:21">
      <c r="A63" s="10">
        <v>4</v>
      </c>
      <c r="B63" s="11" t="s">
        <v>146</v>
      </c>
      <c r="C63" s="4" t="s">
        <v>145</v>
      </c>
      <c r="D63" s="10" t="s">
        <v>39</v>
      </c>
      <c r="E63" s="85">
        <v>744477</v>
      </c>
      <c r="F63" s="85"/>
      <c r="G63" s="220">
        <f>140000+20000</f>
        <v>160000</v>
      </c>
      <c r="H63" s="220"/>
      <c r="I63" s="85"/>
      <c r="J63" s="509">
        <f t="shared" si="6"/>
        <v>904477</v>
      </c>
      <c r="K63" s="85"/>
      <c r="L63" s="85">
        <f>15000</f>
        <v>15000</v>
      </c>
      <c r="M63" s="85">
        <v>198731.33</v>
      </c>
      <c r="N63" s="85">
        <v>27000</v>
      </c>
      <c r="O63" s="85"/>
      <c r="P63" s="85"/>
      <c r="Q63" s="85">
        <v>134585.3912</v>
      </c>
      <c r="R63" s="85">
        <v>59558.16</v>
      </c>
      <c r="S63" s="510">
        <f t="shared" si="12"/>
        <v>434874.8812</v>
      </c>
      <c r="T63" s="85">
        <v>496602.1188</v>
      </c>
      <c r="U63" s="509">
        <f t="shared" si="13"/>
        <v>469602.1188</v>
      </c>
    </row>
    <row r="64" customHeight="1" spans="1:21">
      <c r="A64" s="10">
        <v>5</v>
      </c>
      <c r="B64" s="14" t="s">
        <v>147</v>
      </c>
      <c r="C64" s="4" t="s">
        <v>145</v>
      </c>
      <c r="D64" s="10" t="s">
        <v>50</v>
      </c>
      <c r="E64" s="85">
        <v>722595.5</v>
      </c>
      <c r="F64" s="85"/>
      <c r="G64" s="220">
        <f t="shared" ref="G61:G65" si="14">160000</f>
        <v>160000</v>
      </c>
      <c r="H64" s="220"/>
      <c r="I64" s="85"/>
      <c r="J64" s="509">
        <f t="shared" si="6"/>
        <v>882595.5</v>
      </c>
      <c r="K64" s="85"/>
      <c r="L64" s="85"/>
      <c r="M64" s="85"/>
      <c r="N64" s="85">
        <v>20000</v>
      </c>
      <c r="O64" s="85"/>
      <c r="P64" s="85">
        <v>0</v>
      </c>
      <c r="Q64" s="85">
        <v>130961.8148</v>
      </c>
      <c r="R64" s="85">
        <v>57807.64</v>
      </c>
      <c r="S64" s="510">
        <f t="shared" si="12"/>
        <v>208769.4548</v>
      </c>
      <c r="T64" s="85">
        <v>673826.0452</v>
      </c>
      <c r="U64" s="509">
        <f t="shared" si="13"/>
        <v>673826.0452</v>
      </c>
    </row>
    <row r="65" customFormat="1" customHeight="1" spans="1:21">
      <c r="A65" s="10">
        <v>6</v>
      </c>
      <c r="B65" s="14" t="s">
        <v>148</v>
      </c>
      <c r="C65" s="4" t="s">
        <v>145</v>
      </c>
      <c r="D65" s="10" t="s">
        <v>50</v>
      </c>
      <c r="E65" s="85">
        <v>722595.5</v>
      </c>
      <c r="F65" s="85"/>
      <c r="G65" s="220">
        <f t="shared" si="14"/>
        <v>160000</v>
      </c>
      <c r="H65" s="220"/>
      <c r="I65" s="85"/>
      <c r="J65" s="509">
        <f t="shared" si="6"/>
        <v>882595.5</v>
      </c>
      <c r="K65" s="85"/>
      <c r="L65" s="85">
        <v>100000</v>
      </c>
      <c r="M65" s="85"/>
      <c r="N65" s="85"/>
      <c r="O65" s="85"/>
      <c r="P65" s="85">
        <v>0</v>
      </c>
      <c r="Q65" s="85">
        <v>130961.8148</v>
      </c>
      <c r="R65" s="85">
        <v>57807.64</v>
      </c>
      <c r="S65" s="510">
        <f t="shared" si="12"/>
        <v>288769.4548</v>
      </c>
      <c r="T65" s="85">
        <v>593826.0452</v>
      </c>
      <c r="U65" s="509">
        <f t="shared" si="13"/>
        <v>593826.0452</v>
      </c>
    </row>
    <row r="66" s="1" customFormat="1" customHeight="1" spans="1:21">
      <c r="A66" s="10">
        <v>7</v>
      </c>
      <c r="B66" s="18" t="s">
        <v>149</v>
      </c>
      <c r="C66" s="4" t="s">
        <v>150</v>
      </c>
      <c r="D66" s="15" t="s">
        <v>131</v>
      </c>
      <c r="E66" s="220">
        <v>454993.583333333</v>
      </c>
      <c r="F66" s="85"/>
      <c r="G66" s="220">
        <f>110000</f>
        <v>110000</v>
      </c>
      <c r="H66" s="220"/>
      <c r="I66" s="85"/>
      <c r="J66" s="509">
        <f t="shared" si="6"/>
        <v>564993.583333333</v>
      </c>
      <c r="K66" s="85"/>
      <c r="L66" s="85"/>
      <c r="M66" s="85"/>
      <c r="N66" s="85">
        <v>20000</v>
      </c>
      <c r="O66" s="85"/>
      <c r="P66" s="85"/>
      <c r="Q66" s="85">
        <v>77646.9374</v>
      </c>
      <c r="R66" s="85">
        <v>36399.4866666666</v>
      </c>
      <c r="S66" s="510">
        <f t="shared" si="12"/>
        <v>134046.424066667</v>
      </c>
      <c r="T66" s="85">
        <v>430947.159266666</v>
      </c>
      <c r="U66" s="509">
        <f t="shared" si="13"/>
        <v>430947.159266666</v>
      </c>
    </row>
    <row r="67" customHeight="1" spans="1:21">
      <c r="A67" s="10">
        <v>8</v>
      </c>
      <c r="B67" s="11" t="s">
        <v>151</v>
      </c>
      <c r="C67" s="4" t="s">
        <v>152</v>
      </c>
      <c r="D67" s="10" t="s">
        <v>153</v>
      </c>
      <c r="E67" s="85">
        <v>399131.166666667</v>
      </c>
      <c r="F67" s="85"/>
      <c r="G67" s="220">
        <v>100000</v>
      </c>
      <c r="H67" s="220"/>
      <c r="I67" s="85"/>
      <c r="J67" s="509">
        <f t="shared" si="6"/>
        <v>499131.166666667</v>
      </c>
      <c r="K67" s="85"/>
      <c r="L67" s="85"/>
      <c r="M67" s="85"/>
      <c r="N67" s="85"/>
      <c r="O67" s="85"/>
      <c r="P67" s="85"/>
      <c r="Q67" s="85">
        <v>66596.1212000001</v>
      </c>
      <c r="R67" s="85">
        <v>31930.4933333333</v>
      </c>
      <c r="S67" s="510">
        <f t="shared" si="12"/>
        <v>98526.6145333334</v>
      </c>
      <c r="T67" s="85">
        <v>400604.552133334</v>
      </c>
      <c r="U67" s="509">
        <f t="shared" si="13"/>
        <v>400604.552133334</v>
      </c>
    </row>
    <row r="68" s="1" customFormat="1" customHeight="1" spans="1:21">
      <c r="A68" s="10">
        <v>9</v>
      </c>
      <c r="B68" s="11" t="s">
        <v>154</v>
      </c>
      <c r="C68" s="4" t="s">
        <v>83</v>
      </c>
      <c r="D68" s="10" t="s">
        <v>75</v>
      </c>
      <c r="E68" s="85">
        <v>381140.666666666</v>
      </c>
      <c r="F68" s="85"/>
      <c r="G68" s="220">
        <f t="shared" ref="G68:G71" si="15">100000</f>
        <v>100000</v>
      </c>
      <c r="H68" s="220"/>
      <c r="I68" s="85"/>
      <c r="J68" s="509">
        <f t="shared" si="6"/>
        <v>481140.666666666</v>
      </c>
      <c r="K68" s="85"/>
      <c r="L68" s="85"/>
      <c r="M68" s="85"/>
      <c r="N68" s="85"/>
      <c r="O68" s="85"/>
      <c r="P68" s="85"/>
      <c r="Q68" s="85">
        <v>63616.8943999999</v>
      </c>
      <c r="R68" s="85">
        <v>30491.2533333333</v>
      </c>
      <c r="S68" s="510">
        <f t="shared" si="12"/>
        <v>94108.1477333332</v>
      </c>
      <c r="T68" s="85">
        <v>387032.518933333</v>
      </c>
      <c r="U68" s="509">
        <f t="shared" si="13"/>
        <v>387032.518933333</v>
      </c>
    </row>
    <row r="69" customHeight="1" spans="1:21">
      <c r="A69" s="10">
        <v>10</v>
      </c>
      <c r="B69" s="11" t="s">
        <v>155</v>
      </c>
      <c r="C69" s="4" t="s">
        <v>152</v>
      </c>
      <c r="D69" s="10" t="s">
        <v>156</v>
      </c>
      <c r="E69" s="85">
        <v>355320.666666667</v>
      </c>
      <c r="F69" s="85"/>
      <c r="G69" s="220">
        <f t="shared" si="15"/>
        <v>100000</v>
      </c>
      <c r="H69" s="220"/>
      <c r="I69" s="85"/>
      <c r="J69" s="509">
        <f t="shared" si="6"/>
        <v>455320.666666667</v>
      </c>
      <c r="K69" s="85"/>
      <c r="L69" s="85"/>
      <c r="M69" s="85"/>
      <c r="N69" s="85"/>
      <c r="O69" s="85"/>
      <c r="P69" s="85"/>
      <c r="Q69" s="85">
        <v>59341.1024000001</v>
      </c>
      <c r="R69" s="85">
        <v>28425.6533333334</v>
      </c>
      <c r="S69" s="510">
        <f t="shared" si="12"/>
        <v>87766.7557333335</v>
      </c>
      <c r="T69" s="85">
        <v>367553.910933333</v>
      </c>
      <c r="U69" s="509">
        <f t="shared" si="13"/>
        <v>367553.910933333</v>
      </c>
    </row>
    <row r="70" customHeight="1" spans="1:21">
      <c r="A70" s="10">
        <v>11</v>
      </c>
      <c r="B70" s="11" t="s">
        <v>157</v>
      </c>
      <c r="C70" s="4" t="s">
        <v>152</v>
      </c>
      <c r="D70" s="10" t="s">
        <v>156</v>
      </c>
      <c r="E70" s="85">
        <v>355320.666666667</v>
      </c>
      <c r="F70" s="85"/>
      <c r="G70" s="220">
        <f t="shared" si="15"/>
        <v>100000</v>
      </c>
      <c r="H70" s="220"/>
      <c r="I70" s="85"/>
      <c r="J70" s="509">
        <f t="shared" ref="J70:J105" si="16">E70+F70+G70+H70+I70</f>
        <v>455320.666666667</v>
      </c>
      <c r="K70" s="85"/>
      <c r="L70" s="85"/>
      <c r="M70" s="85"/>
      <c r="N70" s="85"/>
      <c r="O70" s="85"/>
      <c r="P70" s="85"/>
      <c r="Q70" s="85">
        <v>59341.1024000001</v>
      </c>
      <c r="R70" s="85">
        <v>28425.6533333334</v>
      </c>
      <c r="S70" s="510">
        <f t="shared" si="12"/>
        <v>87766.7557333335</v>
      </c>
      <c r="T70" s="85">
        <v>367553.910933333</v>
      </c>
      <c r="U70" s="509">
        <f t="shared" si="13"/>
        <v>367553.910933333</v>
      </c>
    </row>
    <row r="71" s="1" customFormat="1" ht="18.75" customHeight="1" spans="1:21">
      <c r="A71" s="10">
        <v>12</v>
      </c>
      <c r="B71" s="18" t="s">
        <v>158</v>
      </c>
      <c r="C71" s="4" t="s">
        <v>152</v>
      </c>
      <c r="D71" s="10" t="s">
        <v>99</v>
      </c>
      <c r="E71" s="85">
        <v>338711.666666667</v>
      </c>
      <c r="F71" s="85"/>
      <c r="G71" s="220">
        <f t="shared" si="15"/>
        <v>100000</v>
      </c>
      <c r="H71" s="220"/>
      <c r="I71" s="85"/>
      <c r="J71" s="509">
        <f t="shared" si="16"/>
        <v>438711.666666667</v>
      </c>
      <c r="K71" s="85"/>
      <c r="L71" s="85"/>
      <c r="M71" s="85"/>
      <c r="N71" s="85"/>
      <c r="O71" s="85"/>
      <c r="P71" s="85"/>
      <c r="Q71" s="85">
        <v>56590.6520000001</v>
      </c>
      <c r="R71" s="85">
        <v>27096.9333333334</v>
      </c>
      <c r="S71" s="510">
        <f t="shared" si="12"/>
        <v>83687.5853333335</v>
      </c>
      <c r="T71" s="85">
        <v>355024.081333334</v>
      </c>
      <c r="U71" s="509">
        <f t="shared" si="13"/>
        <v>355024.081333334</v>
      </c>
    </row>
    <row r="72" ht="25.5" customHeight="1" spans="1:21">
      <c r="A72" s="10"/>
      <c r="B72" s="20" t="s">
        <v>120</v>
      </c>
      <c r="C72" s="21">
        <v>12</v>
      </c>
      <c r="D72" s="21"/>
      <c r="E72" s="93">
        <f>SUM(E60:E71)</f>
        <v>7768833.833333</v>
      </c>
      <c r="F72" s="93">
        <f t="shared" ref="F72:S72" si="17">SUM(F60:F71)</f>
        <v>0</v>
      </c>
      <c r="G72" s="93">
        <f t="shared" si="17"/>
        <v>1630000</v>
      </c>
      <c r="H72" s="93">
        <f t="shared" si="17"/>
        <v>0</v>
      </c>
      <c r="I72" s="93">
        <f t="shared" si="17"/>
        <v>0</v>
      </c>
      <c r="J72" s="514">
        <f t="shared" si="16"/>
        <v>9398833.833333</v>
      </c>
      <c r="K72" s="93">
        <f t="shared" si="17"/>
        <v>0</v>
      </c>
      <c r="L72" s="93">
        <f t="shared" si="17"/>
        <v>548000</v>
      </c>
      <c r="M72" s="93">
        <f t="shared" si="17"/>
        <v>668697.17</v>
      </c>
      <c r="N72" s="93">
        <f t="shared" si="17"/>
        <v>267000</v>
      </c>
      <c r="O72" s="93">
        <f t="shared" si="17"/>
        <v>30855</v>
      </c>
      <c r="P72" s="93">
        <f t="shared" si="17"/>
        <v>11475.2625</v>
      </c>
      <c r="Q72" s="93">
        <f t="shared" si="17"/>
        <v>1392259.02394994</v>
      </c>
      <c r="R72" s="93">
        <f t="shared" si="17"/>
        <v>621506.706666639</v>
      </c>
      <c r="S72" s="93">
        <f t="shared" si="17"/>
        <v>3539793.16311658</v>
      </c>
      <c r="T72" s="93">
        <v>5789547.44854999</v>
      </c>
      <c r="U72" s="93">
        <f>SUM(U60:U71)</f>
        <v>5859040.67021642</v>
      </c>
    </row>
    <row r="73" customHeight="1" spans="1:21">
      <c r="A73" s="10"/>
      <c r="B73" s="22"/>
      <c r="C73" s="21"/>
      <c r="D73" s="21"/>
      <c r="E73" s="156"/>
      <c r="F73" s="156"/>
      <c r="G73" s="220"/>
      <c r="H73" s="220"/>
      <c r="I73" s="156"/>
      <c r="J73" s="509"/>
      <c r="K73" s="156"/>
      <c r="L73" s="156"/>
      <c r="M73" s="156"/>
      <c r="N73" s="156"/>
      <c r="O73" s="156"/>
      <c r="P73" s="156"/>
      <c r="Q73" s="156"/>
      <c r="R73" s="156"/>
      <c r="S73" s="517"/>
      <c r="T73" s="156"/>
      <c r="U73" s="516"/>
    </row>
    <row r="74" customHeight="1" spans="1:21">
      <c r="A74" s="10"/>
      <c r="B74" s="20" t="s">
        <v>159</v>
      </c>
      <c r="C74" s="21"/>
      <c r="D74" s="21"/>
      <c r="E74" s="156"/>
      <c r="F74" s="156"/>
      <c r="G74" s="220"/>
      <c r="H74" s="220"/>
      <c r="I74" s="156"/>
      <c r="J74" s="509"/>
      <c r="K74" s="156"/>
      <c r="L74" s="156"/>
      <c r="M74" s="156"/>
      <c r="N74" s="156"/>
      <c r="O74" s="156"/>
      <c r="P74" s="156"/>
      <c r="Q74" s="156"/>
      <c r="R74" s="156"/>
      <c r="S74" s="517"/>
      <c r="T74" s="156"/>
      <c r="U74" s="516"/>
    </row>
    <row r="75" customHeight="1" spans="1:21">
      <c r="A75" s="10">
        <v>1</v>
      </c>
      <c r="B75" s="11" t="s">
        <v>160</v>
      </c>
      <c r="C75" s="12" t="s">
        <v>161</v>
      </c>
      <c r="D75" s="15" t="s">
        <v>124</v>
      </c>
      <c r="E75" s="85">
        <v>1747106.41666666</v>
      </c>
      <c r="F75" s="85"/>
      <c r="G75" s="220">
        <f>200000</f>
        <v>200000</v>
      </c>
      <c r="H75" s="220"/>
      <c r="I75" s="85">
        <v>0</v>
      </c>
      <c r="J75" s="509">
        <f t="shared" si="16"/>
        <v>1947106.41666666</v>
      </c>
      <c r="K75" s="85"/>
      <c r="L75" s="85">
        <v>250000</v>
      </c>
      <c r="M75" s="85"/>
      <c r="N75" s="85">
        <v>500000</v>
      </c>
      <c r="O75" s="85"/>
      <c r="P75" s="85">
        <v>0</v>
      </c>
      <c r="Q75" s="680">
        <v>332040.959699999</v>
      </c>
      <c r="R75" s="680">
        <v>139768.513333333</v>
      </c>
      <c r="S75" s="510">
        <f t="shared" ref="S75:S90" si="18">SUM(K75:R75)</f>
        <v>1221809.47303333</v>
      </c>
      <c r="T75" s="85">
        <v>725296.943633328</v>
      </c>
      <c r="U75" s="509">
        <f>J75-S75</f>
        <v>725296.943633328</v>
      </c>
    </row>
    <row r="76" customHeight="1" spans="1:21">
      <c r="A76" s="10">
        <v>2</v>
      </c>
      <c r="B76" s="11" t="s">
        <v>162</v>
      </c>
      <c r="C76" s="12" t="s">
        <v>163</v>
      </c>
      <c r="D76" s="15" t="s">
        <v>143</v>
      </c>
      <c r="E76" s="85">
        <v>852711.083333</v>
      </c>
      <c r="F76" s="85"/>
      <c r="G76" s="220"/>
      <c r="H76" s="220">
        <v>90000</v>
      </c>
      <c r="I76" s="85"/>
      <c r="J76" s="509">
        <f t="shared" si="16"/>
        <v>942711.083333</v>
      </c>
      <c r="K76" s="85"/>
      <c r="L76" s="85">
        <v>50000</v>
      </c>
      <c r="M76" s="85">
        <v>345000</v>
      </c>
      <c r="N76" s="85"/>
      <c r="O76" s="85"/>
      <c r="P76" s="85">
        <v>0</v>
      </c>
      <c r="Q76" s="680">
        <v>141467.52619994</v>
      </c>
      <c r="R76" s="680">
        <v>68216.88666664</v>
      </c>
      <c r="S76" s="510">
        <f t="shared" si="18"/>
        <v>604684.41286658</v>
      </c>
      <c r="T76" s="85">
        <v>249733.4488</v>
      </c>
      <c r="U76" s="509">
        <f>J76-S76</f>
        <v>338026.67046642</v>
      </c>
    </row>
    <row r="77" customHeight="1" spans="1:21">
      <c r="A77" s="10"/>
      <c r="B77" s="20" t="s">
        <v>120</v>
      </c>
      <c r="C77" s="21">
        <v>2</v>
      </c>
      <c r="D77" s="21"/>
      <c r="E77" s="93">
        <f>SUM(E75:E76)</f>
        <v>2599817.49999966</v>
      </c>
      <c r="F77" s="93">
        <f>SUM(F75:F76)</f>
        <v>0</v>
      </c>
      <c r="G77" s="93">
        <f t="shared" ref="G77:S77" si="19">SUM(G75:G76)</f>
        <v>200000</v>
      </c>
      <c r="H77" s="93">
        <f t="shared" si="19"/>
        <v>90000</v>
      </c>
      <c r="I77" s="93">
        <f t="shared" si="19"/>
        <v>0</v>
      </c>
      <c r="J77" s="516">
        <f t="shared" si="16"/>
        <v>2889817.49999966</v>
      </c>
      <c r="K77" s="93">
        <f t="shared" si="19"/>
        <v>0</v>
      </c>
      <c r="L77" s="93">
        <f t="shared" si="19"/>
        <v>300000</v>
      </c>
      <c r="M77" s="93">
        <f t="shared" si="19"/>
        <v>345000</v>
      </c>
      <c r="N77" s="93">
        <f t="shared" si="19"/>
        <v>500000</v>
      </c>
      <c r="O77" s="93">
        <f t="shared" si="19"/>
        <v>0</v>
      </c>
      <c r="P77" s="93">
        <f t="shared" si="19"/>
        <v>0</v>
      </c>
      <c r="Q77" s="93">
        <f t="shared" si="19"/>
        <v>473508.485899939</v>
      </c>
      <c r="R77" s="93">
        <f t="shared" si="19"/>
        <v>207985.399999973</v>
      </c>
      <c r="S77" s="93">
        <f t="shared" si="19"/>
        <v>1826493.88589991</v>
      </c>
      <c r="T77" s="93">
        <v>975030.392433328</v>
      </c>
      <c r="U77" s="93">
        <f>SUM(U75:U76)</f>
        <v>1063323.61409975</v>
      </c>
    </row>
    <row r="78" customHeight="1" spans="1:21">
      <c r="A78" s="10"/>
      <c r="B78" s="20"/>
      <c r="C78" s="21"/>
      <c r="D78" s="21"/>
      <c r="E78" s="156"/>
      <c r="F78" s="156"/>
      <c r="G78" s="220"/>
      <c r="H78" s="220"/>
      <c r="I78" s="156"/>
      <c r="J78" s="509"/>
      <c r="K78" s="156"/>
      <c r="L78" s="156"/>
      <c r="M78" s="156"/>
      <c r="N78" s="156"/>
      <c r="O78" s="156"/>
      <c r="P78" s="156"/>
      <c r="Q78" s="156"/>
      <c r="R78" s="156"/>
      <c r="S78" s="517"/>
      <c r="T78" s="156"/>
      <c r="U78" s="516"/>
    </row>
    <row r="79" customHeight="1" spans="1:21">
      <c r="A79" s="10"/>
      <c r="B79" s="20" t="s">
        <v>164</v>
      </c>
      <c r="C79" s="21"/>
      <c r="D79" s="21"/>
      <c r="E79" s="156"/>
      <c r="F79" s="156"/>
      <c r="G79" s="220"/>
      <c r="H79" s="220"/>
      <c r="I79" s="156"/>
      <c r="J79" s="509"/>
      <c r="K79" s="156"/>
      <c r="L79" s="156"/>
      <c r="M79" s="156"/>
      <c r="N79" s="156"/>
      <c r="O79" s="156"/>
      <c r="P79" s="156"/>
      <c r="Q79" s="156"/>
      <c r="R79" s="156"/>
      <c r="S79" s="517"/>
      <c r="T79" s="156"/>
      <c r="U79" s="516"/>
    </row>
    <row r="80" customHeight="1" spans="1:21">
      <c r="A80" s="10">
        <v>1</v>
      </c>
      <c r="B80" s="14" t="s">
        <v>165</v>
      </c>
      <c r="C80" s="4" t="s">
        <v>166</v>
      </c>
      <c r="D80" s="10" t="s">
        <v>36</v>
      </c>
      <c r="E80" s="85">
        <v>905306.75</v>
      </c>
      <c r="F80" s="85"/>
      <c r="G80" s="220">
        <v>180000</v>
      </c>
      <c r="H80" s="220"/>
      <c r="I80" s="85">
        <v>0</v>
      </c>
      <c r="J80" s="509">
        <f t="shared" si="16"/>
        <v>1085306.75</v>
      </c>
      <c r="K80" s="85"/>
      <c r="L80" s="85">
        <f>100000</f>
        <v>100000</v>
      </c>
      <c r="M80" s="85">
        <f>163103.59</f>
        <v>163103.59</v>
      </c>
      <c r="N80" s="85"/>
      <c r="O80" s="85"/>
      <c r="P80" s="85">
        <v>13866.7375</v>
      </c>
      <c r="Q80" s="85">
        <v>162322.78505</v>
      </c>
      <c r="R80" s="85">
        <v>72424.54</v>
      </c>
      <c r="S80" s="510">
        <f t="shared" si="18"/>
        <v>511717.65255</v>
      </c>
      <c r="T80" s="85">
        <v>573589.09745</v>
      </c>
      <c r="U80" s="509">
        <f>J80-S80</f>
        <v>573589.09745</v>
      </c>
    </row>
    <row r="81" customHeight="1" spans="1:21">
      <c r="A81" s="10">
        <v>2</v>
      </c>
      <c r="B81" s="11" t="s">
        <v>167</v>
      </c>
      <c r="C81" s="4" t="s">
        <v>52</v>
      </c>
      <c r="D81" s="10" t="s">
        <v>47</v>
      </c>
      <c r="E81" s="85">
        <v>573911.083333334</v>
      </c>
      <c r="F81" s="85"/>
      <c r="G81" s="220">
        <v>140000</v>
      </c>
      <c r="H81" s="220"/>
      <c r="I81" s="85"/>
      <c r="J81" s="509">
        <f t="shared" si="16"/>
        <v>713911.083333334</v>
      </c>
      <c r="K81" s="85"/>
      <c r="L81" s="85">
        <f>110000+90000</f>
        <v>200000</v>
      </c>
      <c r="M81" s="85"/>
      <c r="N81" s="85">
        <v>80000</v>
      </c>
      <c r="O81" s="85"/>
      <c r="P81" s="85"/>
      <c r="Q81" s="85">
        <v>102739.6754</v>
      </c>
      <c r="R81" s="85">
        <v>45912.8866666667</v>
      </c>
      <c r="S81" s="510">
        <f t="shared" si="18"/>
        <v>428652.562066667</v>
      </c>
      <c r="T81" s="85">
        <v>285258.521266667</v>
      </c>
      <c r="U81" s="509">
        <f t="shared" ref="U81:U90" si="20">J81-S81</f>
        <v>285258.521266667</v>
      </c>
    </row>
    <row r="82" s="1" customFormat="1" customHeight="1" spans="1:21">
      <c r="A82" s="10">
        <v>3</v>
      </c>
      <c r="B82" s="18" t="s">
        <v>168</v>
      </c>
      <c r="C82" s="17" t="s">
        <v>169</v>
      </c>
      <c r="D82" s="15" t="s">
        <v>64</v>
      </c>
      <c r="E82" s="85">
        <v>497472.75</v>
      </c>
      <c r="F82" s="85"/>
      <c r="G82" s="220">
        <f t="shared" ref="G82:G87" si="21">120000</f>
        <v>120000</v>
      </c>
      <c r="H82" s="220"/>
      <c r="I82" s="85">
        <v>0</v>
      </c>
      <c r="J82" s="509">
        <f t="shared" si="16"/>
        <v>617472.75</v>
      </c>
      <c r="K82" s="85"/>
      <c r="L82" s="85">
        <v>30000</v>
      </c>
      <c r="M82" s="85">
        <v>15000</v>
      </c>
      <c r="N82" s="85"/>
      <c r="O82" s="85"/>
      <c r="P82" s="85">
        <v>7791.83125</v>
      </c>
      <c r="Q82" s="85">
        <v>85078.957775</v>
      </c>
      <c r="R82" s="85">
        <v>39797.82</v>
      </c>
      <c r="S82" s="510">
        <f t="shared" si="18"/>
        <v>177668.609025</v>
      </c>
      <c r="T82" s="85">
        <v>439804.140975</v>
      </c>
      <c r="U82" s="509">
        <f t="shared" si="20"/>
        <v>439804.140975</v>
      </c>
    </row>
    <row r="83" s="1" customFormat="1" customHeight="1" spans="1:21">
      <c r="A83" s="10">
        <v>4</v>
      </c>
      <c r="B83" s="18" t="s">
        <v>170</v>
      </c>
      <c r="C83" s="17" t="s">
        <v>169</v>
      </c>
      <c r="D83" s="15" t="s">
        <v>64</v>
      </c>
      <c r="E83" s="85">
        <v>497472.75</v>
      </c>
      <c r="F83" s="85"/>
      <c r="G83" s="220">
        <f t="shared" si="21"/>
        <v>120000</v>
      </c>
      <c r="H83" s="220"/>
      <c r="I83" s="85">
        <v>0</v>
      </c>
      <c r="J83" s="509">
        <f t="shared" si="16"/>
        <v>617472.75</v>
      </c>
      <c r="K83" s="85"/>
      <c r="L83" s="85">
        <v>100000</v>
      </c>
      <c r="M83" s="85"/>
      <c r="N83" s="85">
        <v>50000</v>
      </c>
      <c r="O83" s="85"/>
      <c r="P83" s="85">
        <v>7791.83125</v>
      </c>
      <c r="Q83" s="85">
        <v>85078.957775</v>
      </c>
      <c r="R83" s="85">
        <v>39797.82</v>
      </c>
      <c r="S83" s="510">
        <f t="shared" si="18"/>
        <v>282668.609025</v>
      </c>
      <c r="T83" s="85">
        <v>334804.140975</v>
      </c>
      <c r="U83" s="509">
        <f t="shared" si="20"/>
        <v>334804.140975</v>
      </c>
    </row>
    <row r="84" customHeight="1" spans="1:21">
      <c r="A84" s="10">
        <v>5</v>
      </c>
      <c r="B84" s="11" t="s">
        <v>171</v>
      </c>
      <c r="C84" s="17" t="s">
        <v>169</v>
      </c>
      <c r="D84" s="10" t="s">
        <v>67</v>
      </c>
      <c r="E84" s="85">
        <v>482846.583333333</v>
      </c>
      <c r="F84" s="85"/>
      <c r="G84" s="220">
        <f t="shared" si="21"/>
        <v>120000</v>
      </c>
      <c r="H84" s="220"/>
      <c r="I84" s="85">
        <v>0</v>
      </c>
      <c r="J84" s="509">
        <f t="shared" si="16"/>
        <v>602846.583333333</v>
      </c>
      <c r="K84" s="85"/>
      <c r="L84" s="85">
        <v>10000</v>
      </c>
      <c r="M84" s="85">
        <f>163196.67</f>
        <v>163196.67</v>
      </c>
      <c r="N84" s="85"/>
      <c r="O84" s="85"/>
      <c r="P84" s="85">
        <v>7571.96666666667</v>
      </c>
      <c r="Q84" s="85">
        <v>85241.7826322579</v>
      </c>
      <c r="R84" s="85">
        <v>38627.7266666666</v>
      </c>
      <c r="S84" s="510">
        <f t="shared" si="18"/>
        <v>304638.145965591</v>
      </c>
      <c r="T84" s="85">
        <v>298208.437367742</v>
      </c>
      <c r="U84" s="509">
        <f t="shared" si="20"/>
        <v>298208.437367742</v>
      </c>
    </row>
    <row r="85" customHeight="1" spans="1:21">
      <c r="A85" s="10">
        <v>6</v>
      </c>
      <c r="B85" s="11" t="s">
        <v>172</v>
      </c>
      <c r="C85" s="17" t="s">
        <v>72</v>
      </c>
      <c r="D85" s="10" t="s">
        <v>173</v>
      </c>
      <c r="E85" s="85">
        <v>482662.666666667</v>
      </c>
      <c r="F85" s="85"/>
      <c r="G85" s="220">
        <f t="shared" ref="G85:G87" si="22">110000</f>
        <v>110000</v>
      </c>
      <c r="H85" s="220"/>
      <c r="I85" s="85">
        <v>0</v>
      </c>
      <c r="J85" s="509">
        <f t="shared" si="16"/>
        <v>592662.666666667</v>
      </c>
      <c r="K85" s="85"/>
      <c r="L85" s="85"/>
      <c r="M85" s="85"/>
      <c r="N85" s="85">
        <v>50000</v>
      </c>
      <c r="O85" s="85"/>
      <c r="P85" s="85"/>
      <c r="Q85" s="85">
        <v>82228.9376</v>
      </c>
      <c r="R85" s="85">
        <v>38613.0133333334</v>
      </c>
      <c r="S85" s="510">
        <f t="shared" si="18"/>
        <v>170841.950933333</v>
      </c>
      <c r="T85" s="85">
        <v>421820.715733334</v>
      </c>
      <c r="U85" s="509">
        <f t="shared" si="20"/>
        <v>421820.715733334</v>
      </c>
    </row>
    <row r="86" customHeight="1" spans="1:21">
      <c r="A86" s="10">
        <v>7</v>
      </c>
      <c r="B86" s="11" t="s">
        <v>174</v>
      </c>
      <c r="C86" s="17" t="s">
        <v>72</v>
      </c>
      <c r="D86" s="10" t="s">
        <v>173</v>
      </c>
      <c r="E86" s="85">
        <v>482662.666666667</v>
      </c>
      <c r="F86" s="85"/>
      <c r="G86" s="220">
        <f t="shared" si="22"/>
        <v>110000</v>
      </c>
      <c r="H86" s="220"/>
      <c r="I86" s="85">
        <v>0</v>
      </c>
      <c r="J86" s="509">
        <f t="shared" si="16"/>
        <v>592662.666666667</v>
      </c>
      <c r="K86" s="85"/>
      <c r="L86" s="85">
        <f>67000-2000</f>
        <v>65000</v>
      </c>
      <c r="M86" s="85"/>
      <c r="N86" s="85">
        <v>40000</v>
      </c>
      <c r="O86" s="85"/>
      <c r="P86" s="85"/>
      <c r="Q86" s="85">
        <v>82228.9376</v>
      </c>
      <c r="R86" s="85">
        <v>38613.0133333334</v>
      </c>
      <c r="S86" s="510">
        <f t="shared" si="18"/>
        <v>225841.950933333</v>
      </c>
      <c r="T86" s="85">
        <v>366820.715733334</v>
      </c>
      <c r="U86" s="509">
        <f t="shared" si="20"/>
        <v>366820.715733334</v>
      </c>
    </row>
    <row r="87" customHeight="1" spans="1:21">
      <c r="A87" s="10">
        <v>8</v>
      </c>
      <c r="B87" s="11" t="s">
        <v>175</v>
      </c>
      <c r="C87" s="4" t="s">
        <v>176</v>
      </c>
      <c r="D87" s="15" t="s">
        <v>67</v>
      </c>
      <c r="E87" s="85">
        <v>482846.583333333</v>
      </c>
      <c r="F87" s="85"/>
      <c r="G87" s="220">
        <f t="shared" si="21"/>
        <v>120000</v>
      </c>
      <c r="H87" s="220"/>
      <c r="I87" s="85"/>
      <c r="J87" s="509">
        <f t="shared" si="16"/>
        <v>602846.583333333</v>
      </c>
      <c r="K87" s="85"/>
      <c r="L87" s="85">
        <f>80000+20000</f>
        <v>100000</v>
      </c>
      <c r="M87" s="85"/>
      <c r="N87" s="85">
        <f>40000</f>
        <v>40000</v>
      </c>
      <c r="O87" s="85"/>
      <c r="P87" s="85"/>
      <c r="Q87" s="85">
        <v>84059.3941999999</v>
      </c>
      <c r="R87" s="85">
        <v>38627.7266666666</v>
      </c>
      <c r="S87" s="510">
        <f t="shared" si="18"/>
        <v>262687.120866666</v>
      </c>
      <c r="T87" s="85">
        <v>340159.462466667</v>
      </c>
      <c r="U87" s="509">
        <f t="shared" si="20"/>
        <v>340159.462466667</v>
      </c>
    </row>
    <row r="88" s="1" customFormat="1" customHeight="1" spans="1:21">
      <c r="A88" s="10">
        <v>9</v>
      </c>
      <c r="B88" s="14" t="s">
        <v>177</v>
      </c>
      <c r="C88" s="17" t="s">
        <v>178</v>
      </c>
      <c r="D88" s="10" t="s">
        <v>131</v>
      </c>
      <c r="E88" s="85">
        <v>454993.583333333</v>
      </c>
      <c r="F88" s="85"/>
      <c r="G88" s="220">
        <v>110000</v>
      </c>
      <c r="H88" s="220"/>
      <c r="I88" s="85"/>
      <c r="J88" s="509">
        <f t="shared" si="16"/>
        <v>564993.583333333</v>
      </c>
      <c r="K88" s="85"/>
      <c r="L88" s="85">
        <v>20000</v>
      </c>
      <c r="M88" s="85">
        <v>50000</v>
      </c>
      <c r="N88" s="85"/>
      <c r="O88" s="85"/>
      <c r="P88" s="85">
        <v>7161.17708333333</v>
      </c>
      <c r="Q88" s="85">
        <v>72757.925525</v>
      </c>
      <c r="R88" s="85">
        <v>36399.4866666666</v>
      </c>
      <c r="S88" s="510">
        <f t="shared" si="18"/>
        <v>186318.589275</v>
      </c>
      <c r="T88" s="85">
        <v>385874.994058333</v>
      </c>
      <c r="U88" s="509">
        <f t="shared" si="20"/>
        <v>378674.994058333</v>
      </c>
    </row>
    <row r="89" ht="21.6" customHeight="1" spans="1:21">
      <c r="A89" s="10">
        <v>10</v>
      </c>
      <c r="B89" s="11" t="s">
        <v>179</v>
      </c>
      <c r="C89" s="4" t="s">
        <v>72</v>
      </c>
      <c r="D89" s="10" t="s">
        <v>180</v>
      </c>
      <c r="E89" s="220">
        <v>441159</v>
      </c>
      <c r="F89" s="85">
        <v>194278.67</v>
      </c>
      <c r="G89" s="220">
        <v>110000</v>
      </c>
      <c r="H89" s="220"/>
      <c r="I89" s="85"/>
      <c r="J89" s="509">
        <f t="shared" si="16"/>
        <v>745437.67</v>
      </c>
      <c r="K89" s="4"/>
      <c r="L89" s="4"/>
      <c r="M89" s="4"/>
      <c r="N89" s="1192">
        <v>30000</v>
      </c>
      <c r="O89" s="912"/>
      <c r="P89" s="912">
        <v>6286.69791666668</v>
      </c>
      <c r="Q89" s="85">
        <f>67329.53</f>
        <v>67329.53</v>
      </c>
      <c r="R89" s="85">
        <v>35292.72</v>
      </c>
      <c r="S89" s="510">
        <f t="shared" si="18"/>
        <v>138908.947916667</v>
      </c>
      <c r="T89" s="1193">
        <v>217971.383412501</v>
      </c>
      <c r="U89" s="509">
        <f t="shared" si="20"/>
        <v>606528.722083333</v>
      </c>
    </row>
    <row r="90" s="1" customFormat="1" ht="18.75" customHeight="1" spans="1:21">
      <c r="A90" s="10">
        <v>11</v>
      </c>
      <c r="B90" s="18" t="s">
        <v>181</v>
      </c>
      <c r="C90" s="4" t="s">
        <v>182</v>
      </c>
      <c r="D90" s="10" t="s">
        <v>99</v>
      </c>
      <c r="E90" s="85">
        <v>338711.666666667</v>
      </c>
      <c r="F90" s="85"/>
      <c r="G90" s="220">
        <f>100000</f>
        <v>100000</v>
      </c>
      <c r="H90" s="220"/>
      <c r="I90" s="85"/>
      <c r="J90" s="509">
        <f t="shared" si="16"/>
        <v>438711.666666667</v>
      </c>
      <c r="K90" s="85"/>
      <c r="L90" s="85"/>
      <c r="M90" s="85"/>
      <c r="N90" s="85">
        <v>50000</v>
      </c>
      <c r="O90" s="85"/>
      <c r="P90" s="85"/>
      <c r="Q90" s="85">
        <v>56590.6520000001</v>
      </c>
      <c r="R90" s="85">
        <v>27096.9333333334</v>
      </c>
      <c r="S90" s="510">
        <f t="shared" si="18"/>
        <v>133687.585333333</v>
      </c>
      <c r="T90" s="85">
        <v>305024.081333334</v>
      </c>
      <c r="U90" s="509">
        <f t="shared" si="20"/>
        <v>305024.081333334</v>
      </c>
    </row>
    <row r="91" ht="27" customHeight="1" spans="1:21">
      <c r="A91" s="10"/>
      <c r="B91" s="20" t="s">
        <v>120</v>
      </c>
      <c r="C91" s="21">
        <v>11</v>
      </c>
      <c r="D91" s="21"/>
      <c r="E91" s="93">
        <f t="shared" ref="E91:O91" si="23">SUM(E80:E90)</f>
        <v>5640046.08333333</v>
      </c>
      <c r="F91" s="93">
        <f t="shared" si="23"/>
        <v>194278.67</v>
      </c>
      <c r="G91" s="93">
        <f t="shared" si="23"/>
        <v>1340000</v>
      </c>
      <c r="H91" s="93">
        <f t="shared" si="23"/>
        <v>0</v>
      </c>
      <c r="I91" s="93">
        <f t="shared" si="23"/>
        <v>0</v>
      </c>
      <c r="J91" s="516">
        <f t="shared" si="16"/>
        <v>7174324.75333333</v>
      </c>
      <c r="K91" s="93">
        <f t="shared" si="23"/>
        <v>0</v>
      </c>
      <c r="L91" s="93">
        <f t="shared" si="23"/>
        <v>625000</v>
      </c>
      <c r="M91" s="93">
        <f t="shared" si="23"/>
        <v>391300.26</v>
      </c>
      <c r="N91" s="93">
        <f t="shared" si="23"/>
        <v>340000</v>
      </c>
      <c r="O91" s="93">
        <f t="shared" si="23"/>
        <v>0</v>
      </c>
      <c r="P91" s="93">
        <f t="shared" ref="P91:U91" si="24">SUM(P80:P90)</f>
        <v>50470.2416666667</v>
      </c>
      <c r="Q91" s="93">
        <f t="shared" si="24"/>
        <v>965657.535557258</v>
      </c>
      <c r="R91" s="93">
        <f t="shared" si="24"/>
        <v>451203.686666667</v>
      </c>
      <c r="S91" s="93">
        <f t="shared" si="24"/>
        <v>2823631.72389059</v>
      </c>
      <c r="T91" s="93">
        <v>3969335.69077191</v>
      </c>
      <c r="U91" s="93">
        <f t="shared" si="24"/>
        <v>4350693.02944274</v>
      </c>
    </row>
    <row r="92" customHeight="1" spans="1:21">
      <c r="A92" s="10"/>
      <c r="B92" s="22"/>
      <c r="C92" s="21"/>
      <c r="D92" s="21"/>
      <c r="E92" s="156"/>
      <c r="F92" s="156"/>
      <c r="G92" s="220"/>
      <c r="H92" s="220"/>
      <c r="I92" s="156"/>
      <c r="J92" s="509"/>
      <c r="K92" s="156"/>
      <c r="L92" s="156"/>
      <c r="M92" s="156"/>
      <c r="N92" s="156"/>
      <c r="O92" s="156"/>
      <c r="P92" s="156"/>
      <c r="Q92" s="156"/>
      <c r="R92" s="156"/>
      <c r="S92" s="517"/>
      <c r="T92" s="156"/>
      <c r="U92" s="516"/>
    </row>
    <row r="93" customHeight="1" spans="1:21">
      <c r="A93" s="10"/>
      <c r="B93" s="20" t="s">
        <v>183</v>
      </c>
      <c r="C93" s="21"/>
      <c r="D93" s="21"/>
      <c r="E93" s="156"/>
      <c r="F93" s="156"/>
      <c r="G93" s="220"/>
      <c r="H93" s="220"/>
      <c r="I93" s="156"/>
      <c r="J93" s="509"/>
      <c r="K93" s="156"/>
      <c r="L93" s="156"/>
      <c r="M93" s="156"/>
      <c r="N93" s="156"/>
      <c r="O93" s="156"/>
      <c r="P93" s="156"/>
      <c r="Q93" s="156"/>
      <c r="R93" s="156"/>
      <c r="S93" s="517"/>
      <c r="T93" s="156"/>
      <c r="U93" s="516"/>
    </row>
    <row r="94" customHeight="1" spans="1:21">
      <c r="A94" s="10">
        <v>1</v>
      </c>
      <c r="B94" s="11" t="s">
        <v>184</v>
      </c>
      <c r="C94" s="4" t="s">
        <v>185</v>
      </c>
      <c r="D94" s="10" t="s">
        <v>124</v>
      </c>
      <c r="E94" s="85">
        <v>1747106.41666666</v>
      </c>
      <c r="F94" s="85"/>
      <c r="G94" s="220">
        <f>200000</f>
        <v>200000</v>
      </c>
      <c r="H94" s="220"/>
      <c r="I94" s="85">
        <v>0</v>
      </c>
      <c r="J94" s="509">
        <f t="shared" si="16"/>
        <v>1947106.41666666</v>
      </c>
      <c r="K94" s="85"/>
      <c r="L94" s="85">
        <v>350000</v>
      </c>
      <c r="M94" s="85">
        <f>0</f>
        <v>0</v>
      </c>
      <c r="N94" s="85">
        <v>100000</v>
      </c>
      <c r="O94" s="85"/>
      <c r="P94" s="85"/>
      <c r="Q94" s="85">
        <v>332040.959699999</v>
      </c>
      <c r="R94" s="85">
        <v>139768.513333333</v>
      </c>
      <c r="S94" s="510">
        <f t="shared" ref="S94:S104" si="25">SUM(K94:R94)</f>
        <v>921809.473033332</v>
      </c>
      <c r="T94" s="85">
        <v>1025296.94363333</v>
      </c>
      <c r="U94" s="509">
        <f>J94-S94</f>
        <v>1025296.94363333</v>
      </c>
    </row>
    <row r="95" customHeight="1" spans="1:21">
      <c r="A95" s="10">
        <v>2</v>
      </c>
      <c r="B95" s="11" t="s">
        <v>186</v>
      </c>
      <c r="C95" s="4" t="s">
        <v>187</v>
      </c>
      <c r="D95" s="10" t="s">
        <v>50</v>
      </c>
      <c r="E95" s="85">
        <v>722595.5</v>
      </c>
      <c r="F95" s="85"/>
      <c r="G95" s="220">
        <v>160000</v>
      </c>
      <c r="H95" s="220"/>
      <c r="I95" s="85"/>
      <c r="J95" s="509">
        <f t="shared" si="16"/>
        <v>882595.5</v>
      </c>
      <c r="K95" s="85"/>
      <c r="L95" s="976">
        <f>50000</f>
        <v>50000</v>
      </c>
      <c r="M95" s="976">
        <v>240056.6</v>
      </c>
      <c r="N95" s="85"/>
      <c r="O95" s="85"/>
      <c r="P95" s="85"/>
      <c r="Q95" s="85">
        <v>130961.8148</v>
      </c>
      <c r="R95" s="85">
        <v>57807.64</v>
      </c>
      <c r="S95" s="510">
        <f t="shared" si="25"/>
        <v>478826.0548</v>
      </c>
      <c r="T95" s="85">
        <v>403769.4452</v>
      </c>
      <c r="U95" s="509">
        <f t="shared" ref="U95:U104" si="26">J95-S95</f>
        <v>403769.4452</v>
      </c>
    </row>
    <row r="96" customHeight="1" spans="1:21">
      <c r="A96" s="10">
        <v>3</v>
      </c>
      <c r="B96" s="11" t="s">
        <v>188</v>
      </c>
      <c r="C96" s="4" t="s">
        <v>189</v>
      </c>
      <c r="D96" s="10" t="s">
        <v>50</v>
      </c>
      <c r="E96" s="85">
        <v>722595.5</v>
      </c>
      <c r="F96" s="85"/>
      <c r="G96" s="220">
        <v>160000</v>
      </c>
      <c r="H96" s="220"/>
      <c r="I96" s="85"/>
      <c r="J96" s="509">
        <f t="shared" si="16"/>
        <v>882595.5</v>
      </c>
      <c r="K96" s="85"/>
      <c r="L96" s="85"/>
      <c r="M96" s="85"/>
      <c r="N96" s="85"/>
      <c r="O96" s="85"/>
      <c r="P96" s="85"/>
      <c r="Q96" s="85">
        <v>130961.8148</v>
      </c>
      <c r="R96" s="85">
        <v>57807.64</v>
      </c>
      <c r="S96" s="510">
        <f t="shared" si="25"/>
        <v>188769.4548</v>
      </c>
      <c r="T96" s="85">
        <v>693826.0452</v>
      </c>
      <c r="U96" s="509">
        <f t="shared" si="26"/>
        <v>693826.0452</v>
      </c>
    </row>
    <row r="97" customHeight="1" spans="1:21">
      <c r="A97" s="10">
        <v>4</v>
      </c>
      <c r="B97" s="11" t="s">
        <v>190</v>
      </c>
      <c r="C97" s="4" t="s">
        <v>191</v>
      </c>
      <c r="D97" s="15" t="s">
        <v>192</v>
      </c>
      <c r="E97" s="85">
        <v>589657</v>
      </c>
      <c r="F97" s="85"/>
      <c r="G97" s="220">
        <f>140000</f>
        <v>140000</v>
      </c>
      <c r="H97" s="220"/>
      <c r="I97" s="85">
        <v>0</v>
      </c>
      <c r="J97" s="509">
        <f t="shared" si="16"/>
        <v>729657</v>
      </c>
      <c r="K97" s="85"/>
      <c r="L97" s="85">
        <v>20000</v>
      </c>
      <c r="M97" s="85">
        <v>210785.51</v>
      </c>
      <c r="N97" s="85"/>
      <c r="O97" s="85"/>
      <c r="P97" s="85">
        <v>9160.4375</v>
      </c>
      <c r="Q97" s="85">
        <v>103698.32045</v>
      </c>
      <c r="R97" s="85">
        <v>47172.56</v>
      </c>
      <c r="S97" s="510">
        <f t="shared" si="25"/>
        <v>390816.82795</v>
      </c>
      <c r="T97" s="85">
        <v>338840.17205</v>
      </c>
      <c r="U97" s="509">
        <f t="shared" si="26"/>
        <v>338840.17205</v>
      </c>
    </row>
    <row r="98" customHeight="1" spans="1:21">
      <c r="A98" s="10">
        <v>5</v>
      </c>
      <c r="B98" s="11" t="s">
        <v>193</v>
      </c>
      <c r="C98" s="12" t="s">
        <v>194</v>
      </c>
      <c r="D98" s="15" t="s">
        <v>64</v>
      </c>
      <c r="E98" s="85">
        <v>497472.75</v>
      </c>
      <c r="F98" s="85"/>
      <c r="G98" s="220">
        <v>120000</v>
      </c>
      <c r="H98" s="220"/>
      <c r="I98" s="85"/>
      <c r="J98" s="509">
        <f t="shared" si="16"/>
        <v>617472.75</v>
      </c>
      <c r="K98" s="85"/>
      <c r="L98" s="85"/>
      <c r="M98" s="85"/>
      <c r="N98" s="85"/>
      <c r="O98" s="85"/>
      <c r="P98" s="85">
        <v>7791.83125</v>
      </c>
      <c r="Q98" s="85">
        <v>85078.957775</v>
      </c>
      <c r="R98" s="85">
        <v>39797.82</v>
      </c>
      <c r="S98" s="510">
        <f t="shared" si="25"/>
        <v>132668.609025</v>
      </c>
      <c r="T98" s="85">
        <v>484804.140975</v>
      </c>
      <c r="U98" s="509">
        <f t="shared" si="26"/>
        <v>484804.140975</v>
      </c>
    </row>
    <row r="99" s="1" customFormat="1" customHeight="1" spans="1:21">
      <c r="A99" s="10">
        <v>6</v>
      </c>
      <c r="B99" s="11" t="s">
        <v>195</v>
      </c>
      <c r="C99" s="4" t="s">
        <v>196</v>
      </c>
      <c r="D99" s="15" t="s">
        <v>64</v>
      </c>
      <c r="E99" s="85">
        <v>497472.75</v>
      </c>
      <c r="F99" s="85"/>
      <c r="G99" s="220">
        <f>120000</f>
        <v>120000</v>
      </c>
      <c r="H99" s="220"/>
      <c r="I99" s="85">
        <v>0</v>
      </c>
      <c r="J99" s="509">
        <f t="shared" si="16"/>
        <v>617472.75</v>
      </c>
      <c r="K99" s="85"/>
      <c r="L99" s="85">
        <v>100000</v>
      </c>
      <c r="M99" s="85">
        <v>50000</v>
      </c>
      <c r="N99" s="85">
        <v>100000</v>
      </c>
      <c r="O99" s="85"/>
      <c r="P99" s="85"/>
      <c r="Q99" s="85">
        <v>82581.4874</v>
      </c>
      <c r="R99" s="85">
        <v>39797.82</v>
      </c>
      <c r="S99" s="510">
        <f t="shared" si="25"/>
        <v>372379.3074</v>
      </c>
      <c r="T99" s="85">
        <v>252893.4426</v>
      </c>
      <c r="U99" s="509">
        <f t="shared" si="26"/>
        <v>245093.4426</v>
      </c>
    </row>
    <row r="100" customHeight="1" spans="1:21">
      <c r="A100" s="10">
        <v>7</v>
      </c>
      <c r="B100" s="11" t="s">
        <v>197</v>
      </c>
      <c r="C100" s="4" t="s">
        <v>198</v>
      </c>
      <c r="D100" s="10" t="s">
        <v>70</v>
      </c>
      <c r="E100" s="85">
        <v>468828.166666667</v>
      </c>
      <c r="F100" s="85"/>
      <c r="G100" s="220">
        <f>110000</f>
        <v>110000</v>
      </c>
      <c r="H100" s="220"/>
      <c r="I100" s="85"/>
      <c r="J100" s="509">
        <f t="shared" si="16"/>
        <v>578828.166666667</v>
      </c>
      <c r="K100" s="85"/>
      <c r="L100" s="85">
        <f>50000</f>
        <v>50000</v>
      </c>
      <c r="M100" s="85">
        <f>50000</f>
        <v>50000</v>
      </c>
      <c r="N100" s="85"/>
      <c r="O100" s="85"/>
      <c r="P100" s="85">
        <v>7366.57291666668</v>
      </c>
      <c r="Q100" s="85">
        <v>78611.9612750001</v>
      </c>
      <c r="R100" s="85">
        <v>37506.2533333334</v>
      </c>
      <c r="S100" s="510">
        <f t="shared" si="25"/>
        <v>223484.787525</v>
      </c>
      <c r="T100" s="85">
        <v>355343.379141667</v>
      </c>
      <c r="U100" s="509">
        <f t="shared" si="26"/>
        <v>355343.379141667</v>
      </c>
    </row>
    <row r="101" s="1" customFormat="1" customHeight="1" spans="1:21">
      <c r="A101" s="10">
        <v>8</v>
      </c>
      <c r="B101" s="11" t="s">
        <v>199</v>
      </c>
      <c r="C101" s="4" t="s">
        <v>200</v>
      </c>
      <c r="D101" s="10" t="s">
        <v>75</v>
      </c>
      <c r="E101" s="85">
        <v>381140.666666666</v>
      </c>
      <c r="F101" s="85"/>
      <c r="G101" s="220">
        <f>100000</f>
        <v>100000</v>
      </c>
      <c r="H101" s="220"/>
      <c r="I101" s="85"/>
      <c r="J101" s="509">
        <f t="shared" si="16"/>
        <v>481140.666666666</v>
      </c>
      <c r="K101" s="85"/>
      <c r="L101" s="85">
        <v>50000</v>
      </c>
      <c r="M101" s="85"/>
      <c r="N101" s="85"/>
      <c r="O101" s="85"/>
      <c r="P101" s="85"/>
      <c r="Q101" s="85">
        <v>63616.8943999999</v>
      </c>
      <c r="R101" s="85">
        <v>30491.2533333333</v>
      </c>
      <c r="S101" s="510">
        <f t="shared" si="25"/>
        <v>144108.147733333</v>
      </c>
      <c r="T101" s="85">
        <v>337032.518933333</v>
      </c>
      <c r="U101" s="509">
        <f t="shared" si="26"/>
        <v>337032.518933333</v>
      </c>
    </row>
    <row r="102" customHeight="1" spans="1:21">
      <c r="A102" s="10">
        <v>9</v>
      </c>
      <c r="B102" s="11" t="s">
        <v>201</v>
      </c>
      <c r="C102" s="4" t="s">
        <v>182</v>
      </c>
      <c r="D102" s="10" t="s">
        <v>86</v>
      </c>
      <c r="E102" s="85">
        <v>347016.166666666</v>
      </c>
      <c r="F102" s="85"/>
      <c r="G102" s="220">
        <v>100000</v>
      </c>
      <c r="H102" s="220"/>
      <c r="I102" s="85"/>
      <c r="J102" s="509">
        <f t="shared" si="16"/>
        <v>447016.166666666</v>
      </c>
      <c r="K102" s="85"/>
      <c r="L102" s="85"/>
      <c r="M102" s="85"/>
      <c r="N102" s="85">
        <v>30000</v>
      </c>
      <c r="O102" s="85"/>
      <c r="P102" s="85">
        <v>5566.86458333332</v>
      </c>
      <c r="Q102" s="85">
        <v>56963.8415749999</v>
      </c>
      <c r="R102" s="85">
        <v>27761.2933333333</v>
      </c>
      <c r="S102" s="510">
        <f t="shared" si="25"/>
        <v>120291.999491667</v>
      </c>
      <c r="T102" s="85">
        <v>326724.167174999</v>
      </c>
      <c r="U102" s="509">
        <f t="shared" si="26"/>
        <v>326724.167174999</v>
      </c>
    </row>
    <row r="103" s="1" customFormat="1" ht="18.75" customHeight="1" spans="1:21">
      <c r="A103" s="10">
        <v>10</v>
      </c>
      <c r="B103" s="18" t="s">
        <v>202</v>
      </c>
      <c r="C103" s="4" t="s">
        <v>182</v>
      </c>
      <c r="D103" s="10" t="s">
        <v>99</v>
      </c>
      <c r="E103" s="85">
        <v>338711.666666667</v>
      </c>
      <c r="F103" s="85"/>
      <c r="G103" s="220">
        <f>100000</f>
        <v>100000</v>
      </c>
      <c r="H103" s="220"/>
      <c r="I103" s="85"/>
      <c r="J103" s="509">
        <f t="shared" si="16"/>
        <v>438711.666666667</v>
      </c>
      <c r="K103" s="85"/>
      <c r="L103" s="85">
        <v>10000</v>
      </c>
      <c r="M103" s="85">
        <v>30000</v>
      </c>
      <c r="N103" s="85"/>
      <c r="O103" s="85"/>
      <c r="P103" s="85"/>
      <c r="Q103" s="85">
        <v>56590.6520000001</v>
      </c>
      <c r="R103" s="85">
        <v>27096.9333333334</v>
      </c>
      <c r="S103" s="510">
        <f t="shared" si="25"/>
        <v>123687.585333333</v>
      </c>
      <c r="T103" s="85">
        <v>315024.081333334</v>
      </c>
      <c r="U103" s="509">
        <f t="shared" si="26"/>
        <v>315024.081333334</v>
      </c>
    </row>
    <row r="104" customHeight="1" spans="1:21">
      <c r="A104" s="10">
        <v>11</v>
      </c>
      <c r="B104" s="11" t="s">
        <v>203</v>
      </c>
      <c r="C104" s="4" t="s">
        <v>204</v>
      </c>
      <c r="D104" s="10" t="s">
        <v>105</v>
      </c>
      <c r="E104" s="85">
        <v>308920.666666667</v>
      </c>
      <c r="F104" s="85"/>
      <c r="G104" s="220">
        <v>100000</v>
      </c>
      <c r="H104" s="220">
        <v>0</v>
      </c>
      <c r="I104" s="85"/>
      <c r="J104" s="509">
        <f t="shared" si="16"/>
        <v>408920.666666667</v>
      </c>
      <c r="K104" s="85"/>
      <c r="L104" s="85">
        <v>80000</v>
      </c>
      <c r="M104" s="85">
        <v>50000</v>
      </c>
      <c r="N104" s="85"/>
      <c r="O104" s="85"/>
      <c r="P104" s="85"/>
      <c r="Q104" s="85">
        <v>51657.2624000001</v>
      </c>
      <c r="R104" s="85">
        <v>24713.6533333334</v>
      </c>
      <c r="S104" s="510">
        <f t="shared" si="25"/>
        <v>206370.915733334</v>
      </c>
      <c r="T104" s="85">
        <v>202549.750933333</v>
      </c>
      <c r="U104" s="509">
        <f t="shared" si="26"/>
        <v>202549.750933333</v>
      </c>
    </row>
    <row r="105" customHeight="1" spans="1:21">
      <c r="A105" s="10"/>
      <c r="B105" s="20" t="s">
        <v>120</v>
      </c>
      <c r="C105" s="21">
        <v>11</v>
      </c>
      <c r="D105" s="21"/>
      <c r="E105" s="93">
        <f>SUM(E94:E104)</f>
        <v>6621517.24999999</v>
      </c>
      <c r="F105" s="93">
        <f t="shared" ref="F105:T105" si="27">SUM(F94:F104)</f>
        <v>0</v>
      </c>
      <c r="G105" s="93">
        <f t="shared" si="27"/>
        <v>1410000</v>
      </c>
      <c r="H105" s="93">
        <f t="shared" si="27"/>
        <v>0</v>
      </c>
      <c r="I105" s="93">
        <f t="shared" si="27"/>
        <v>0</v>
      </c>
      <c r="J105" s="516">
        <f t="shared" si="16"/>
        <v>8031517.24999999</v>
      </c>
      <c r="K105" s="93">
        <f t="shared" si="27"/>
        <v>0</v>
      </c>
      <c r="L105" s="93">
        <f t="shared" si="27"/>
        <v>710000</v>
      </c>
      <c r="M105" s="93">
        <f t="shared" si="27"/>
        <v>630842.11</v>
      </c>
      <c r="N105" s="93">
        <f t="shared" si="27"/>
        <v>230000</v>
      </c>
      <c r="O105" s="93">
        <f t="shared" si="27"/>
        <v>0</v>
      </c>
      <c r="P105" s="93">
        <f t="shared" si="27"/>
        <v>29885.70625</v>
      </c>
      <c r="Q105" s="93">
        <f t="shared" si="27"/>
        <v>1172763.966575</v>
      </c>
      <c r="R105" s="93">
        <f t="shared" si="27"/>
        <v>529721.38</v>
      </c>
      <c r="S105" s="93">
        <f t="shared" si="27"/>
        <v>3303213.162825</v>
      </c>
      <c r="T105" s="93">
        <v>4736104.08717499</v>
      </c>
      <c r="U105" s="93">
        <f>SUM(U94:U104)</f>
        <v>4728304.08717499</v>
      </c>
    </row>
    <row r="106" customHeight="1" spans="1:21">
      <c r="A106" s="10"/>
      <c r="B106" s="20"/>
      <c r="C106" s="21"/>
      <c r="D106" s="21"/>
      <c r="E106" s="156"/>
      <c r="F106" s="156"/>
      <c r="G106" s="220"/>
      <c r="H106" s="220"/>
      <c r="I106" s="156"/>
      <c r="J106" s="509"/>
      <c r="K106" s="156"/>
      <c r="L106" s="156"/>
      <c r="M106" s="156"/>
      <c r="N106" s="156"/>
      <c r="O106" s="156"/>
      <c r="P106" s="156"/>
      <c r="Q106" s="156"/>
      <c r="R106" s="156"/>
      <c r="S106" s="510"/>
      <c r="T106" s="85"/>
      <c r="U106" s="509"/>
    </row>
    <row r="107" customHeight="1" spans="1:21">
      <c r="A107" s="10"/>
      <c r="B107" s="20" t="s">
        <v>205</v>
      </c>
      <c r="C107" s="25"/>
      <c r="D107" s="21"/>
      <c r="E107" s="156"/>
      <c r="F107" s="156"/>
      <c r="G107" s="220"/>
      <c r="H107" s="220"/>
      <c r="I107" s="156"/>
      <c r="J107" s="509"/>
      <c r="K107" s="156"/>
      <c r="L107" s="156"/>
      <c r="M107" s="156"/>
      <c r="N107" s="156"/>
      <c r="O107" s="156"/>
      <c r="P107" s="156"/>
      <c r="Q107" s="156"/>
      <c r="R107" s="156"/>
      <c r="S107" s="510"/>
      <c r="T107" s="85"/>
      <c r="U107" s="509"/>
    </row>
    <row r="108" customHeight="1" spans="1:21">
      <c r="A108" s="10">
        <v>1</v>
      </c>
      <c r="B108" s="11" t="s">
        <v>206</v>
      </c>
      <c r="C108" s="4" t="s">
        <v>207</v>
      </c>
      <c r="D108" s="10" t="s">
        <v>140</v>
      </c>
      <c r="E108" s="85">
        <v>1697359.33333333</v>
      </c>
      <c r="F108" s="85"/>
      <c r="G108" s="220">
        <f>200000</f>
        <v>200000</v>
      </c>
      <c r="H108" s="220"/>
      <c r="I108" s="85"/>
      <c r="J108" s="509">
        <f>E108+F108+G108+H108+I108</f>
        <v>1897359.33333333</v>
      </c>
      <c r="K108" s="85"/>
      <c r="L108" s="85">
        <f>30000</f>
        <v>30000</v>
      </c>
      <c r="M108" s="85">
        <v>98750</v>
      </c>
      <c r="N108" s="85"/>
      <c r="O108" s="85"/>
      <c r="P108" s="85">
        <v>26406.8208333333</v>
      </c>
      <c r="Q108" s="85">
        <v>316884.390824999</v>
      </c>
      <c r="R108" s="85">
        <v>135788.746666666</v>
      </c>
      <c r="S108" s="510">
        <f>SUM(K108:R108)</f>
        <v>607829.958324998</v>
      </c>
      <c r="T108" s="85">
        <v>1289529.37500833</v>
      </c>
      <c r="U108" s="509">
        <f>J108-S108</f>
        <v>1289529.37500833</v>
      </c>
    </row>
    <row r="109" customHeight="1" spans="1:21">
      <c r="A109" s="10">
        <v>2</v>
      </c>
      <c r="B109" s="11" t="s">
        <v>208</v>
      </c>
      <c r="C109" s="4" t="s">
        <v>209</v>
      </c>
      <c r="D109" s="10" t="s">
        <v>210</v>
      </c>
      <c r="E109" s="85">
        <v>879008.916666667</v>
      </c>
      <c r="F109" s="85"/>
      <c r="G109" s="220">
        <f>180000</f>
        <v>180000</v>
      </c>
      <c r="H109" s="220"/>
      <c r="I109" s="85">
        <f>100000+100000</f>
        <v>200000</v>
      </c>
      <c r="J109" s="509">
        <f>E109+F109+G109+H109+I109</f>
        <v>1259008.91666667</v>
      </c>
      <c r="K109" s="85"/>
      <c r="L109" s="85"/>
      <c r="M109" s="85"/>
      <c r="N109" s="85"/>
      <c r="O109" s="85"/>
      <c r="P109" s="85"/>
      <c r="Q109" s="85">
        <v>202124.522700001</v>
      </c>
      <c r="R109" s="85">
        <v>70320.7133333334</v>
      </c>
      <c r="S109" s="510">
        <f>SUM(K109:R109)</f>
        <v>272445.236033334</v>
      </c>
      <c r="T109" s="85">
        <v>986563.680633336</v>
      </c>
      <c r="U109" s="509">
        <f>J109-S109</f>
        <v>986563.680633333</v>
      </c>
    </row>
    <row r="110" ht="21.6" customHeight="1" spans="1:21">
      <c r="A110" s="10">
        <v>3</v>
      </c>
      <c r="B110" s="11" t="s">
        <v>211</v>
      </c>
      <c r="C110" s="4" t="s">
        <v>52</v>
      </c>
      <c r="D110" s="15" t="s">
        <v>47</v>
      </c>
      <c r="E110" s="85">
        <v>573911.083333334</v>
      </c>
      <c r="F110" s="85"/>
      <c r="G110" s="220">
        <f>140000</f>
        <v>140000</v>
      </c>
      <c r="H110" s="220"/>
      <c r="I110" s="85">
        <v>0</v>
      </c>
      <c r="J110" s="509">
        <f t="shared" ref="J110:J124" si="28">E110+F110+G110+H110+I110</f>
        <v>713911.083333334</v>
      </c>
      <c r="K110" s="85"/>
      <c r="L110" s="85">
        <f>50000</f>
        <v>50000</v>
      </c>
      <c r="M110" s="85">
        <v>52500</v>
      </c>
      <c r="N110" s="85"/>
      <c r="O110" s="85"/>
      <c r="P110" s="85">
        <v>8926.66666666668</v>
      </c>
      <c r="Q110" s="85">
        <v>101132.8754</v>
      </c>
      <c r="R110" s="85">
        <v>45912.8866666667</v>
      </c>
      <c r="S110" s="510">
        <f t="shared" ref="S110:S119" si="29">SUM(K110:R110)</f>
        <v>258472.428733333</v>
      </c>
      <c r="T110" s="85">
        <v>507938.654600001</v>
      </c>
      <c r="U110" s="509">
        <f t="shared" ref="U110:U119" si="30">J110-S110</f>
        <v>455438.654600001</v>
      </c>
    </row>
    <row r="111" ht="21.6" customHeight="1" spans="1:21">
      <c r="A111" s="10">
        <v>4</v>
      </c>
      <c r="B111" s="11" t="s">
        <v>212</v>
      </c>
      <c r="C111" s="4" t="s">
        <v>52</v>
      </c>
      <c r="D111" s="15" t="s">
        <v>47</v>
      </c>
      <c r="E111" s="85">
        <v>573911.083333334</v>
      </c>
      <c r="F111" s="85"/>
      <c r="G111" s="220">
        <f>140000</f>
        <v>140000</v>
      </c>
      <c r="H111" s="220"/>
      <c r="I111" s="85">
        <v>0</v>
      </c>
      <c r="J111" s="509">
        <f t="shared" si="28"/>
        <v>713911.083333334</v>
      </c>
      <c r="K111" s="85"/>
      <c r="L111" s="85">
        <v>0</v>
      </c>
      <c r="M111" s="85">
        <v>0</v>
      </c>
      <c r="N111" s="85">
        <v>50000</v>
      </c>
      <c r="O111" s="85"/>
      <c r="P111" s="85">
        <v>8926.66666666668</v>
      </c>
      <c r="Q111" s="85">
        <v>101132.8754</v>
      </c>
      <c r="R111" s="85">
        <v>45912.8866666667</v>
      </c>
      <c r="S111" s="510">
        <f t="shared" si="29"/>
        <v>205972.428733333</v>
      </c>
      <c r="T111" s="85">
        <v>507938.654600001</v>
      </c>
      <c r="U111" s="509">
        <f t="shared" si="30"/>
        <v>507938.654600001</v>
      </c>
    </row>
    <row r="112" ht="21.6" customHeight="1" spans="1:21">
      <c r="A112" s="10">
        <v>5</v>
      </c>
      <c r="B112" s="651" t="s">
        <v>213</v>
      </c>
      <c r="C112" s="12" t="s">
        <v>52</v>
      </c>
      <c r="D112" s="15" t="s">
        <v>214</v>
      </c>
      <c r="E112" s="85">
        <v>558166.25</v>
      </c>
      <c r="F112" s="85"/>
      <c r="G112" s="220">
        <f>140000</f>
        <v>140000</v>
      </c>
      <c r="H112" s="220"/>
      <c r="I112" s="85">
        <v>0</v>
      </c>
      <c r="J112" s="509">
        <f t="shared" si="28"/>
        <v>698166.25</v>
      </c>
      <c r="K112" s="85"/>
      <c r="L112" s="85">
        <f>100000-100000</f>
        <v>0</v>
      </c>
      <c r="M112" s="85"/>
      <c r="N112" s="85"/>
      <c r="O112" s="85"/>
      <c r="P112" s="85"/>
      <c r="Q112" s="85">
        <v>100132.331</v>
      </c>
      <c r="R112" s="85">
        <v>44653.3</v>
      </c>
      <c r="S112" s="510">
        <f t="shared" si="29"/>
        <v>144785.631</v>
      </c>
      <c r="T112" s="85">
        <v>553380.619</v>
      </c>
      <c r="U112" s="509">
        <f t="shared" si="30"/>
        <v>553380.619</v>
      </c>
    </row>
    <row r="113" ht="21.6" customHeight="1" spans="1:21">
      <c r="A113" s="10">
        <v>6</v>
      </c>
      <c r="B113" s="11" t="s">
        <v>215</v>
      </c>
      <c r="C113" s="17" t="s">
        <v>72</v>
      </c>
      <c r="D113" s="15" t="s">
        <v>173</v>
      </c>
      <c r="E113" s="85">
        <v>482662.666666667</v>
      </c>
      <c r="F113" s="85"/>
      <c r="G113" s="220">
        <f t="shared" ref="G113" si="31">110000</f>
        <v>110000</v>
      </c>
      <c r="H113" s="220"/>
      <c r="I113" s="85">
        <v>0</v>
      </c>
      <c r="J113" s="509">
        <f t="shared" si="28"/>
        <v>592662.666666667</v>
      </c>
      <c r="K113" s="85"/>
      <c r="L113" s="85">
        <f>20000</f>
        <v>20000</v>
      </c>
      <c r="M113" s="85">
        <v>112500</v>
      </c>
      <c r="N113" s="85">
        <v>20000</v>
      </c>
      <c r="O113" s="85"/>
      <c r="P113" s="85"/>
      <c r="Q113" s="85">
        <v>82228.9376</v>
      </c>
      <c r="R113" s="85">
        <v>38613.0133333334</v>
      </c>
      <c r="S113" s="510">
        <f t="shared" si="29"/>
        <v>273341.950933333</v>
      </c>
      <c r="T113" s="85">
        <v>319320.715733334</v>
      </c>
      <c r="U113" s="509">
        <f t="shared" si="30"/>
        <v>319320.715733334</v>
      </c>
    </row>
    <row r="114" ht="21.6" customHeight="1" spans="1:21">
      <c r="A114" s="10">
        <v>7</v>
      </c>
      <c r="B114" s="11" t="s">
        <v>216</v>
      </c>
      <c r="C114" s="17" t="s">
        <v>217</v>
      </c>
      <c r="D114" s="15" t="s">
        <v>218</v>
      </c>
      <c r="E114" s="85">
        <v>512098.916666667</v>
      </c>
      <c r="F114" s="85"/>
      <c r="G114" s="220">
        <v>120000</v>
      </c>
      <c r="H114" s="220"/>
      <c r="I114" s="85">
        <v>0</v>
      </c>
      <c r="J114" s="509">
        <f t="shared" si="28"/>
        <v>632098.916666667</v>
      </c>
      <c r="K114" s="85"/>
      <c r="L114" s="85">
        <v>0</v>
      </c>
      <c r="M114" s="85"/>
      <c r="N114" s="85">
        <v>130000</v>
      </c>
      <c r="O114" s="85"/>
      <c r="P114" s="85">
        <v>8008.97708333333</v>
      </c>
      <c r="Q114" s="85">
        <v>87461.964725</v>
      </c>
      <c r="R114" s="85">
        <v>40967.9133333333</v>
      </c>
      <c r="S114" s="510">
        <f t="shared" si="29"/>
        <v>266438.855141667</v>
      </c>
      <c r="T114" s="85">
        <v>365660.061525</v>
      </c>
      <c r="U114" s="509">
        <f t="shared" si="30"/>
        <v>365660.061525</v>
      </c>
    </row>
    <row r="115" s="1" customFormat="1" customHeight="1" spans="1:21">
      <c r="A115" s="10">
        <v>8</v>
      </c>
      <c r="B115" s="18" t="s">
        <v>219</v>
      </c>
      <c r="C115" s="4" t="s">
        <v>150</v>
      </c>
      <c r="D115" s="15" t="s">
        <v>131</v>
      </c>
      <c r="E115" s="220">
        <v>454993.583333333</v>
      </c>
      <c r="F115" s="85"/>
      <c r="G115" s="220">
        <f>110000</f>
        <v>110000</v>
      </c>
      <c r="H115" s="220"/>
      <c r="I115" s="85"/>
      <c r="J115" s="509">
        <f t="shared" si="28"/>
        <v>564993.583333333</v>
      </c>
      <c r="K115" s="85"/>
      <c r="L115" s="85">
        <v>40000</v>
      </c>
      <c r="M115" s="85">
        <v>60000</v>
      </c>
      <c r="N115" s="85"/>
      <c r="O115" s="85"/>
      <c r="P115" s="85"/>
      <c r="Q115" s="85">
        <v>74046.9374</v>
      </c>
      <c r="R115" s="85">
        <v>36399.4866666666</v>
      </c>
      <c r="S115" s="510">
        <f t="shared" si="29"/>
        <v>210446.424066667</v>
      </c>
      <c r="T115" s="85">
        <v>354547.159266666</v>
      </c>
      <c r="U115" s="509">
        <f t="shared" si="30"/>
        <v>354547.159266666</v>
      </c>
    </row>
    <row r="116" ht="21.6" customHeight="1" spans="1:21">
      <c r="A116" s="10">
        <v>9</v>
      </c>
      <c r="B116" s="11" t="s">
        <v>220</v>
      </c>
      <c r="C116" s="4" t="s">
        <v>221</v>
      </c>
      <c r="D116" s="10" t="s">
        <v>153</v>
      </c>
      <c r="E116" s="220">
        <v>399131.166666667</v>
      </c>
      <c r="F116" s="85"/>
      <c r="G116" s="220">
        <v>100000</v>
      </c>
      <c r="H116" s="220"/>
      <c r="I116" s="85"/>
      <c r="J116" s="509">
        <f t="shared" si="28"/>
        <v>499131.166666667</v>
      </c>
      <c r="K116" s="85"/>
      <c r="L116" s="85"/>
      <c r="M116" s="85"/>
      <c r="N116" s="85"/>
      <c r="O116" s="85"/>
      <c r="P116" s="85"/>
      <c r="Q116" s="85">
        <v>66596.1212000001</v>
      </c>
      <c r="R116" s="85">
        <v>31930.4933333334</v>
      </c>
      <c r="S116" s="510">
        <f t="shared" si="29"/>
        <v>98526.6145333335</v>
      </c>
      <c r="T116" s="85">
        <v>400604.552133333</v>
      </c>
      <c r="U116" s="509">
        <f t="shared" si="30"/>
        <v>400604.552133333</v>
      </c>
    </row>
    <row r="117" s="1" customFormat="1" ht="18.75" customHeight="1" spans="1:21">
      <c r="A117" s="10">
        <v>10</v>
      </c>
      <c r="B117" s="18" t="s">
        <v>222</v>
      </c>
      <c r="C117" s="4" t="s">
        <v>152</v>
      </c>
      <c r="D117" s="10" t="s">
        <v>99</v>
      </c>
      <c r="E117" s="85">
        <v>338711.666666667</v>
      </c>
      <c r="F117" s="85"/>
      <c r="G117" s="220">
        <f>100000</f>
        <v>100000</v>
      </c>
      <c r="H117" s="220"/>
      <c r="I117" s="85"/>
      <c r="J117" s="509">
        <f t="shared" si="28"/>
        <v>438711.666666667</v>
      </c>
      <c r="K117" s="85"/>
      <c r="L117" s="85"/>
      <c r="M117" s="85"/>
      <c r="N117" s="85">
        <v>30000</v>
      </c>
      <c r="O117" s="85"/>
      <c r="P117" s="85"/>
      <c r="Q117" s="85">
        <v>56590.6520000001</v>
      </c>
      <c r="R117" s="85">
        <v>27096.9333333334</v>
      </c>
      <c r="S117" s="510">
        <f t="shared" si="29"/>
        <v>113687.585333333</v>
      </c>
      <c r="T117" s="85">
        <v>325024.081333334</v>
      </c>
      <c r="U117" s="509">
        <f t="shared" si="30"/>
        <v>325024.081333334</v>
      </c>
    </row>
    <row r="118" s="1" customFormat="1" ht="18.75" customHeight="1" spans="1:21">
      <c r="A118" s="10">
        <v>11</v>
      </c>
      <c r="B118" s="18" t="s">
        <v>223</v>
      </c>
      <c r="C118" s="4" t="s">
        <v>152</v>
      </c>
      <c r="D118" s="10" t="s">
        <v>99</v>
      </c>
      <c r="E118" s="85">
        <v>338711.666666667</v>
      </c>
      <c r="F118" s="85"/>
      <c r="G118" s="220">
        <f>100000</f>
        <v>100000</v>
      </c>
      <c r="H118" s="220"/>
      <c r="I118" s="85"/>
      <c r="J118" s="509">
        <f t="shared" si="28"/>
        <v>438711.666666667</v>
      </c>
      <c r="K118" s="85"/>
      <c r="L118" s="85"/>
      <c r="M118" s="85"/>
      <c r="N118" s="85">
        <v>30000</v>
      </c>
      <c r="O118" s="85"/>
      <c r="P118" s="85"/>
      <c r="Q118" s="85">
        <v>56590.6520000001</v>
      </c>
      <c r="R118" s="85">
        <v>27096.9333333334</v>
      </c>
      <c r="S118" s="510">
        <f t="shared" si="29"/>
        <v>113687.585333333</v>
      </c>
      <c r="T118" s="85">
        <v>325024.081333334</v>
      </c>
      <c r="U118" s="509">
        <f t="shared" si="30"/>
        <v>325024.081333334</v>
      </c>
    </row>
    <row r="119" ht="21.6" customHeight="1" spans="1:21">
      <c r="A119" s="10">
        <v>12</v>
      </c>
      <c r="B119" s="11" t="s">
        <v>224</v>
      </c>
      <c r="C119" s="4" t="s">
        <v>152</v>
      </c>
      <c r="D119" s="15" t="s">
        <v>225</v>
      </c>
      <c r="E119" s="220">
        <v>330408.083333333</v>
      </c>
      <c r="F119" s="85"/>
      <c r="G119" s="220">
        <f t="shared" ref="G119" si="32">100000</f>
        <v>100000</v>
      </c>
      <c r="H119" s="220"/>
      <c r="I119" s="85"/>
      <c r="J119" s="509">
        <f t="shared" si="28"/>
        <v>430408.083333333</v>
      </c>
      <c r="K119" s="85"/>
      <c r="L119" s="85">
        <v>50000</v>
      </c>
      <c r="M119" s="85"/>
      <c r="N119" s="85"/>
      <c r="O119" s="85"/>
      <c r="P119" s="85">
        <v>5118.36041666667</v>
      </c>
      <c r="Q119" s="85">
        <v>75350.3497249999</v>
      </c>
      <c r="R119" s="85">
        <v>26432.6466666666</v>
      </c>
      <c r="S119" s="510">
        <f t="shared" si="29"/>
        <v>156901.356808333</v>
      </c>
      <c r="T119" s="85">
        <v>273506.726525</v>
      </c>
      <c r="U119" s="509">
        <f t="shared" si="30"/>
        <v>273506.726525</v>
      </c>
    </row>
    <row r="120" customHeight="1" spans="1:21">
      <c r="A120" s="10"/>
      <c r="B120" s="20" t="s">
        <v>120</v>
      </c>
      <c r="C120" s="21">
        <v>12</v>
      </c>
      <c r="D120" s="21"/>
      <c r="E120" s="93">
        <f>SUM(E108:E119)</f>
        <v>7139074.41666667</v>
      </c>
      <c r="F120" s="93">
        <f t="shared" ref="F120:T120" si="33">SUM(F108:F119)</f>
        <v>0</v>
      </c>
      <c r="G120" s="93">
        <f t="shared" si="33"/>
        <v>1540000</v>
      </c>
      <c r="H120" s="93">
        <f t="shared" si="33"/>
        <v>0</v>
      </c>
      <c r="I120" s="93">
        <f t="shared" si="33"/>
        <v>200000</v>
      </c>
      <c r="J120" s="514">
        <f t="shared" si="33"/>
        <v>8879074.41666666</v>
      </c>
      <c r="K120" s="93">
        <f t="shared" si="33"/>
        <v>0</v>
      </c>
      <c r="L120" s="93">
        <f t="shared" si="33"/>
        <v>190000</v>
      </c>
      <c r="M120" s="93">
        <f t="shared" si="33"/>
        <v>323750</v>
      </c>
      <c r="N120" s="93">
        <f t="shared" si="33"/>
        <v>260000</v>
      </c>
      <c r="O120" s="93">
        <f t="shared" si="33"/>
        <v>0</v>
      </c>
      <c r="P120" s="93">
        <f t="shared" si="33"/>
        <v>57387.4916666667</v>
      </c>
      <c r="Q120" s="93">
        <f t="shared" si="33"/>
        <v>1320272.609975</v>
      </c>
      <c r="R120" s="93">
        <f t="shared" si="33"/>
        <v>571125.953333333</v>
      </c>
      <c r="S120" s="93">
        <f t="shared" si="33"/>
        <v>2722536.054975</v>
      </c>
      <c r="T120" s="93">
        <v>6209038.36169167</v>
      </c>
      <c r="U120" s="93">
        <f>SUM(U108:U119)</f>
        <v>6156538.36169167</v>
      </c>
    </row>
    <row r="121" customHeight="1" spans="1:21">
      <c r="A121" s="10"/>
      <c r="B121" s="22"/>
      <c r="C121" s="21"/>
      <c r="D121" s="21"/>
      <c r="E121" s="156"/>
      <c r="F121" s="156"/>
      <c r="G121" s="220"/>
      <c r="H121" s="220"/>
      <c r="I121" s="156"/>
      <c r="J121" s="509"/>
      <c r="K121" s="156"/>
      <c r="L121" s="156"/>
      <c r="M121" s="156"/>
      <c r="N121" s="156"/>
      <c r="O121" s="156"/>
      <c r="P121" s="156"/>
      <c r="Q121" s="156"/>
      <c r="R121" s="156"/>
      <c r="S121" s="517"/>
      <c r="T121" s="156"/>
      <c r="U121" s="516"/>
    </row>
    <row r="122" customHeight="1" spans="1:21">
      <c r="A122" s="10"/>
      <c r="B122" s="20" t="s">
        <v>226</v>
      </c>
      <c r="C122" s="21"/>
      <c r="D122" s="21"/>
      <c r="E122" s="156"/>
      <c r="F122" s="156"/>
      <c r="G122" s="220"/>
      <c r="H122" s="220"/>
      <c r="I122" s="156"/>
      <c r="J122" s="509"/>
      <c r="K122" s="156"/>
      <c r="L122" s="156"/>
      <c r="M122" s="156"/>
      <c r="N122" s="156"/>
      <c r="O122" s="156"/>
      <c r="P122" s="156"/>
      <c r="Q122" s="156"/>
      <c r="R122" s="156"/>
      <c r="S122" s="517"/>
      <c r="T122" s="156"/>
      <c r="U122" s="516"/>
    </row>
    <row r="123" customHeight="1" spans="1:21">
      <c r="A123" s="10">
        <v>1</v>
      </c>
      <c r="B123" s="14" t="s">
        <v>227</v>
      </c>
      <c r="C123" s="4" t="s">
        <v>228</v>
      </c>
      <c r="D123" s="16" t="s">
        <v>124</v>
      </c>
      <c r="E123" s="85">
        <v>1747106.41666666</v>
      </c>
      <c r="F123" s="85"/>
      <c r="G123" s="220"/>
      <c r="H123" s="220">
        <f>100000</f>
        <v>100000</v>
      </c>
      <c r="I123" s="85"/>
      <c r="J123" s="509">
        <f t="shared" si="28"/>
        <v>1847106.41666666</v>
      </c>
      <c r="K123" s="85"/>
      <c r="L123" s="85">
        <v>60000</v>
      </c>
      <c r="M123" s="85">
        <v>440000</v>
      </c>
      <c r="N123" s="85"/>
      <c r="O123" s="85"/>
      <c r="P123" s="85">
        <v>27169.4270833333</v>
      </c>
      <c r="Q123" s="85">
        <v>305335.380012499</v>
      </c>
      <c r="R123" s="85">
        <v>139768.513333333</v>
      </c>
      <c r="S123" s="510">
        <f t="shared" ref="S123:S129" si="34">SUM(K123:R123)</f>
        <v>972273.320429165</v>
      </c>
      <c r="T123" s="85">
        <v>874833.096237495</v>
      </c>
      <c r="U123" s="509">
        <f>J123-S123</f>
        <v>874833.096237495</v>
      </c>
    </row>
    <row r="124" customHeight="1" spans="1:21">
      <c r="A124" s="10">
        <v>2</v>
      </c>
      <c r="B124" s="11" t="s">
        <v>229</v>
      </c>
      <c r="C124" s="4" t="s">
        <v>230</v>
      </c>
      <c r="D124" s="15" t="s">
        <v>192</v>
      </c>
      <c r="E124" s="85">
        <v>589657</v>
      </c>
      <c r="F124" s="85"/>
      <c r="G124" s="220"/>
      <c r="H124" s="220">
        <v>70000</v>
      </c>
      <c r="I124" s="85">
        <v>0</v>
      </c>
      <c r="J124" s="509">
        <f t="shared" si="28"/>
        <v>659657</v>
      </c>
      <c r="K124" s="85"/>
      <c r="L124" s="85">
        <v>30000</v>
      </c>
      <c r="M124" s="85">
        <v>43750</v>
      </c>
      <c r="N124" s="85">
        <v>100000</v>
      </c>
      <c r="O124" s="85">
        <v>25107.5</v>
      </c>
      <c r="P124" s="85"/>
      <c r="Q124" s="85">
        <v>92747.1992</v>
      </c>
      <c r="R124" s="85">
        <v>47172.56</v>
      </c>
      <c r="S124" s="510">
        <f t="shared" si="34"/>
        <v>338777.2592</v>
      </c>
      <c r="T124" s="85">
        <v>320879.7408</v>
      </c>
      <c r="U124" s="509">
        <f t="shared" ref="U124:U129" si="35">J124-S124</f>
        <v>320879.7408</v>
      </c>
    </row>
    <row r="125" customHeight="1" spans="1:21">
      <c r="A125" s="10">
        <v>3</v>
      </c>
      <c r="B125" s="11" t="s">
        <v>231</v>
      </c>
      <c r="C125" s="12" t="s">
        <v>232</v>
      </c>
      <c r="D125" s="15" t="s">
        <v>218</v>
      </c>
      <c r="E125" s="85">
        <v>512098.916666667</v>
      </c>
      <c r="F125" s="85"/>
      <c r="G125" s="220"/>
      <c r="H125" s="220">
        <f t="shared" ref="H125:H127" si="36">70000</f>
        <v>70000</v>
      </c>
      <c r="I125" s="85">
        <v>0</v>
      </c>
      <c r="J125" s="509">
        <f t="shared" ref="J125:J129" si="37">SUM(E125:I125)</f>
        <v>582098.916666667</v>
      </c>
      <c r="K125" s="85"/>
      <c r="L125" s="85">
        <v>40000</v>
      </c>
      <c r="M125" s="85"/>
      <c r="N125" s="85"/>
      <c r="O125" s="85"/>
      <c r="P125" s="85">
        <v>8008.97708333333</v>
      </c>
      <c r="Q125" s="85">
        <v>78461.964725</v>
      </c>
      <c r="R125" s="85">
        <v>40967.9133333334</v>
      </c>
      <c r="S125" s="510">
        <f t="shared" si="34"/>
        <v>167438.855141667</v>
      </c>
      <c r="T125" s="85">
        <v>414660.061525</v>
      </c>
      <c r="U125" s="509">
        <f t="shared" si="35"/>
        <v>414660.061525</v>
      </c>
    </row>
    <row r="126" s="1" customFormat="1" customHeight="1" spans="1:21">
      <c r="A126" s="10">
        <v>4</v>
      </c>
      <c r="B126" s="11" t="s">
        <v>233</v>
      </c>
      <c r="C126" s="4" t="s">
        <v>234</v>
      </c>
      <c r="D126" s="15" t="s">
        <v>64</v>
      </c>
      <c r="E126" s="85">
        <v>497472.75</v>
      </c>
      <c r="F126" s="85"/>
      <c r="G126" s="220"/>
      <c r="H126" s="220">
        <f t="shared" si="36"/>
        <v>70000</v>
      </c>
      <c r="I126" s="85">
        <v>0</v>
      </c>
      <c r="J126" s="1194">
        <f t="shared" si="37"/>
        <v>567472.75</v>
      </c>
      <c r="K126" s="85"/>
      <c r="L126" s="85">
        <v>150000</v>
      </c>
      <c r="M126" s="85"/>
      <c r="N126" s="85"/>
      <c r="O126" s="85"/>
      <c r="P126" s="85">
        <v>7791.83125</v>
      </c>
      <c r="Q126" s="683">
        <v>76078.957775</v>
      </c>
      <c r="R126" s="85">
        <v>39797.82</v>
      </c>
      <c r="S126" s="510">
        <f t="shared" si="34"/>
        <v>273668.609025</v>
      </c>
      <c r="T126" s="85">
        <v>293804.140975</v>
      </c>
      <c r="U126" s="509">
        <f t="shared" si="35"/>
        <v>293804.140975</v>
      </c>
    </row>
    <row r="127" customHeight="1" spans="1:21">
      <c r="A127" s="10">
        <v>5</v>
      </c>
      <c r="B127" s="11" t="s">
        <v>235</v>
      </c>
      <c r="C127" s="4" t="s">
        <v>234</v>
      </c>
      <c r="D127" s="15" t="s">
        <v>64</v>
      </c>
      <c r="E127" s="85">
        <v>497472.75</v>
      </c>
      <c r="F127" s="85"/>
      <c r="G127" s="220"/>
      <c r="H127" s="220">
        <f t="shared" si="36"/>
        <v>70000</v>
      </c>
      <c r="I127" s="85"/>
      <c r="J127" s="509">
        <f>E127+F127+G127+H127+I127</f>
        <v>567472.75</v>
      </c>
      <c r="K127" s="85"/>
      <c r="L127" s="85">
        <f>5000</f>
        <v>5000</v>
      </c>
      <c r="M127" s="85">
        <v>0</v>
      </c>
      <c r="N127" s="85"/>
      <c r="O127" s="85"/>
      <c r="P127" s="85"/>
      <c r="Q127" s="85">
        <v>77481.4874</v>
      </c>
      <c r="R127" s="85">
        <v>39797.82</v>
      </c>
      <c r="S127" s="510">
        <f t="shared" si="34"/>
        <v>122279.3074</v>
      </c>
      <c r="T127" s="85">
        <v>445193.4426</v>
      </c>
      <c r="U127" s="509">
        <f t="shared" si="35"/>
        <v>445193.4426</v>
      </c>
    </row>
    <row r="128" customHeight="1" spans="1:21">
      <c r="A128" s="10">
        <v>6</v>
      </c>
      <c r="B128" s="11" t="s">
        <v>236</v>
      </c>
      <c r="C128" s="4" t="s">
        <v>200</v>
      </c>
      <c r="D128" s="15" t="s">
        <v>153</v>
      </c>
      <c r="E128" s="220">
        <v>399131.166666667</v>
      </c>
      <c r="F128" s="85"/>
      <c r="G128" s="220"/>
      <c r="H128" s="220">
        <f>60000</f>
        <v>60000</v>
      </c>
      <c r="I128" s="85"/>
      <c r="J128" s="509">
        <f>E128+F128+G128+H128+I128</f>
        <v>459131.166666667</v>
      </c>
      <c r="K128" s="85"/>
      <c r="L128" s="85">
        <f>10000+80000</f>
        <v>90000</v>
      </c>
      <c r="M128" s="85">
        <f>19583.33</f>
        <v>19583.33</v>
      </c>
      <c r="N128" s="85"/>
      <c r="O128" s="85"/>
      <c r="P128" s="85"/>
      <c r="Q128" s="85">
        <v>59396.1212000001</v>
      </c>
      <c r="R128" s="85">
        <v>31930.4933333334</v>
      </c>
      <c r="S128" s="510">
        <f t="shared" si="34"/>
        <v>200909.944533334</v>
      </c>
      <c r="T128" s="85">
        <v>258221.222133333</v>
      </c>
      <c r="U128" s="509">
        <f t="shared" si="35"/>
        <v>258221.222133333</v>
      </c>
    </row>
    <row r="129" s="1" customFormat="1" customHeight="1" spans="1:21">
      <c r="A129" s="10">
        <v>7</v>
      </c>
      <c r="B129" s="18" t="s">
        <v>237</v>
      </c>
      <c r="C129" s="12" t="s">
        <v>238</v>
      </c>
      <c r="D129" s="15" t="s">
        <v>75</v>
      </c>
      <c r="E129" s="85">
        <v>381140.666666666</v>
      </c>
      <c r="F129" s="85"/>
      <c r="G129" s="220"/>
      <c r="H129" s="220">
        <v>60000</v>
      </c>
      <c r="I129" s="85"/>
      <c r="J129" s="510">
        <f t="shared" si="37"/>
        <v>441140.666666666</v>
      </c>
      <c r="K129" s="85"/>
      <c r="L129" s="683"/>
      <c r="M129" s="683"/>
      <c r="N129" s="683"/>
      <c r="O129" s="4"/>
      <c r="P129" s="4"/>
      <c r="Q129" s="683">
        <v>56416.8943999999</v>
      </c>
      <c r="R129" s="684">
        <v>30491.2533333333</v>
      </c>
      <c r="S129" s="510">
        <f t="shared" si="34"/>
        <v>86908.1477333332</v>
      </c>
      <c r="T129" s="85">
        <v>354232.518933333</v>
      </c>
      <c r="U129" s="509">
        <f t="shared" si="35"/>
        <v>354232.518933333</v>
      </c>
    </row>
    <row r="130" customHeight="1" spans="1:21">
      <c r="A130" s="4"/>
      <c r="B130" s="20" t="s">
        <v>120</v>
      </c>
      <c r="C130" s="21">
        <v>7</v>
      </c>
      <c r="D130" s="26"/>
      <c r="E130" s="93">
        <f>SUM(E123:E129)</f>
        <v>4624079.66666666</v>
      </c>
      <c r="F130" s="93">
        <f t="shared" ref="F130:T130" si="38">SUM(F123:F129)</f>
        <v>0</v>
      </c>
      <c r="G130" s="93">
        <f t="shared" si="38"/>
        <v>0</v>
      </c>
      <c r="H130" s="93">
        <f t="shared" si="38"/>
        <v>500000</v>
      </c>
      <c r="I130" s="93">
        <f t="shared" si="38"/>
        <v>0</v>
      </c>
      <c r="J130" s="93">
        <f t="shared" si="38"/>
        <v>5124079.66666666</v>
      </c>
      <c r="K130" s="93">
        <f t="shared" si="38"/>
        <v>0</v>
      </c>
      <c r="L130" s="93">
        <f t="shared" si="38"/>
        <v>375000</v>
      </c>
      <c r="M130" s="93">
        <f t="shared" si="38"/>
        <v>503333.33</v>
      </c>
      <c r="N130" s="93">
        <f t="shared" si="38"/>
        <v>100000</v>
      </c>
      <c r="O130" s="93">
        <f t="shared" si="38"/>
        <v>25107.5</v>
      </c>
      <c r="P130" s="93">
        <f t="shared" si="38"/>
        <v>42970.2354166666</v>
      </c>
      <c r="Q130" s="93">
        <f t="shared" si="38"/>
        <v>745918.004712499</v>
      </c>
      <c r="R130" s="93">
        <f t="shared" si="38"/>
        <v>369926.373333333</v>
      </c>
      <c r="S130" s="93">
        <f t="shared" si="38"/>
        <v>2162255.4434625</v>
      </c>
      <c r="T130" s="93">
        <v>2961824.22320416</v>
      </c>
      <c r="U130" s="93">
        <f>SUM(U123:U129)</f>
        <v>2961824.22320416</v>
      </c>
    </row>
    <row r="131" customHeight="1" spans="1:21">
      <c r="A131" s="4"/>
      <c r="B131" s="22"/>
      <c r="C131" s="21"/>
      <c r="D131" s="26"/>
      <c r="E131" s="156"/>
      <c r="F131" s="156"/>
      <c r="G131" s="220"/>
      <c r="H131" s="220"/>
      <c r="I131" s="156"/>
      <c r="J131" s="516"/>
      <c r="K131" s="156"/>
      <c r="L131" s="156"/>
      <c r="M131" s="156"/>
      <c r="N131" s="156"/>
      <c r="O131" s="156"/>
      <c r="P131" s="156"/>
      <c r="Q131" s="156"/>
      <c r="R131" s="156"/>
      <c r="S131" s="517"/>
      <c r="T131" s="156"/>
      <c r="U131" s="516"/>
    </row>
    <row r="132" customHeight="1" spans="1:21">
      <c r="A132" s="4"/>
      <c r="B132" s="20" t="s">
        <v>239</v>
      </c>
      <c r="C132" s="4"/>
      <c r="D132" s="4"/>
      <c r="E132" s="4"/>
      <c r="F132" s="4"/>
      <c r="G132" s="220"/>
      <c r="H132" s="220"/>
      <c r="I132" s="4"/>
      <c r="J132" s="519"/>
      <c r="K132" s="4"/>
      <c r="L132" s="4"/>
      <c r="M132" s="4"/>
      <c r="N132" s="4"/>
      <c r="O132" s="4"/>
      <c r="P132" s="4"/>
      <c r="Q132" s="4"/>
      <c r="R132" s="4"/>
      <c r="S132" s="520"/>
      <c r="T132" s="4"/>
      <c r="U132" s="519"/>
    </row>
    <row r="133" customHeight="1" spans="1:21">
      <c r="A133" s="4">
        <v>1</v>
      </c>
      <c r="B133" s="11" t="s">
        <v>240</v>
      </c>
      <c r="C133" s="12" t="s">
        <v>241</v>
      </c>
      <c r="D133" s="15" t="s">
        <v>124</v>
      </c>
      <c r="E133" s="85">
        <f>1747106.41666666*(7/30)</f>
        <v>407658.163888887</v>
      </c>
      <c r="F133" s="85"/>
      <c r="G133" s="220">
        <f>200000*(7/30)</f>
        <v>46666.6666666667</v>
      </c>
      <c r="H133" s="220"/>
      <c r="I133" s="85">
        <v>0</v>
      </c>
      <c r="J133" s="509">
        <f>SUM(E133:I133)</f>
        <v>454324.830555554</v>
      </c>
      <c r="K133" s="85"/>
      <c r="L133" s="85"/>
      <c r="M133" s="85">
        <v>0</v>
      </c>
      <c r="N133" s="85"/>
      <c r="O133" s="85"/>
      <c r="P133" s="85"/>
      <c r="Q133" s="85">
        <v>39120.1370999999</v>
      </c>
      <c r="R133" s="85"/>
      <c r="S133" s="510">
        <f t="shared" ref="S133:S143" si="39">SUM(K133:R133)</f>
        <v>39120.1370999999</v>
      </c>
      <c r="T133" s="85">
        <v>1375296.94363333</v>
      </c>
      <c r="U133" s="509">
        <f>J133-S133</f>
        <v>415204.693455554</v>
      </c>
    </row>
    <row r="134" customHeight="1" spans="1:21">
      <c r="A134" s="4">
        <v>2</v>
      </c>
      <c r="B134" s="11" t="s">
        <v>242</v>
      </c>
      <c r="C134" s="4" t="s">
        <v>243</v>
      </c>
      <c r="D134" s="16" t="s">
        <v>36</v>
      </c>
      <c r="E134" s="85">
        <v>905306.75</v>
      </c>
      <c r="F134" s="85"/>
      <c r="G134" s="220">
        <f>160000+20000</f>
        <v>180000</v>
      </c>
      <c r="H134" s="220"/>
      <c r="I134" s="85">
        <v>0</v>
      </c>
      <c r="J134" s="509">
        <f t="shared" ref="J134:J143" si="40">SUM(E134:I134)</f>
        <v>1085306.75</v>
      </c>
      <c r="K134" s="85"/>
      <c r="L134" s="85">
        <v>110000</v>
      </c>
      <c r="M134" s="85">
        <v>223611.11</v>
      </c>
      <c r="N134" s="85"/>
      <c r="O134" s="85"/>
      <c r="P134" s="85">
        <v>13866.7375</v>
      </c>
      <c r="Q134" s="85">
        <v>162322.78505</v>
      </c>
      <c r="R134" s="85">
        <v>72424.54</v>
      </c>
      <c r="S134" s="510">
        <f t="shared" si="39"/>
        <v>582225.17255</v>
      </c>
      <c r="T134" s="85">
        <v>726692.68745</v>
      </c>
      <c r="U134" s="509">
        <f t="shared" ref="U134:U143" si="41">J134-S134</f>
        <v>503081.57745</v>
      </c>
    </row>
    <row r="135" customHeight="1" spans="1:21">
      <c r="A135" s="4">
        <v>3</v>
      </c>
      <c r="B135" s="11" t="s">
        <v>244</v>
      </c>
      <c r="C135" s="4" t="s">
        <v>245</v>
      </c>
      <c r="D135" s="10" t="s">
        <v>214</v>
      </c>
      <c r="E135" s="85">
        <v>558165.25</v>
      </c>
      <c r="F135" s="85"/>
      <c r="G135" s="220">
        <f>140000</f>
        <v>140000</v>
      </c>
      <c r="H135" s="220"/>
      <c r="I135" s="85">
        <v>59666.145</v>
      </c>
      <c r="J135" s="509">
        <f t="shared" si="40"/>
        <v>757831.395</v>
      </c>
      <c r="K135" s="85"/>
      <c r="L135" s="85">
        <v>30000</v>
      </c>
      <c r="M135" s="85">
        <f>61111.11</f>
        <v>61111.11</v>
      </c>
      <c r="N135" s="85">
        <v>30000</v>
      </c>
      <c r="O135" s="85">
        <v>65001.75</v>
      </c>
      <c r="P135" s="85">
        <v>8692.89791666667</v>
      </c>
      <c r="Q135" s="85">
        <v>109307.349875</v>
      </c>
      <c r="R135" s="85">
        <v>44653.22</v>
      </c>
      <c r="S135" s="510">
        <f t="shared" si="39"/>
        <v>348766.327791667</v>
      </c>
      <c r="T135" s="85">
        <v>409065.067208333</v>
      </c>
      <c r="U135" s="509">
        <f t="shared" si="41"/>
        <v>409065.067208333</v>
      </c>
    </row>
    <row r="136" customHeight="1" spans="1:21">
      <c r="A136" s="4">
        <v>4</v>
      </c>
      <c r="B136" s="11" t="s">
        <v>246</v>
      </c>
      <c r="C136" s="4" t="s">
        <v>245</v>
      </c>
      <c r="D136" s="10" t="s">
        <v>214</v>
      </c>
      <c r="E136" s="85">
        <v>558165.25</v>
      </c>
      <c r="F136" s="85"/>
      <c r="G136" s="220">
        <f>140000</f>
        <v>140000</v>
      </c>
      <c r="H136" s="220"/>
      <c r="I136" s="85">
        <v>59666.145</v>
      </c>
      <c r="J136" s="509">
        <f t="shared" si="40"/>
        <v>757831.395</v>
      </c>
      <c r="K136" s="85"/>
      <c r="L136" s="85">
        <f>50000</f>
        <v>50000</v>
      </c>
      <c r="M136" s="85">
        <v>45833.33</v>
      </c>
      <c r="N136" s="85"/>
      <c r="O136" s="85"/>
      <c r="P136" s="85"/>
      <c r="Q136" s="85">
        <v>110872.0715</v>
      </c>
      <c r="R136" s="85">
        <v>44653.22</v>
      </c>
      <c r="S136" s="510">
        <f t="shared" si="39"/>
        <v>251358.6215</v>
      </c>
      <c r="T136" s="85">
        <v>506472.7735</v>
      </c>
      <c r="U136" s="509">
        <f t="shared" si="41"/>
        <v>506472.7735</v>
      </c>
    </row>
    <row r="137" s="1" customFormat="1" customHeight="1" spans="1:21">
      <c r="A137" s="4">
        <v>5</v>
      </c>
      <c r="B137" s="18" t="s">
        <v>247</v>
      </c>
      <c r="C137" s="4" t="s">
        <v>248</v>
      </c>
      <c r="D137" s="15" t="s">
        <v>131</v>
      </c>
      <c r="E137" s="220">
        <v>454993.583333333</v>
      </c>
      <c r="F137" s="85"/>
      <c r="G137" s="220">
        <f>110000</f>
        <v>110000</v>
      </c>
      <c r="H137" s="220"/>
      <c r="I137" s="85">
        <v>48527.49</v>
      </c>
      <c r="J137" s="509">
        <f t="shared" si="40"/>
        <v>613521.073333333</v>
      </c>
      <c r="K137" s="85"/>
      <c r="L137" s="85">
        <v>100000</v>
      </c>
      <c r="M137" s="85"/>
      <c r="N137" s="85"/>
      <c r="O137" s="85"/>
      <c r="P137" s="85"/>
      <c r="Q137" s="85">
        <v>86381.8855999999</v>
      </c>
      <c r="R137" s="85">
        <v>36399.4866666666</v>
      </c>
      <c r="S137" s="510">
        <f t="shared" si="39"/>
        <v>222781.372266667</v>
      </c>
      <c r="T137" s="85">
        <v>390739.701066667</v>
      </c>
      <c r="U137" s="509">
        <f t="shared" si="41"/>
        <v>390739.701066667</v>
      </c>
    </row>
    <row r="138" customHeight="1" spans="1:21">
      <c r="A138" s="4">
        <v>6</v>
      </c>
      <c r="B138" s="11" t="s">
        <v>249</v>
      </c>
      <c r="C138" s="4" t="s">
        <v>250</v>
      </c>
      <c r="D138" s="15" t="s">
        <v>251</v>
      </c>
      <c r="E138" s="220">
        <v>336960.166666667</v>
      </c>
      <c r="F138" s="85"/>
      <c r="G138" s="220">
        <f>100000</f>
        <v>100000</v>
      </c>
      <c r="H138" s="220"/>
      <c r="I138" s="85">
        <v>36294.5458333334</v>
      </c>
      <c r="J138" s="509">
        <f t="shared" si="40"/>
        <v>473254.7125</v>
      </c>
      <c r="K138" s="85"/>
      <c r="L138" s="85">
        <v>20000</v>
      </c>
      <c r="M138" s="85">
        <f>50000</f>
        <v>50000</v>
      </c>
      <c r="N138" s="85"/>
      <c r="O138" s="85"/>
      <c r="P138" s="85"/>
      <c r="Q138" s="85">
        <v>62833.62185</v>
      </c>
      <c r="R138" s="85">
        <v>26956.8133333333</v>
      </c>
      <c r="S138" s="510">
        <f t="shared" si="39"/>
        <v>159790.435183333</v>
      </c>
      <c r="T138" s="85">
        <v>313464.277316667</v>
      </c>
      <c r="U138" s="509">
        <f t="shared" si="41"/>
        <v>313464.277316667</v>
      </c>
    </row>
    <row r="139" customHeight="1" spans="1:21">
      <c r="A139" s="4">
        <v>7</v>
      </c>
      <c r="B139" s="18" t="s">
        <v>252</v>
      </c>
      <c r="C139" s="4" t="s">
        <v>250</v>
      </c>
      <c r="D139" s="10" t="s">
        <v>99</v>
      </c>
      <c r="E139" s="220">
        <v>338711.666666667</v>
      </c>
      <c r="F139" s="85"/>
      <c r="G139" s="220">
        <f>100000</f>
        <v>100000</v>
      </c>
      <c r="H139" s="220"/>
      <c r="I139" s="85">
        <v>36344.7791666666</v>
      </c>
      <c r="J139" s="509">
        <f t="shared" si="40"/>
        <v>475056.445833334</v>
      </c>
      <c r="K139" s="85"/>
      <c r="L139" s="85">
        <f>25000</f>
        <v>25000</v>
      </c>
      <c r="M139" s="85">
        <v>114583.333333333</v>
      </c>
      <c r="N139" s="85"/>
      <c r="O139" s="85"/>
      <c r="P139" s="85"/>
      <c r="Q139" s="85">
        <v>63132.7122500001</v>
      </c>
      <c r="R139" s="85">
        <v>27096.9333333334</v>
      </c>
      <c r="S139" s="510">
        <f t="shared" si="39"/>
        <v>229812.978916666</v>
      </c>
      <c r="T139" s="85">
        <v>245243.466916668</v>
      </c>
      <c r="U139" s="509">
        <f t="shared" si="41"/>
        <v>245243.466916668</v>
      </c>
    </row>
    <row r="140" customHeight="1" spans="1:21">
      <c r="A140" s="4">
        <v>8</v>
      </c>
      <c r="B140" s="18" t="s">
        <v>253</v>
      </c>
      <c r="C140" s="4" t="s">
        <v>250</v>
      </c>
      <c r="D140" s="15" t="s">
        <v>105</v>
      </c>
      <c r="E140" s="85">
        <v>308920.666666667</v>
      </c>
      <c r="F140" s="85"/>
      <c r="G140" s="220">
        <f t="shared" ref="G140:G143" si="42">100000</f>
        <v>100000</v>
      </c>
      <c r="H140" s="220"/>
      <c r="I140" s="85">
        <v>33981.2733333334</v>
      </c>
      <c r="J140" s="509">
        <f t="shared" si="40"/>
        <v>442901.94</v>
      </c>
      <c r="K140" s="85"/>
      <c r="L140" s="85">
        <f>30000</f>
        <v>30000</v>
      </c>
      <c r="M140" s="85"/>
      <c r="N140" s="85"/>
      <c r="O140" s="85"/>
      <c r="P140" s="85">
        <v>5118.36041666667</v>
      </c>
      <c r="Q140" s="85">
        <v>56751.6439250001</v>
      </c>
      <c r="R140" s="85">
        <v>24713.6533333334</v>
      </c>
      <c r="S140" s="510">
        <f t="shared" si="39"/>
        <v>116583.657675</v>
      </c>
      <c r="T140" s="85">
        <v>326318.282325</v>
      </c>
      <c r="U140" s="509">
        <f t="shared" si="41"/>
        <v>326318.282325</v>
      </c>
    </row>
    <row r="141" s="1" customFormat="1" customHeight="1" spans="1:21">
      <c r="A141" s="4">
        <v>9</v>
      </c>
      <c r="B141" s="18" t="s">
        <v>254</v>
      </c>
      <c r="C141" s="4" t="s">
        <v>250</v>
      </c>
      <c r="D141" s="15" t="s">
        <v>111</v>
      </c>
      <c r="E141" s="85">
        <v>294900.833333334</v>
      </c>
      <c r="F141" s="85"/>
      <c r="G141" s="220">
        <f t="shared" si="42"/>
        <v>100000</v>
      </c>
      <c r="H141" s="220"/>
      <c r="I141" s="85">
        <v>31668</v>
      </c>
      <c r="J141" s="509">
        <f t="shared" si="40"/>
        <v>426568.833333334</v>
      </c>
      <c r="K141" s="85"/>
      <c r="L141" s="683"/>
      <c r="M141" s="683"/>
      <c r="N141" s="683"/>
      <c r="O141" s="4"/>
      <c r="P141" s="4"/>
      <c r="Q141" s="683">
        <v>55035.8180000001</v>
      </c>
      <c r="R141" s="684">
        <v>23592.0666666667</v>
      </c>
      <c r="S141" s="510">
        <f t="shared" si="39"/>
        <v>78627.8846666668</v>
      </c>
      <c r="T141" s="85">
        <v>347940.948666667</v>
      </c>
      <c r="U141" s="509">
        <f t="shared" si="41"/>
        <v>347940.948666667</v>
      </c>
    </row>
    <row r="142" s="1" customFormat="1" customHeight="1" spans="1:21">
      <c r="A142" s="4">
        <v>10</v>
      </c>
      <c r="B142" s="18" t="s">
        <v>255</v>
      </c>
      <c r="C142" s="4" t="s">
        <v>250</v>
      </c>
      <c r="D142" s="15" t="s">
        <v>111</v>
      </c>
      <c r="E142" s="85">
        <v>294900.833333334</v>
      </c>
      <c r="F142" s="85"/>
      <c r="G142" s="220">
        <f t="shared" si="42"/>
        <v>100000</v>
      </c>
      <c r="H142" s="220"/>
      <c r="I142" s="85">
        <v>31668</v>
      </c>
      <c r="J142" s="509">
        <f t="shared" si="40"/>
        <v>426568.833333334</v>
      </c>
      <c r="K142" s="85"/>
      <c r="L142" s="683">
        <v>20000</v>
      </c>
      <c r="M142" s="683"/>
      <c r="N142" s="683"/>
      <c r="O142" s="4"/>
      <c r="P142" s="4"/>
      <c r="Q142" s="683">
        <v>55035.8180000001</v>
      </c>
      <c r="R142" s="684">
        <v>23592.0666666667</v>
      </c>
      <c r="S142" s="510">
        <f t="shared" si="39"/>
        <v>98627.8846666668</v>
      </c>
      <c r="T142" s="85">
        <v>327940.948666667</v>
      </c>
      <c r="U142" s="509">
        <f t="shared" si="41"/>
        <v>327940.948666667</v>
      </c>
    </row>
    <row r="143" s="1" customFormat="1" customHeight="1" spans="1:21">
      <c r="A143" s="4">
        <v>11</v>
      </c>
      <c r="B143" s="18" t="s">
        <v>256</v>
      </c>
      <c r="C143" s="4" t="s">
        <v>250</v>
      </c>
      <c r="D143" s="15" t="s">
        <v>111</v>
      </c>
      <c r="E143" s="85">
        <v>294900.833333334</v>
      </c>
      <c r="F143" s="85"/>
      <c r="G143" s="220">
        <f t="shared" si="42"/>
        <v>100000</v>
      </c>
      <c r="H143" s="220"/>
      <c r="I143" s="85">
        <v>31668</v>
      </c>
      <c r="J143" s="509">
        <f t="shared" si="40"/>
        <v>426568.833333334</v>
      </c>
      <c r="K143" s="85"/>
      <c r="L143" s="683"/>
      <c r="M143" s="683"/>
      <c r="N143" s="683"/>
      <c r="O143" s="4"/>
      <c r="P143" s="4"/>
      <c r="Q143" s="683">
        <v>55035.8180000001</v>
      </c>
      <c r="R143" s="684">
        <v>23592.0666666667</v>
      </c>
      <c r="S143" s="510">
        <f t="shared" si="39"/>
        <v>78627.8846666668</v>
      </c>
      <c r="T143" s="85">
        <v>347940.948666667</v>
      </c>
      <c r="U143" s="509">
        <f t="shared" si="41"/>
        <v>347940.948666667</v>
      </c>
    </row>
    <row r="144" ht="25.5" customHeight="1" spans="1:21">
      <c r="A144" s="4"/>
      <c r="B144" s="20" t="s">
        <v>120</v>
      </c>
      <c r="C144" s="21">
        <v>11</v>
      </c>
      <c r="D144" s="4"/>
      <c r="E144" s="223">
        <f>SUM(E133:E143)</f>
        <v>4753583.99722222</v>
      </c>
      <c r="F144" s="223">
        <f t="shared" ref="F144:T144" si="43">SUM(F133:F143)</f>
        <v>0</v>
      </c>
      <c r="G144" s="223">
        <f t="shared" si="43"/>
        <v>1216666.66666667</v>
      </c>
      <c r="H144" s="223">
        <f t="shared" si="43"/>
        <v>0</v>
      </c>
      <c r="I144" s="223">
        <f t="shared" si="43"/>
        <v>369484.378333333</v>
      </c>
      <c r="J144" s="223">
        <f t="shared" si="43"/>
        <v>6339735.04222222</v>
      </c>
      <c r="K144" s="223">
        <f t="shared" si="43"/>
        <v>0</v>
      </c>
      <c r="L144" s="223">
        <f t="shared" si="43"/>
        <v>385000</v>
      </c>
      <c r="M144" s="223">
        <f t="shared" si="43"/>
        <v>495138.883333333</v>
      </c>
      <c r="N144" s="223">
        <f t="shared" si="43"/>
        <v>30000</v>
      </c>
      <c r="O144" s="223">
        <f t="shared" si="43"/>
        <v>65001.75</v>
      </c>
      <c r="P144" s="223">
        <f t="shared" si="43"/>
        <v>27677.9958333333</v>
      </c>
      <c r="Q144" s="223">
        <f t="shared" si="43"/>
        <v>855829.66115</v>
      </c>
      <c r="R144" s="223">
        <f t="shared" si="43"/>
        <v>347674.066666667</v>
      </c>
      <c r="S144" s="223">
        <f t="shared" si="43"/>
        <v>2206322.35698333</v>
      </c>
      <c r="T144" s="223">
        <v>5317116.04541667</v>
      </c>
      <c r="U144" s="223">
        <f>SUM(U133:U143)</f>
        <v>4133412.68523889</v>
      </c>
    </row>
    <row r="145" customHeight="1" spans="1:21">
      <c r="A145" s="4"/>
      <c r="B145" s="20"/>
      <c r="C145" s="21"/>
      <c r="D145" s="4"/>
      <c r="E145" s="223"/>
      <c r="F145" s="223"/>
      <c r="G145" s="521"/>
      <c r="H145" s="521"/>
      <c r="I145" s="223"/>
      <c r="J145" s="522"/>
      <c r="K145" s="223"/>
      <c r="L145" s="223"/>
      <c r="M145" s="223"/>
      <c r="N145" s="223"/>
      <c r="O145" s="223"/>
      <c r="P145" s="223"/>
      <c r="Q145" s="223"/>
      <c r="R145" s="223"/>
      <c r="S145" s="523"/>
      <c r="T145" s="223"/>
      <c r="U145" s="522"/>
    </row>
    <row r="146" customHeight="1" spans="1:21">
      <c r="A146" s="10"/>
      <c r="B146" s="20" t="s">
        <v>257</v>
      </c>
      <c r="C146" s="21"/>
      <c r="D146" s="21"/>
      <c r="E146" s="156"/>
      <c r="F146" s="156"/>
      <c r="G146" s="220"/>
      <c r="H146" s="220"/>
      <c r="I146" s="156"/>
      <c r="J146" s="516"/>
      <c r="K146" s="156"/>
      <c r="L146" s="156"/>
      <c r="M146" s="156"/>
      <c r="N146" s="156"/>
      <c r="O146" s="156"/>
      <c r="P146" s="156"/>
      <c r="Q146" s="156"/>
      <c r="R146" s="156"/>
      <c r="S146" s="517"/>
      <c r="T146" s="156"/>
      <c r="U146" s="516"/>
    </row>
    <row r="147" s="1" customFormat="1" customHeight="1" spans="1:21">
      <c r="A147" s="10">
        <v>1</v>
      </c>
      <c r="B147" s="11" t="s">
        <v>258</v>
      </c>
      <c r="C147" s="17" t="s">
        <v>145</v>
      </c>
      <c r="D147" s="10" t="s">
        <v>50</v>
      </c>
      <c r="E147" s="85">
        <v>722595.5</v>
      </c>
      <c r="F147" s="85"/>
      <c r="G147" s="220">
        <v>160000</v>
      </c>
      <c r="H147" s="220"/>
      <c r="I147" s="85"/>
      <c r="J147" s="509">
        <f t="shared" ref="J147:J153" si="44">SUM(E147:I147)</f>
        <v>882595.5</v>
      </c>
      <c r="K147" s="85"/>
      <c r="L147" s="85"/>
      <c r="M147" s="85"/>
      <c r="N147" s="85"/>
      <c r="O147" s="85"/>
      <c r="P147" s="85"/>
      <c r="Q147" s="85">
        <v>130961.8148</v>
      </c>
      <c r="R147" s="85">
        <v>57807.64</v>
      </c>
      <c r="S147" s="510">
        <f t="shared" ref="S147:S153" si="45">SUM(K147:R147)</f>
        <v>188769.4548</v>
      </c>
      <c r="T147" s="85">
        <v>693826.0452</v>
      </c>
      <c r="U147" s="509">
        <f t="shared" ref="U147:U153" si="46">J147-S147</f>
        <v>693826.0452</v>
      </c>
    </row>
    <row r="148" ht="18.75" customHeight="1" spans="1:21">
      <c r="A148" s="10">
        <v>2</v>
      </c>
      <c r="B148" s="11" t="s">
        <v>259</v>
      </c>
      <c r="C148" s="4" t="s">
        <v>260</v>
      </c>
      <c r="D148" s="15" t="s">
        <v>261</v>
      </c>
      <c r="E148" s="85">
        <v>496497.166666667</v>
      </c>
      <c r="F148" s="85"/>
      <c r="G148" s="220">
        <v>110000</v>
      </c>
      <c r="H148" s="220">
        <v>0</v>
      </c>
      <c r="I148" s="85"/>
      <c r="J148" s="509">
        <f t="shared" si="44"/>
        <v>606497.166666667</v>
      </c>
      <c r="K148" s="85"/>
      <c r="L148" s="85">
        <f>30000</f>
        <v>30000</v>
      </c>
      <c r="M148" s="85">
        <f>102135.42</f>
        <v>102135.42</v>
      </c>
      <c r="N148" s="85"/>
      <c r="O148" s="85"/>
      <c r="P148" s="85">
        <v>7777.36041666667</v>
      </c>
      <c r="Q148" s="85">
        <v>83120.005925</v>
      </c>
      <c r="R148" s="85">
        <v>39719.7733333333</v>
      </c>
      <c r="S148" s="510">
        <f t="shared" si="45"/>
        <v>262752.559675</v>
      </c>
      <c r="T148" s="85">
        <v>343744.606991667</v>
      </c>
      <c r="U148" s="509">
        <f t="shared" si="46"/>
        <v>343744.606991667</v>
      </c>
    </row>
    <row r="149" s="1" customFormat="1" ht="18.75" customHeight="1" spans="1:21">
      <c r="A149" s="10">
        <v>4</v>
      </c>
      <c r="B149" s="18" t="s">
        <v>262</v>
      </c>
      <c r="C149" s="4" t="s">
        <v>152</v>
      </c>
      <c r="D149" s="10" t="s">
        <v>99</v>
      </c>
      <c r="E149" s="85">
        <v>338711.666666667</v>
      </c>
      <c r="F149" s="85"/>
      <c r="G149" s="220">
        <f t="shared" ref="G149:G153" si="47">100000</f>
        <v>100000</v>
      </c>
      <c r="H149" s="220"/>
      <c r="I149" s="85"/>
      <c r="J149" s="509">
        <f t="shared" si="44"/>
        <v>438711.666666667</v>
      </c>
      <c r="K149" s="85"/>
      <c r="L149" s="85">
        <v>50000</v>
      </c>
      <c r="M149" s="85">
        <v>92500</v>
      </c>
      <c r="N149" s="85"/>
      <c r="O149" s="85"/>
      <c r="P149" s="85">
        <v>5443.33541666668</v>
      </c>
      <c r="Q149" s="85">
        <v>55610.8516250001</v>
      </c>
      <c r="R149" s="85">
        <v>27096.9333333334</v>
      </c>
      <c r="S149" s="510">
        <f t="shared" si="45"/>
        <v>230651.120375</v>
      </c>
      <c r="T149" s="85">
        <v>208060.546291667</v>
      </c>
      <c r="U149" s="509">
        <f t="shared" si="46"/>
        <v>208060.546291667</v>
      </c>
    </row>
    <row r="150" s="1" customFormat="1" ht="18.75" customHeight="1" spans="1:21">
      <c r="A150" s="10">
        <v>5</v>
      </c>
      <c r="B150" s="18" t="s">
        <v>263</v>
      </c>
      <c r="C150" s="4" t="s">
        <v>152</v>
      </c>
      <c r="D150" s="10" t="s">
        <v>99</v>
      </c>
      <c r="E150" s="85">
        <v>338711.666666667</v>
      </c>
      <c r="F150" s="85"/>
      <c r="G150" s="220">
        <f t="shared" si="47"/>
        <v>100000</v>
      </c>
      <c r="H150" s="220"/>
      <c r="I150" s="85"/>
      <c r="J150" s="509">
        <f t="shared" si="44"/>
        <v>438711.666666667</v>
      </c>
      <c r="K150" s="85"/>
      <c r="L150" s="85">
        <v>20000</v>
      </c>
      <c r="M150" s="85"/>
      <c r="N150" s="85"/>
      <c r="O150" s="85"/>
      <c r="P150" s="85">
        <v>5443.33541666668</v>
      </c>
      <c r="Q150" s="85">
        <v>55610.8516250001</v>
      </c>
      <c r="R150" s="85">
        <v>27096.9333333334</v>
      </c>
      <c r="S150" s="510">
        <f t="shared" si="45"/>
        <v>108151.120375</v>
      </c>
      <c r="T150" s="85">
        <v>330560.546291667</v>
      </c>
      <c r="U150" s="509">
        <f t="shared" si="46"/>
        <v>330560.546291667</v>
      </c>
    </row>
    <row r="151" s="1" customFormat="1" ht="18.75" customHeight="1" spans="1:21">
      <c r="A151" s="10">
        <v>6</v>
      </c>
      <c r="B151" s="18" t="s">
        <v>264</v>
      </c>
      <c r="C151" s="4" t="s">
        <v>152</v>
      </c>
      <c r="D151" s="10" t="s">
        <v>99</v>
      </c>
      <c r="E151" s="85">
        <v>338711.666666667</v>
      </c>
      <c r="F151" s="85"/>
      <c r="G151" s="220">
        <f t="shared" si="47"/>
        <v>100000</v>
      </c>
      <c r="H151" s="220"/>
      <c r="I151" s="85"/>
      <c r="J151" s="509">
        <f t="shared" si="44"/>
        <v>438711.666666667</v>
      </c>
      <c r="K151" s="85"/>
      <c r="L151" s="85">
        <v>20000</v>
      </c>
      <c r="M151" s="85"/>
      <c r="N151" s="85"/>
      <c r="O151" s="85"/>
      <c r="P151" s="85">
        <v>5443.33541666668</v>
      </c>
      <c r="Q151" s="85">
        <v>55610.8516250001</v>
      </c>
      <c r="R151" s="85">
        <v>27096.9333333334</v>
      </c>
      <c r="S151" s="510">
        <f t="shared" si="45"/>
        <v>108151.120375</v>
      </c>
      <c r="T151" s="85">
        <v>330560.546291667</v>
      </c>
      <c r="U151" s="509">
        <f t="shared" si="46"/>
        <v>330560.546291667</v>
      </c>
    </row>
    <row r="152" s="1" customFormat="1" ht="18.75" customHeight="1" spans="1:21">
      <c r="A152" s="10">
        <v>7</v>
      </c>
      <c r="B152" s="18" t="s">
        <v>265</v>
      </c>
      <c r="C152" s="4" t="s">
        <v>152</v>
      </c>
      <c r="D152" s="10" t="s">
        <v>99</v>
      </c>
      <c r="E152" s="85">
        <v>338711.666666667</v>
      </c>
      <c r="F152" s="85"/>
      <c r="G152" s="220">
        <f t="shared" si="47"/>
        <v>100000</v>
      </c>
      <c r="H152" s="220"/>
      <c r="I152" s="85"/>
      <c r="J152" s="509">
        <f t="shared" si="44"/>
        <v>438711.666666667</v>
      </c>
      <c r="K152" s="85"/>
      <c r="L152" s="85">
        <v>10000</v>
      </c>
      <c r="M152" s="85"/>
      <c r="N152" s="85"/>
      <c r="O152" s="85"/>
      <c r="P152" s="85">
        <v>5443.33541666668</v>
      </c>
      <c r="Q152" s="85">
        <v>55610.8516250001</v>
      </c>
      <c r="R152" s="85">
        <v>27096.9333333334</v>
      </c>
      <c r="S152" s="510">
        <f t="shared" si="45"/>
        <v>98151.1203750002</v>
      </c>
      <c r="T152" s="85">
        <v>340560.546291667</v>
      </c>
      <c r="U152" s="509">
        <f t="shared" si="46"/>
        <v>340560.546291667</v>
      </c>
    </row>
    <row r="153" s="1" customFormat="1" customHeight="1" spans="1:21">
      <c r="A153" s="10">
        <v>8</v>
      </c>
      <c r="B153" s="18" t="s">
        <v>266</v>
      </c>
      <c r="C153" s="12" t="s">
        <v>267</v>
      </c>
      <c r="D153" s="15" t="s">
        <v>111</v>
      </c>
      <c r="E153" s="85">
        <v>294900.833333334</v>
      </c>
      <c r="F153" s="85"/>
      <c r="G153" s="220">
        <f t="shared" si="47"/>
        <v>100000</v>
      </c>
      <c r="H153" s="220"/>
      <c r="I153" s="85"/>
      <c r="J153" s="509">
        <f t="shared" si="44"/>
        <v>394900.833333334</v>
      </c>
      <c r="K153" s="85"/>
      <c r="L153" s="683">
        <v>10000</v>
      </c>
      <c r="M153" s="683"/>
      <c r="N153" s="1195"/>
      <c r="O153" s="328"/>
      <c r="P153" s="328">
        <v>4804.48541666668</v>
      </c>
      <c r="Q153" s="683">
        <v>48470.7706250001</v>
      </c>
      <c r="R153" s="684">
        <v>23592.0666666667</v>
      </c>
      <c r="S153" s="510">
        <f t="shared" si="45"/>
        <v>86867.3227083335</v>
      </c>
      <c r="T153" s="85">
        <v>308033.510625001</v>
      </c>
      <c r="U153" s="509">
        <f t="shared" si="46"/>
        <v>308033.510625001</v>
      </c>
    </row>
    <row r="154" ht="24.75" customHeight="1" spans="1:21">
      <c r="A154" s="4"/>
      <c r="B154" s="20" t="s">
        <v>120</v>
      </c>
      <c r="C154" s="21">
        <v>8</v>
      </c>
      <c r="D154" s="26"/>
      <c r="E154" s="93">
        <f>SUM(E147:E153)</f>
        <v>2868840.16666667</v>
      </c>
      <c r="F154" s="93">
        <f t="shared" ref="F154:T154" si="48">SUM(F147:F153)</f>
        <v>0</v>
      </c>
      <c r="G154" s="93">
        <f t="shared" si="48"/>
        <v>770000</v>
      </c>
      <c r="H154" s="93">
        <f t="shared" si="48"/>
        <v>0</v>
      </c>
      <c r="I154" s="93">
        <f t="shared" si="48"/>
        <v>0</v>
      </c>
      <c r="J154" s="93">
        <f t="shared" si="48"/>
        <v>3638840.16666667</v>
      </c>
      <c r="K154" s="93">
        <f t="shared" si="48"/>
        <v>0</v>
      </c>
      <c r="L154" s="93">
        <f t="shared" si="48"/>
        <v>140000</v>
      </c>
      <c r="M154" s="93">
        <f t="shared" si="48"/>
        <v>194635.42</v>
      </c>
      <c r="N154" s="93">
        <f t="shared" si="48"/>
        <v>0</v>
      </c>
      <c r="O154" s="93">
        <f t="shared" si="48"/>
        <v>0</v>
      </c>
      <c r="P154" s="93">
        <f t="shared" si="48"/>
        <v>34355.1875000001</v>
      </c>
      <c r="Q154" s="93">
        <f t="shared" si="48"/>
        <v>484995.997850001</v>
      </c>
      <c r="R154" s="93">
        <f t="shared" si="48"/>
        <v>229507.213333334</v>
      </c>
      <c r="S154" s="93">
        <f t="shared" si="48"/>
        <v>1083493.81868333</v>
      </c>
      <c r="T154" s="93">
        <v>2555346.34798333</v>
      </c>
      <c r="U154" s="93">
        <f>SUM(U147:U153)</f>
        <v>2555346.34798333</v>
      </c>
    </row>
    <row r="155" ht="24.75" customHeight="1" spans="1:21">
      <c r="A155" s="4"/>
      <c r="B155" s="20"/>
      <c r="C155" s="21"/>
      <c r="D155" s="26"/>
      <c r="E155" s="93"/>
      <c r="F155" s="93"/>
      <c r="G155" s="93"/>
      <c r="H155" s="93"/>
      <c r="I155" s="93"/>
      <c r="J155" s="1196"/>
      <c r="K155" s="93"/>
      <c r="L155" s="93"/>
      <c r="M155" s="93"/>
      <c r="N155" s="93"/>
      <c r="O155" s="93"/>
      <c r="P155" s="93"/>
      <c r="Q155" s="93"/>
      <c r="R155" s="93"/>
      <c r="S155" s="1197"/>
      <c r="T155" s="93"/>
      <c r="U155" s="1196"/>
    </row>
    <row r="156" ht="24.75" customHeight="1" spans="1:21">
      <c r="A156" s="10"/>
      <c r="B156" s="20" t="s">
        <v>268</v>
      </c>
      <c r="C156" s="21"/>
      <c r="D156" s="21"/>
      <c r="E156" s="156"/>
      <c r="F156" s="156"/>
      <c r="G156" s="220"/>
      <c r="H156" s="220"/>
      <c r="I156" s="156"/>
      <c r="J156" s="516"/>
      <c r="K156" s="156"/>
      <c r="L156" s="156"/>
      <c r="M156" s="156"/>
      <c r="N156" s="156"/>
      <c r="O156" s="156"/>
      <c r="P156" s="156"/>
      <c r="Q156" s="156"/>
      <c r="R156" s="156"/>
      <c r="S156" s="517"/>
      <c r="T156" s="156"/>
      <c r="U156" s="516"/>
    </row>
    <row r="157" s="1" customFormat="1" ht="18.75" customHeight="1" spans="1:21">
      <c r="A157" s="4">
        <v>1</v>
      </c>
      <c r="B157" s="18" t="s">
        <v>269</v>
      </c>
      <c r="C157" s="4" t="s">
        <v>270</v>
      </c>
      <c r="D157" s="10" t="s">
        <v>99</v>
      </c>
      <c r="E157" s="85">
        <v>338711.666666667</v>
      </c>
      <c r="F157" s="85"/>
      <c r="G157" s="220"/>
      <c r="H157" s="220">
        <f>60000</f>
        <v>60000</v>
      </c>
      <c r="I157" s="85"/>
      <c r="J157" s="510">
        <f>SUM(E157:I157)</f>
        <v>398711.666666667</v>
      </c>
      <c r="K157" s="85"/>
      <c r="L157" s="85"/>
      <c r="M157" s="85"/>
      <c r="N157" s="85"/>
      <c r="O157" s="85"/>
      <c r="P157" s="85"/>
      <c r="Q157" s="85">
        <v>49390.6520000001</v>
      </c>
      <c r="R157" s="85">
        <v>27096.9333333334</v>
      </c>
      <c r="S157" s="510">
        <f>SUM(K157:R157)</f>
        <v>76487.5853333335</v>
      </c>
      <c r="T157" s="85">
        <v>322224.081333334</v>
      </c>
      <c r="U157" s="510">
        <f>J157-S157</f>
        <v>322224.081333334</v>
      </c>
    </row>
    <row r="158" ht="24.75" customHeight="1" spans="1:21">
      <c r="A158" s="4">
        <v>2</v>
      </c>
      <c r="B158" s="11" t="s">
        <v>271</v>
      </c>
      <c r="C158" s="4" t="s">
        <v>272</v>
      </c>
      <c r="D158" s="10" t="s">
        <v>111</v>
      </c>
      <c r="E158" s="85">
        <v>294900.833333334</v>
      </c>
      <c r="F158" s="85"/>
      <c r="G158" s="220"/>
      <c r="H158" s="220">
        <v>50000</v>
      </c>
      <c r="I158" s="85"/>
      <c r="J158" s="510">
        <f>SUM(E158:I158)</f>
        <v>344900.833333334</v>
      </c>
      <c r="K158" s="85"/>
      <c r="L158" s="85">
        <v>52000</v>
      </c>
      <c r="M158" s="85"/>
      <c r="N158" s="85"/>
      <c r="O158" s="85"/>
      <c r="P158" s="85"/>
      <c r="Q158" s="85">
        <v>40335.5780000001</v>
      </c>
      <c r="R158" s="85">
        <v>23592.0666666667</v>
      </c>
      <c r="S158" s="510">
        <f>SUM(K158:R158)</f>
        <v>115927.644666667</v>
      </c>
      <c r="T158" s="85">
        <v>280973.188666667</v>
      </c>
      <c r="U158" s="510">
        <f>J158-S158</f>
        <v>228973.188666667</v>
      </c>
    </row>
    <row r="159" s="1" customFormat="1" customHeight="1" spans="1:21">
      <c r="A159" s="4">
        <v>3</v>
      </c>
      <c r="B159" s="18" t="s">
        <v>273</v>
      </c>
      <c r="C159" s="12" t="s">
        <v>274</v>
      </c>
      <c r="D159" s="15" t="s">
        <v>275</v>
      </c>
      <c r="E159" s="85">
        <v>287890.916666667</v>
      </c>
      <c r="F159" s="85"/>
      <c r="G159" s="220"/>
      <c r="H159" s="220">
        <f>50000</f>
        <v>50000</v>
      </c>
      <c r="I159" s="85"/>
      <c r="J159" s="510">
        <f>SUM(E159:I159)</f>
        <v>337890.916666667</v>
      </c>
      <c r="K159" s="85"/>
      <c r="L159" s="683"/>
      <c r="M159" s="683"/>
      <c r="N159" s="683"/>
      <c r="O159" s="833"/>
      <c r="P159" s="833"/>
      <c r="Q159" s="261">
        <v>39174.7358000001</v>
      </c>
      <c r="R159" s="261">
        <v>23031.2733333334</v>
      </c>
      <c r="S159" s="510">
        <f>SUM(K159:R159)</f>
        <v>62206.0091333335</v>
      </c>
      <c r="T159" s="85">
        <v>275684.907533333</v>
      </c>
      <c r="U159" s="510">
        <f>J159-S159</f>
        <v>275684.907533333</v>
      </c>
    </row>
    <row r="160" ht="24.75" customHeight="1" spans="1:21">
      <c r="A160" s="4">
        <v>4</v>
      </c>
      <c r="B160" s="11" t="s">
        <v>276</v>
      </c>
      <c r="C160" s="4" t="s">
        <v>277</v>
      </c>
      <c r="D160" s="10" t="s">
        <v>111</v>
      </c>
      <c r="E160" s="85">
        <v>294900.833333334</v>
      </c>
      <c r="F160" s="85"/>
      <c r="G160" s="220"/>
      <c r="H160" s="220">
        <v>50000</v>
      </c>
      <c r="I160" s="85"/>
      <c r="J160" s="510">
        <f>SUM(E160:I160)</f>
        <v>344900.833333334</v>
      </c>
      <c r="K160" s="85"/>
      <c r="L160" s="85"/>
      <c r="M160" s="85"/>
      <c r="N160" s="85"/>
      <c r="O160" s="85"/>
      <c r="P160" s="85"/>
      <c r="Q160" s="85">
        <v>40335.5780000001</v>
      </c>
      <c r="R160" s="85">
        <v>23592.0666666667</v>
      </c>
      <c r="S160" s="510">
        <f>SUM(K160:R160)</f>
        <v>63927.6446666668</v>
      </c>
      <c r="T160" s="85">
        <v>280973.188666667</v>
      </c>
      <c r="U160" s="510">
        <f>J160-S160</f>
        <v>280973.188666667</v>
      </c>
    </row>
    <row r="161" customHeight="1" spans="1:21">
      <c r="A161" s="4"/>
      <c r="B161" s="20" t="s">
        <v>120</v>
      </c>
      <c r="C161" s="21">
        <v>4</v>
      </c>
      <c r="D161" s="26"/>
      <c r="E161" s="93">
        <f>SUM(E157:E160)</f>
        <v>1216404.25</v>
      </c>
      <c r="F161" s="93">
        <f t="shared" ref="F161:T161" si="49">SUM(F157:F160)</f>
        <v>0</v>
      </c>
      <c r="G161" s="93">
        <f t="shared" si="49"/>
        <v>0</v>
      </c>
      <c r="H161" s="93">
        <f t="shared" si="49"/>
        <v>210000</v>
      </c>
      <c r="I161" s="93">
        <f t="shared" si="49"/>
        <v>0</v>
      </c>
      <c r="J161" s="93">
        <f t="shared" si="49"/>
        <v>1426404.25</v>
      </c>
      <c r="K161" s="93">
        <f t="shared" si="49"/>
        <v>0</v>
      </c>
      <c r="L161" s="93">
        <f t="shared" si="49"/>
        <v>52000</v>
      </c>
      <c r="M161" s="93">
        <f t="shared" si="49"/>
        <v>0</v>
      </c>
      <c r="N161" s="93">
        <f t="shared" si="49"/>
        <v>0</v>
      </c>
      <c r="O161" s="93">
        <f t="shared" si="49"/>
        <v>0</v>
      </c>
      <c r="P161" s="93">
        <f t="shared" si="49"/>
        <v>0</v>
      </c>
      <c r="Q161" s="93">
        <f t="shared" si="49"/>
        <v>169236.5438</v>
      </c>
      <c r="R161" s="93">
        <f t="shared" si="49"/>
        <v>97312.3400000002</v>
      </c>
      <c r="S161" s="93">
        <f t="shared" si="49"/>
        <v>318548.883800001</v>
      </c>
      <c r="T161" s="93">
        <v>1159855.3662</v>
      </c>
      <c r="U161" s="93">
        <f>SUM(U157:U160)</f>
        <v>1107855.3662</v>
      </c>
    </row>
    <row r="162" customHeight="1" spans="1:21">
      <c r="A162" s="4"/>
      <c r="B162" s="20"/>
      <c r="C162" s="21"/>
      <c r="D162" s="26"/>
      <c r="E162" s="93"/>
      <c r="F162" s="93"/>
      <c r="G162" s="93"/>
      <c r="H162" s="93"/>
      <c r="I162" s="93"/>
      <c r="J162" s="1196"/>
      <c r="K162" s="93"/>
      <c r="L162" s="93"/>
      <c r="M162" s="93"/>
      <c r="N162" s="93"/>
      <c r="O162" s="93"/>
      <c r="P162" s="93"/>
      <c r="Q162" s="93"/>
      <c r="R162" s="93"/>
      <c r="S162" s="1197"/>
      <c r="T162" s="93"/>
      <c r="U162" s="1196"/>
    </row>
    <row r="163" customHeight="1" spans="1:21">
      <c r="A163" s="4"/>
      <c r="B163" s="20" t="s">
        <v>278</v>
      </c>
      <c r="C163" s="21"/>
      <c r="D163" s="21"/>
      <c r="E163" s="156"/>
      <c r="F163" s="156"/>
      <c r="G163" s="220"/>
      <c r="H163" s="220"/>
      <c r="I163" s="156"/>
      <c r="J163" s="516"/>
      <c r="K163" s="156"/>
      <c r="L163" s="156"/>
      <c r="M163" s="156"/>
      <c r="N163" s="156"/>
      <c r="O163" s="156"/>
      <c r="P163" s="156"/>
      <c r="Q163" s="156"/>
      <c r="R163" s="156"/>
      <c r="S163" s="510"/>
      <c r="T163" s="85"/>
      <c r="U163" s="509"/>
    </row>
    <row r="164" customHeight="1" spans="1:21">
      <c r="A164" s="4">
        <v>1</v>
      </c>
      <c r="B164" s="11" t="s">
        <v>279</v>
      </c>
      <c r="C164" s="12" t="s">
        <v>280</v>
      </c>
      <c r="D164" s="15" t="s">
        <v>124</v>
      </c>
      <c r="E164" s="85">
        <v>1747106.41666666</v>
      </c>
      <c r="F164" s="85"/>
      <c r="G164" s="220"/>
      <c r="H164" s="220">
        <f>100000</f>
        <v>100000</v>
      </c>
      <c r="I164" s="85">
        <v>100000</v>
      </c>
      <c r="J164" s="509">
        <f>SUM(E164:I164)</f>
        <v>1947106.41666666</v>
      </c>
      <c r="K164" s="85"/>
      <c r="L164" s="85">
        <f>200000</f>
        <v>200000</v>
      </c>
      <c r="M164" s="85">
        <f>627777.78</f>
        <v>627777.78</v>
      </c>
      <c r="N164" s="85">
        <v>70000</v>
      </c>
      <c r="O164" s="85"/>
      <c r="P164" s="85">
        <v>27169.4270833333</v>
      </c>
      <c r="Q164" s="85">
        <v>326335.380012499</v>
      </c>
      <c r="R164" s="85">
        <v>139768.513333333</v>
      </c>
      <c r="S164" s="510">
        <f t="shared" ref="S164:S175" si="50">SUM(K164:R164)</f>
        <v>1391051.10042917</v>
      </c>
      <c r="T164" s="85">
        <v>556055.316237495</v>
      </c>
      <c r="U164" s="509">
        <f>J164-S164</f>
        <v>556055.316237495</v>
      </c>
    </row>
    <row r="165" customHeight="1" spans="1:21">
      <c r="A165" s="4">
        <v>2</v>
      </c>
      <c r="B165" s="11" t="s">
        <v>281</v>
      </c>
      <c r="C165" s="12" t="s">
        <v>282</v>
      </c>
      <c r="D165" s="15" t="s">
        <v>36</v>
      </c>
      <c r="E165" s="85">
        <v>905306.75</v>
      </c>
      <c r="F165" s="85"/>
      <c r="G165" s="220"/>
      <c r="H165" s="220">
        <f>90000</f>
        <v>90000</v>
      </c>
      <c r="I165" s="85">
        <v>100000</v>
      </c>
      <c r="J165" s="509">
        <f t="shared" ref="J165:J175" si="51">SUM(E165:I165)</f>
        <v>1095306.75</v>
      </c>
      <c r="K165" s="85"/>
      <c r="L165" s="85">
        <v>0</v>
      </c>
      <c r="M165" s="85">
        <f>0</f>
        <v>0</v>
      </c>
      <c r="N165" s="85"/>
      <c r="O165" s="85"/>
      <c r="P165" s="85">
        <v>13866.7375</v>
      </c>
      <c r="Q165" s="85">
        <v>158122.78505</v>
      </c>
      <c r="R165" s="85">
        <v>72424.54</v>
      </c>
      <c r="S165" s="510">
        <f t="shared" si="50"/>
        <v>244414.06255</v>
      </c>
      <c r="T165" s="85">
        <v>863433.60745</v>
      </c>
      <c r="U165" s="509">
        <f t="shared" ref="U165:U175" si="52">J165-S165</f>
        <v>850892.68745</v>
      </c>
    </row>
    <row r="166" customHeight="1" spans="1:21">
      <c r="A166" s="4">
        <v>3</v>
      </c>
      <c r="B166" s="14" t="s">
        <v>283</v>
      </c>
      <c r="C166" s="12" t="s">
        <v>282</v>
      </c>
      <c r="D166" s="15" t="s">
        <v>36</v>
      </c>
      <c r="E166" s="85">
        <v>905306.75</v>
      </c>
      <c r="F166" s="85"/>
      <c r="G166" s="220"/>
      <c r="H166" s="220">
        <f>90000</f>
        <v>90000</v>
      </c>
      <c r="I166" s="85">
        <f>100000+30000</f>
        <v>130000</v>
      </c>
      <c r="J166" s="509">
        <f t="shared" si="51"/>
        <v>1125306.75</v>
      </c>
      <c r="K166" s="85"/>
      <c r="L166" s="85">
        <f>350000</f>
        <v>350000</v>
      </c>
      <c r="M166" s="85"/>
      <c r="N166" s="85"/>
      <c r="O166" s="85"/>
      <c r="P166" s="85">
        <v>13866.7375</v>
      </c>
      <c r="Q166" s="85">
        <v>170693.249225</v>
      </c>
      <c r="R166" s="85">
        <v>72424.54</v>
      </c>
      <c r="S166" s="510">
        <f t="shared" si="50"/>
        <v>606984.526725</v>
      </c>
      <c r="T166" s="85">
        <v>518322.223275</v>
      </c>
      <c r="U166" s="509">
        <f t="shared" si="52"/>
        <v>518322.223275</v>
      </c>
    </row>
    <row r="167" customHeight="1" spans="1:21">
      <c r="A167" s="4">
        <v>4</v>
      </c>
      <c r="B167" s="11" t="s">
        <v>284</v>
      </c>
      <c r="C167" s="12" t="s">
        <v>285</v>
      </c>
      <c r="D167" s="15" t="s">
        <v>50</v>
      </c>
      <c r="E167" s="85">
        <v>722595.5</v>
      </c>
      <c r="F167" s="85"/>
      <c r="G167" s="220"/>
      <c r="H167" s="220">
        <f>80000</f>
        <v>80000</v>
      </c>
      <c r="I167" s="85">
        <v>0</v>
      </c>
      <c r="J167" s="509">
        <f t="shared" si="51"/>
        <v>802595.5</v>
      </c>
      <c r="K167" s="85"/>
      <c r="L167" s="85">
        <v>100000</v>
      </c>
      <c r="M167" s="85">
        <v>70000</v>
      </c>
      <c r="N167" s="85">
        <v>50000</v>
      </c>
      <c r="O167" s="85">
        <v>63759.67</v>
      </c>
      <c r="P167" s="85"/>
      <c r="Q167" s="85">
        <v>116561.8148</v>
      </c>
      <c r="R167" s="85">
        <v>57807.64</v>
      </c>
      <c r="S167" s="510">
        <f t="shared" si="50"/>
        <v>458129.1248</v>
      </c>
      <c r="T167" s="85">
        <v>344466.3752</v>
      </c>
      <c r="U167" s="509">
        <f t="shared" si="52"/>
        <v>344466.3752</v>
      </c>
    </row>
    <row r="168" customHeight="1" spans="1:21">
      <c r="A168" s="4">
        <v>5</v>
      </c>
      <c r="B168" s="11" t="s">
        <v>286</v>
      </c>
      <c r="C168" s="12" t="s">
        <v>285</v>
      </c>
      <c r="D168" s="15" t="s">
        <v>42</v>
      </c>
      <c r="E168" s="85">
        <v>700713.916666666</v>
      </c>
      <c r="F168" s="85"/>
      <c r="G168" s="220"/>
      <c r="H168" s="220">
        <f>80000</f>
        <v>80000</v>
      </c>
      <c r="I168" s="85">
        <v>0</v>
      </c>
      <c r="J168" s="509">
        <f t="shared" si="51"/>
        <v>780713.916666666</v>
      </c>
      <c r="K168" s="85"/>
      <c r="L168" s="85">
        <v>5000</v>
      </c>
      <c r="M168" s="85">
        <v>250000</v>
      </c>
      <c r="N168" s="85"/>
      <c r="O168" s="85"/>
      <c r="P168" s="85"/>
      <c r="Q168" s="85">
        <v>112938.2246</v>
      </c>
      <c r="R168" s="85">
        <v>56057.1133333333</v>
      </c>
      <c r="S168" s="510">
        <f t="shared" si="50"/>
        <v>423995.337933333</v>
      </c>
      <c r="T168" s="85">
        <v>356718.578733333</v>
      </c>
      <c r="U168" s="509">
        <f t="shared" si="52"/>
        <v>356718.578733333</v>
      </c>
    </row>
    <row r="169" customHeight="1" spans="1:21">
      <c r="A169" s="4">
        <v>6</v>
      </c>
      <c r="B169" s="11" t="s">
        <v>287</v>
      </c>
      <c r="C169" s="12" t="s">
        <v>288</v>
      </c>
      <c r="D169" s="15" t="s">
        <v>47</v>
      </c>
      <c r="E169" s="85">
        <v>573911.083333334</v>
      </c>
      <c r="F169" s="85"/>
      <c r="G169" s="220"/>
      <c r="H169" s="220">
        <f t="shared" ref="H169:H170" si="53">70000</f>
        <v>70000</v>
      </c>
      <c r="I169" s="85">
        <v>0</v>
      </c>
      <c r="J169" s="509">
        <f t="shared" si="51"/>
        <v>643911.083333334</v>
      </c>
      <c r="K169" s="85"/>
      <c r="L169" s="85">
        <f>20000</f>
        <v>20000</v>
      </c>
      <c r="M169" s="85">
        <v>75694.44</v>
      </c>
      <c r="N169" s="85"/>
      <c r="O169" s="85"/>
      <c r="P169" s="85">
        <v>8926.66666666668</v>
      </c>
      <c r="Q169" s="85">
        <v>88532.8754000001</v>
      </c>
      <c r="R169" s="85">
        <v>45912.8866666667</v>
      </c>
      <c r="S169" s="510">
        <f t="shared" si="50"/>
        <v>239066.868733333</v>
      </c>
      <c r="T169" s="85">
        <v>404844.2146</v>
      </c>
      <c r="U169" s="509">
        <f t="shared" si="52"/>
        <v>404844.214600001</v>
      </c>
    </row>
    <row r="170" customHeight="1" spans="1:21">
      <c r="A170" s="4">
        <v>7</v>
      </c>
      <c r="B170" s="11" t="s">
        <v>289</v>
      </c>
      <c r="C170" s="12" t="s">
        <v>288</v>
      </c>
      <c r="D170" s="15" t="s">
        <v>192</v>
      </c>
      <c r="E170" s="85">
        <v>589657</v>
      </c>
      <c r="F170" s="85"/>
      <c r="G170" s="220"/>
      <c r="H170" s="220">
        <f t="shared" si="53"/>
        <v>70000</v>
      </c>
      <c r="I170" s="85"/>
      <c r="J170" s="509">
        <f t="shared" si="51"/>
        <v>659657</v>
      </c>
      <c r="K170" s="85"/>
      <c r="L170" s="85">
        <v>100000</v>
      </c>
      <c r="M170" s="85">
        <f>55000</f>
        <v>55000</v>
      </c>
      <c r="N170" s="85"/>
      <c r="O170" s="85"/>
      <c r="P170" s="85">
        <v>9160.4375</v>
      </c>
      <c r="Q170" s="85">
        <v>91098.32045</v>
      </c>
      <c r="R170" s="85">
        <v>47172.56</v>
      </c>
      <c r="S170" s="510">
        <f t="shared" si="50"/>
        <v>302431.31795</v>
      </c>
      <c r="T170" s="85">
        <v>357225.68205</v>
      </c>
      <c r="U170" s="509">
        <f t="shared" si="52"/>
        <v>357225.68205</v>
      </c>
    </row>
    <row r="171" s="1" customFormat="1" customHeight="1" spans="1:21">
      <c r="A171" s="4">
        <v>8</v>
      </c>
      <c r="B171" s="18" t="s">
        <v>290</v>
      </c>
      <c r="C171" s="12" t="s">
        <v>291</v>
      </c>
      <c r="D171" s="15" t="s">
        <v>99</v>
      </c>
      <c r="E171" s="85">
        <v>338711.666666667</v>
      </c>
      <c r="F171" s="85"/>
      <c r="G171" s="220"/>
      <c r="H171" s="220">
        <v>60000</v>
      </c>
      <c r="I171" s="85"/>
      <c r="J171" s="509">
        <f t="shared" si="51"/>
        <v>398711.666666667</v>
      </c>
      <c r="K171" s="85"/>
      <c r="L171" s="683"/>
      <c r="M171" s="683"/>
      <c r="N171" s="683">
        <v>40000</v>
      </c>
      <c r="O171" s="833">
        <v>39366.25</v>
      </c>
      <c r="P171" s="4"/>
      <c r="Q171" s="683">
        <v>49390.6520000001</v>
      </c>
      <c r="R171" s="684">
        <v>27096.9333333334</v>
      </c>
      <c r="S171" s="510">
        <f t="shared" si="50"/>
        <v>155853.835333333</v>
      </c>
      <c r="T171" s="85">
        <v>242857.831333333</v>
      </c>
      <c r="U171" s="509">
        <f t="shared" si="52"/>
        <v>242857.831333334</v>
      </c>
    </row>
    <row r="172" customHeight="1" spans="1:21">
      <c r="A172" s="4">
        <v>9</v>
      </c>
      <c r="B172" s="11" t="s">
        <v>292</v>
      </c>
      <c r="C172" s="4" t="s">
        <v>293</v>
      </c>
      <c r="D172" s="15" t="s">
        <v>81</v>
      </c>
      <c r="E172" s="85">
        <v>372145.333333333</v>
      </c>
      <c r="F172" s="85"/>
      <c r="G172" s="220"/>
      <c r="H172" s="220">
        <v>60000</v>
      </c>
      <c r="I172" s="85"/>
      <c r="J172" s="509">
        <f t="shared" si="51"/>
        <v>432145.333333333</v>
      </c>
      <c r="K172" s="85"/>
      <c r="L172" s="85">
        <v>15000</v>
      </c>
      <c r="M172" s="85">
        <v>150000</v>
      </c>
      <c r="N172" s="85">
        <v>20000</v>
      </c>
      <c r="O172" s="85">
        <v>29397.5</v>
      </c>
      <c r="P172" s="85"/>
      <c r="Q172" s="85">
        <v>54927.2671999999</v>
      </c>
      <c r="R172" s="85">
        <v>29771.6266666666</v>
      </c>
      <c r="S172" s="510">
        <f t="shared" si="50"/>
        <v>299096.393866666</v>
      </c>
      <c r="T172" s="85">
        <v>133048.939466667</v>
      </c>
      <c r="U172" s="509">
        <f t="shared" si="52"/>
        <v>133048.939466667</v>
      </c>
    </row>
    <row r="173" customHeight="1" spans="1:21">
      <c r="A173" s="4">
        <v>10</v>
      </c>
      <c r="B173" s="18" t="s">
        <v>294</v>
      </c>
      <c r="C173" s="12" t="s">
        <v>295</v>
      </c>
      <c r="D173" s="15" t="s">
        <v>105</v>
      </c>
      <c r="E173" s="85">
        <v>308920.666666667</v>
      </c>
      <c r="F173" s="85"/>
      <c r="G173" s="220"/>
      <c r="H173" s="220">
        <f>50000</f>
        <v>50000</v>
      </c>
      <c r="I173" s="85"/>
      <c r="J173" s="509">
        <f t="shared" si="51"/>
        <v>358920.666666667</v>
      </c>
      <c r="K173" s="85"/>
      <c r="L173" s="85">
        <f>10000</f>
        <v>10000</v>
      </c>
      <c r="M173" s="85">
        <f>100000</f>
        <v>100000</v>
      </c>
      <c r="N173" s="1190"/>
      <c r="O173" s="912"/>
      <c r="P173" s="912">
        <v>5013.73541666668</v>
      </c>
      <c r="Q173" s="85">
        <v>41754.790025</v>
      </c>
      <c r="R173" s="85">
        <v>24713.6533333334</v>
      </c>
      <c r="S173" s="510">
        <f t="shared" si="50"/>
        <v>181482.178775</v>
      </c>
      <c r="T173" s="85">
        <v>177438.487891667</v>
      </c>
      <c r="U173" s="509">
        <f t="shared" si="52"/>
        <v>177438.487891667</v>
      </c>
    </row>
    <row r="174" customHeight="1" spans="1:21">
      <c r="A174" s="4">
        <v>11</v>
      </c>
      <c r="B174" s="18" t="s">
        <v>296</v>
      </c>
      <c r="C174" s="12" t="s">
        <v>291</v>
      </c>
      <c r="D174" s="15" t="s">
        <v>105</v>
      </c>
      <c r="E174" s="85">
        <v>308920.666666667</v>
      </c>
      <c r="F174" s="85"/>
      <c r="G174" s="220"/>
      <c r="H174" s="220">
        <v>50000</v>
      </c>
      <c r="I174" s="85"/>
      <c r="J174" s="509">
        <f t="shared" si="51"/>
        <v>358920.666666667</v>
      </c>
      <c r="K174" s="85"/>
      <c r="L174" s="85">
        <f>10000+10000</f>
        <v>20000</v>
      </c>
      <c r="M174" s="85">
        <v>63888.89</v>
      </c>
      <c r="N174" s="1190"/>
      <c r="O174" s="912">
        <v>9191.88</v>
      </c>
      <c r="P174" s="912">
        <v>5013.73541666668</v>
      </c>
      <c r="Q174" s="85">
        <v>41754.790025</v>
      </c>
      <c r="R174" s="85">
        <v>24713.6533333334</v>
      </c>
      <c r="S174" s="510">
        <f t="shared" si="50"/>
        <v>164562.948775</v>
      </c>
      <c r="T174" s="85">
        <v>194357.717891667</v>
      </c>
      <c r="U174" s="509">
        <f t="shared" si="52"/>
        <v>194357.717891667</v>
      </c>
    </row>
    <row r="175" customHeight="1" spans="1:21">
      <c r="A175" s="4">
        <v>12</v>
      </c>
      <c r="B175" s="18" t="s">
        <v>297</v>
      </c>
      <c r="C175" s="12" t="s">
        <v>295</v>
      </c>
      <c r="D175" s="15" t="s">
        <v>108</v>
      </c>
      <c r="E175" s="939">
        <v>301910.75</v>
      </c>
      <c r="F175" s="85"/>
      <c r="G175" s="220"/>
      <c r="H175" s="220">
        <v>50000</v>
      </c>
      <c r="I175" s="85"/>
      <c r="J175" s="509">
        <f t="shared" si="51"/>
        <v>351910.75</v>
      </c>
      <c r="K175" s="85"/>
      <c r="L175" s="683">
        <f>20000</f>
        <v>20000</v>
      </c>
      <c r="M175" s="683">
        <v>80000</v>
      </c>
      <c r="N175" s="1191"/>
      <c r="O175" s="912">
        <v>11550</v>
      </c>
      <c r="P175" s="912">
        <v>4909.11041666668</v>
      </c>
      <c r="Q175" s="683">
        <v>40612.780325</v>
      </c>
      <c r="R175" s="684">
        <v>24152.86</v>
      </c>
      <c r="S175" s="510">
        <f t="shared" si="50"/>
        <v>181224.750741667</v>
      </c>
      <c r="T175" s="85">
        <v>170685.999258333</v>
      </c>
      <c r="U175" s="509">
        <f t="shared" si="52"/>
        <v>170685.999258333</v>
      </c>
    </row>
    <row r="176" ht="28.5" customHeight="1" spans="1:21">
      <c r="A176" s="4"/>
      <c r="B176" s="20" t="s">
        <v>120</v>
      </c>
      <c r="C176" s="26" t="s">
        <v>298</v>
      </c>
      <c r="D176" s="15"/>
      <c r="E176" s="221">
        <f>SUM(E164:E175)</f>
        <v>7775206.49999999</v>
      </c>
      <c r="F176" s="221">
        <f t="shared" ref="F176:T176" si="54">SUM(F164:F175)</f>
        <v>0</v>
      </c>
      <c r="G176" s="221">
        <f t="shared" si="54"/>
        <v>0</v>
      </c>
      <c r="H176" s="221">
        <f t="shared" si="54"/>
        <v>850000</v>
      </c>
      <c r="I176" s="221">
        <f t="shared" si="54"/>
        <v>330000</v>
      </c>
      <c r="J176" s="221">
        <f t="shared" si="54"/>
        <v>8955206.49999999</v>
      </c>
      <c r="K176" s="221">
        <f t="shared" si="54"/>
        <v>0</v>
      </c>
      <c r="L176" s="221">
        <f t="shared" si="54"/>
        <v>840000</v>
      </c>
      <c r="M176" s="221">
        <f t="shared" si="54"/>
        <v>1472361.11</v>
      </c>
      <c r="N176" s="221">
        <f t="shared" si="54"/>
        <v>180000</v>
      </c>
      <c r="O176" s="221">
        <f t="shared" si="54"/>
        <v>153265.3</v>
      </c>
      <c r="P176" s="221">
        <f t="shared" si="54"/>
        <v>87926.5875</v>
      </c>
      <c r="Q176" s="221">
        <f t="shared" si="54"/>
        <v>1292722.9291125</v>
      </c>
      <c r="R176" s="221">
        <f t="shared" si="54"/>
        <v>622016.52</v>
      </c>
      <c r="S176" s="221">
        <f t="shared" si="54"/>
        <v>4648292.4466125</v>
      </c>
      <c r="T176" s="221">
        <v>4319454.9733875</v>
      </c>
      <c r="U176" s="221">
        <f>SUM(U164:U175)</f>
        <v>4306914.0533875</v>
      </c>
    </row>
    <row r="177" customHeight="1" spans="1:21">
      <c r="A177" s="4"/>
      <c r="B177" s="22"/>
      <c r="C177" s="26"/>
      <c r="D177" s="15"/>
      <c r="E177" s="156"/>
      <c r="F177" s="156"/>
      <c r="G177" s="220"/>
      <c r="H177" s="220"/>
      <c r="I177" s="156"/>
      <c r="J177" s="516"/>
      <c r="K177" s="156"/>
      <c r="L177" s="156"/>
      <c r="M177" s="156"/>
      <c r="N177" s="156"/>
      <c r="O177" s="156"/>
      <c r="P177" s="156"/>
      <c r="Q177" s="156"/>
      <c r="R177" s="156"/>
      <c r="S177" s="517"/>
      <c r="T177" s="156"/>
      <c r="U177" s="516"/>
    </row>
    <row r="178" customHeight="1" spans="1:21">
      <c r="A178" s="4"/>
      <c r="B178" s="20" t="s">
        <v>299</v>
      </c>
      <c r="C178" s="12"/>
      <c r="D178" s="15"/>
      <c r="E178" s="85"/>
      <c r="F178" s="85"/>
      <c r="G178" s="220"/>
      <c r="H178" s="220"/>
      <c r="I178" s="85"/>
      <c r="J178" s="509"/>
      <c r="K178" s="85"/>
      <c r="L178" s="85"/>
      <c r="M178" s="85"/>
      <c r="N178" s="85"/>
      <c r="O178" s="85"/>
      <c r="P178" s="85"/>
      <c r="Q178" s="85"/>
      <c r="R178" s="85"/>
      <c r="S178" s="510"/>
      <c r="T178" s="85"/>
      <c r="U178" s="509"/>
    </row>
    <row r="179" customHeight="1" spans="1:21">
      <c r="A179" s="27">
        <v>1</v>
      </c>
      <c r="B179" s="14" t="s">
        <v>300</v>
      </c>
      <c r="C179" s="4" t="s">
        <v>301</v>
      </c>
      <c r="D179" s="10" t="s">
        <v>140</v>
      </c>
      <c r="E179" s="85">
        <v>1697359.33333333</v>
      </c>
      <c r="F179" s="85"/>
      <c r="G179" s="220"/>
      <c r="H179" s="220">
        <v>100000</v>
      </c>
      <c r="I179" s="85"/>
      <c r="J179" s="509">
        <f>E179+F179+G179+H179+I179</f>
        <v>1797359.33333333</v>
      </c>
      <c r="K179" s="85"/>
      <c r="L179" s="85">
        <f>20000+60000</f>
        <v>80000</v>
      </c>
      <c r="M179" s="85">
        <v>446457.79</v>
      </c>
      <c r="N179" s="85">
        <v>40000</v>
      </c>
      <c r="O179" s="85">
        <v>55907.5</v>
      </c>
      <c r="P179" s="85">
        <v>26406.8208333333</v>
      </c>
      <c r="Q179" s="85">
        <v>295884.390824999</v>
      </c>
      <c r="R179" s="85">
        <v>135788.746666666</v>
      </c>
      <c r="S179" s="510">
        <f t="shared" ref="S179:S242" si="55">SUM(K179:R179)</f>
        <v>1080445.248325</v>
      </c>
      <c r="T179" s="85">
        <v>716914.085008332</v>
      </c>
      <c r="U179" s="509">
        <f>J179-S179</f>
        <v>716914.085008332</v>
      </c>
    </row>
    <row r="180" customHeight="1" spans="1:21">
      <c r="A180" s="27">
        <v>2</v>
      </c>
      <c r="B180" s="14" t="s">
        <v>302</v>
      </c>
      <c r="C180" s="4" t="s">
        <v>303</v>
      </c>
      <c r="D180" s="16" t="s">
        <v>304</v>
      </c>
      <c r="E180" s="85">
        <f>'[21] FGN 2024 MGT Monthly'!$H$45+'[21]Peculiar Allowance'!$H$45</f>
        <v>1647612</v>
      </c>
      <c r="F180" s="85"/>
      <c r="G180" s="220"/>
      <c r="H180" s="220">
        <f>100000</f>
        <v>100000</v>
      </c>
      <c r="I180" s="85"/>
      <c r="J180" s="509">
        <f t="shared" ref="J180:J220" si="56">E180+F180+G180+H180+I180</f>
        <v>1747612</v>
      </c>
      <c r="K180" s="85"/>
      <c r="L180" s="85">
        <f>37500</f>
        <v>37500</v>
      </c>
      <c r="M180" s="85">
        <v>319444.44</v>
      </c>
      <c r="N180" s="85">
        <v>20000</v>
      </c>
      <c r="O180" s="85">
        <v>27716.43</v>
      </c>
      <c r="P180" s="85">
        <v>25644</v>
      </c>
      <c r="Q180" s="85">
        <v>285597.5732</v>
      </c>
      <c r="R180" s="85">
        <f>0.08*E180</f>
        <v>131808.96</v>
      </c>
      <c r="S180" s="510">
        <f t="shared" si="55"/>
        <v>847711.4032</v>
      </c>
      <c r="T180" s="85">
        <v>397231.81745</v>
      </c>
      <c r="U180" s="509">
        <f t="shared" ref="U180:U211" si="57">J180-S180</f>
        <v>899900.5968</v>
      </c>
    </row>
    <row r="181" customHeight="1" spans="1:21">
      <c r="A181" s="27">
        <v>3</v>
      </c>
      <c r="B181" s="11" t="s">
        <v>305</v>
      </c>
      <c r="C181" s="12" t="s">
        <v>306</v>
      </c>
      <c r="D181" s="15" t="s">
        <v>50</v>
      </c>
      <c r="E181" s="85">
        <v>722595.5</v>
      </c>
      <c r="F181" s="85"/>
      <c r="G181" s="220"/>
      <c r="H181" s="220">
        <v>80000</v>
      </c>
      <c r="I181" s="85"/>
      <c r="J181" s="509">
        <f t="shared" si="56"/>
        <v>802595.5</v>
      </c>
      <c r="K181" s="85"/>
      <c r="L181" s="85">
        <f>100000</f>
        <v>100000</v>
      </c>
      <c r="M181" s="85">
        <f>191666.67</f>
        <v>191666.67</v>
      </c>
      <c r="N181" s="85">
        <v>20000</v>
      </c>
      <c r="O181" s="85"/>
      <c r="P181" s="85">
        <v>11149.8958333333</v>
      </c>
      <c r="Q181" s="85">
        <v>114554.83355</v>
      </c>
      <c r="R181" s="85">
        <v>57807.64</v>
      </c>
      <c r="S181" s="510">
        <f t="shared" si="55"/>
        <v>495179.039383333</v>
      </c>
      <c r="T181" s="85">
        <v>307416.460616667</v>
      </c>
      <c r="U181" s="509">
        <f t="shared" si="57"/>
        <v>307416.460616667</v>
      </c>
    </row>
    <row r="182" customHeight="1" spans="1:21">
      <c r="A182" s="27">
        <v>4</v>
      </c>
      <c r="B182" s="11" t="s">
        <v>307</v>
      </c>
      <c r="C182" s="4" t="s">
        <v>308</v>
      </c>
      <c r="D182" s="15" t="s">
        <v>50</v>
      </c>
      <c r="E182" s="85">
        <v>722595.5</v>
      </c>
      <c r="F182" s="85"/>
      <c r="G182" s="220"/>
      <c r="H182" s="220">
        <v>80000</v>
      </c>
      <c r="I182" s="85">
        <v>0</v>
      </c>
      <c r="J182" s="509">
        <f t="shared" si="56"/>
        <v>802595.5</v>
      </c>
      <c r="K182" s="85"/>
      <c r="L182" s="85">
        <v>20000</v>
      </c>
      <c r="M182" s="85">
        <v>28750</v>
      </c>
      <c r="N182" s="85">
        <v>10000</v>
      </c>
      <c r="O182" s="85">
        <v>52976</v>
      </c>
      <c r="P182" s="85">
        <v>11149.8958333333</v>
      </c>
      <c r="Q182" s="85">
        <v>114554.83355</v>
      </c>
      <c r="R182" s="85">
        <v>57807.64</v>
      </c>
      <c r="S182" s="510">
        <f t="shared" si="55"/>
        <v>295238.369383333</v>
      </c>
      <c r="T182" s="85">
        <v>507357.130616667</v>
      </c>
      <c r="U182" s="509">
        <f t="shared" si="57"/>
        <v>507357.130616667</v>
      </c>
    </row>
    <row r="183" customHeight="1" spans="1:21">
      <c r="A183" s="27">
        <v>5</v>
      </c>
      <c r="B183" s="11" t="s">
        <v>309</v>
      </c>
      <c r="C183" s="4" t="s">
        <v>308</v>
      </c>
      <c r="D183" s="15" t="s">
        <v>50</v>
      </c>
      <c r="E183" s="85">
        <v>722595.5</v>
      </c>
      <c r="F183" s="85"/>
      <c r="G183" s="220"/>
      <c r="H183" s="220">
        <v>80000</v>
      </c>
      <c r="I183" s="85">
        <v>0</v>
      </c>
      <c r="J183" s="509">
        <f t="shared" si="56"/>
        <v>802595.5</v>
      </c>
      <c r="K183" s="85"/>
      <c r="L183" s="85">
        <v>20000</v>
      </c>
      <c r="M183" s="85">
        <v>100000</v>
      </c>
      <c r="N183" s="85">
        <v>15000</v>
      </c>
      <c r="O183" s="85">
        <v>55427.45</v>
      </c>
      <c r="P183" s="85">
        <v>11149.8958333333</v>
      </c>
      <c r="Q183" s="85">
        <v>114554.83355</v>
      </c>
      <c r="R183" s="85">
        <v>57807.64</v>
      </c>
      <c r="S183" s="510">
        <f t="shared" si="55"/>
        <v>373939.819383333</v>
      </c>
      <c r="T183" s="85">
        <v>548655.680616667</v>
      </c>
      <c r="U183" s="509">
        <f t="shared" si="57"/>
        <v>428655.680616667</v>
      </c>
    </row>
    <row r="184" customHeight="1" spans="1:21">
      <c r="A184" s="27">
        <v>6</v>
      </c>
      <c r="B184" s="11" t="s">
        <v>310</v>
      </c>
      <c r="C184" s="4" t="s">
        <v>311</v>
      </c>
      <c r="D184" s="10" t="s">
        <v>53</v>
      </c>
      <c r="E184" s="85">
        <v>542419.5</v>
      </c>
      <c r="F184" s="85"/>
      <c r="G184" s="220"/>
      <c r="H184" s="220">
        <v>70000</v>
      </c>
      <c r="I184" s="85"/>
      <c r="J184" s="509">
        <f t="shared" si="56"/>
        <v>612419.5</v>
      </c>
      <c r="K184" s="85"/>
      <c r="L184" s="85"/>
      <c r="M184" s="85"/>
      <c r="N184" s="85">
        <v>25000</v>
      </c>
      <c r="O184" s="85"/>
      <c r="P184" s="85"/>
      <c r="Q184" s="85">
        <v>84924.6692</v>
      </c>
      <c r="R184" s="85">
        <v>43393.56</v>
      </c>
      <c r="S184" s="510">
        <f t="shared" si="55"/>
        <v>153318.2292</v>
      </c>
      <c r="T184" s="85">
        <v>459101.2708</v>
      </c>
      <c r="U184" s="509">
        <f t="shared" si="57"/>
        <v>459101.2708</v>
      </c>
    </row>
    <row r="185" customHeight="1" spans="1:21">
      <c r="A185" s="27">
        <v>7</v>
      </c>
      <c r="B185" s="11" t="s">
        <v>312</v>
      </c>
      <c r="C185" s="12" t="s">
        <v>232</v>
      </c>
      <c r="D185" s="15" t="s">
        <v>64</v>
      </c>
      <c r="E185" s="85">
        <v>497472.75</v>
      </c>
      <c r="F185" s="85"/>
      <c r="G185" s="220"/>
      <c r="H185" s="220">
        <f>70000</f>
        <v>70000</v>
      </c>
      <c r="I185" s="85">
        <v>0</v>
      </c>
      <c r="J185" s="509">
        <f t="shared" si="56"/>
        <v>567472.75</v>
      </c>
      <c r="K185" s="85"/>
      <c r="L185" s="85"/>
      <c r="M185" s="85">
        <f>100000</f>
        <v>100000</v>
      </c>
      <c r="N185" s="85"/>
      <c r="O185" s="85"/>
      <c r="P185" s="85"/>
      <c r="Q185" s="85">
        <v>77481.4874</v>
      </c>
      <c r="R185" s="85">
        <v>39797.82</v>
      </c>
      <c r="S185" s="510">
        <f t="shared" si="55"/>
        <v>217279.3074</v>
      </c>
      <c r="T185" s="85">
        <v>350193.4426</v>
      </c>
      <c r="U185" s="509">
        <f t="shared" si="57"/>
        <v>350193.4426</v>
      </c>
    </row>
    <row r="186" customHeight="1" spans="1:21">
      <c r="A186" s="27">
        <v>8</v>
      </c>
      <c r="B186" s="11" t="s">
        <v>313</v>
      </c>
      <c r="C186" s="4" t="s">
        <v>314</v>
      </c>
      <c r="D186" s="15" t="s">
        <v>64</v>
      </c>
      <c r="E186" s="85">
        <v>497472.75</v>
      </c>
      <c r="F186" s="85"/>
      <c r="G186" s="220"/>
      <c r="H186" s="220">
        <f>120000</f>
        <v>120000</v>
      </c>
      <c r="I186" s="85"/>
      <c r="J186" s="509">
        <f t="shared" si="56"/>
        <v>617472.75</v>
      </c>
      <c r="K186" s="85"/>
      <c r="L186" s="85">
        <v>20000</v>
      </c>
      <c r="M186" s="85">
        <v>96206.93</v>
      </c>
      <c r="N186" s="85"/>
      <c r="O186" s="85"/>
      <c r="P186" s="85"/>
      <c r="Q186" s="85">
        <v>86481.4874</v>
      </c>
      <c r="R186" s="85">
        <v>39797.82</v>
      </c>
      <c r="S186" s="510">
        <f t="shared" si="55"/>
        <v>242486.2374</v>
      </c>
      <c r="T186" s="85">
        <v>374986.5126</v>
      </c>
      <c r="U186" s="509">
        <f t="shared" si="57"/>
        <v>374986.5126</v>
      </c>
    </row>
    <row r="187" customHeight="1" spans="1:21">
      <c r="A187" s="27">
        <v>9</v>
      </c>
      <c r="B187" s="11" t="s">
        <v>315</v>
      </c>
      <c r="C187" s="12" t="s">
        <v>316</v>
      </c>
      <c r="D187" s="15" t="s">
        <v>67</v>
      </c>
      <c r="E187" s="85">
        <v>482846.583333334</v>
      </c>
      <c r="F187" s="85"/>
      <c r="G187" s="220"/>
      <c r="H187" s="220">
        <f>70000</f>
        <v>70000</v>
      </c>
      <c r="I187" s="85"/>
      <c r="J187" s="509">
        <f t="shared" si="56"/>
        <v>552846.583333334</v>
      </c>
      <c r="K187" s="85"/>
      <c r="L187" s="85">
        <v>50000</v>
      </c>
      <c r="M187" s="85">
        <v>200000</v>
      </c>
      <c r="N187" s="85"/>
      <c r="O187" s="85"/>
      <c r="P187" s="85"/>
      <c r="Q187" s="85">
        <v>75059.3942000001</v>
      </c>
      <c r="R187" s="85">
        <v>38627.7266666667</v>
      </c>
      <c r="S187" s="510">
        <f t="shared" si="55"/>
        <v>363687.120866667</v>
      </c>
      <c r="T187" s="85">
        <v>189159.462466667</v>
      </c>
      <c r="U187" s="509">
        <f t="shared" si="57"/>
        <v>189159.462466667</v>
      </c>
    </row>
    <row r="188" customHeight="1" spans="1:21">
      <c r="A188" s="27">
        <v>10</v>
      </c>
      <c r="B188" s="11" t="s">
        <v>317</v>
      </c>
      <c r="C188" s="12" t="s">
        <v>318</v>
      </c>
      <c r="D188" s="15" t="s">
        <v>173</v>
      </c>
      <c r="E188" s="85">
        <v>482662.666666667</v>
      </c>
      <c r="F188" s="85"/>
      <c r="G188" s="220"/>
      <c r="H188" s="220">
        <f t="shared" ref="H187:H196" si="58">60000</f>
        <v>60000</v>
      </c>
      <c r="I188" s="85"/>
      <c r="J188" s="509">
        <f t="shared" si="56"/>
        <v>542662.666666667</v>
      </c>
      <c r="K188" s="85"/>
      <c r="L188" s="85">
        <f t="shared" ref="L188:L192" si="59">10000</f>
        <v>10000</v>
      </c>
      <c r="M188" s="85">
        <v>100000</v>
      </c>
      <c r="N188" s="85"/>
      <c r="O188" s="85"/>
      <c r="P188" s="85">
        <v>7571.96666666667</v>
      </c>
      <c r="Q188" s="85">
        <v>71865.9836000001</v>
      </c>
      <c r="R188" s="85">
        <v>38613.0133333334</v>
      </c>
      <c r="S188" s="510">
        <f t="shared" si="55"/>
        <v>228050.9636</v>
      </c>
      <c r="T188" s="85">
        <v>314611.703066667</v>
      </c>
      <c r="U188" s="509">
        <f t="shared" si="57"/>
        <v>314611.703066667</v>
      </c>
    </row>
    <row r="189" customHeight="1" spans="1:21">
      <c r="A189" s="27">
        <v>11</v>
      </c>
      <c r="B189" s="18" t="s">
        <v>319</v>
      </c>
      <c r="C189" s="4" t="s">
        <v>320</v>
      </c>
      <c r="D189" s="15" t="s">
        <v>70</v>
      </c>
      <c r="E189" s="220">
        <v>468828.166666667</v>
      </c>
      <c r="F189" s="85"/>
      <c r="G189" s="220"/>
      <c r="H189" s="220">
        <v>60000</v>
      </c>
      <c r="I189" s="85"/>
      <c r="J189" s="509">
        <f t="shared" si="56"/>
        <v>528828.166666667</v>
      </c>
      <c r="K189" s="85"/>
      <c r="L189" s="85">
        <v>50000</v>
      </c>
      <c r="M189" s="85"/>
      <c r="N189" s="85"/>
      <c r="O189" s="85"/>
      <c r="P189" s="85">
        <v>7366.57291666668</v>
      </c>
      <c r="Q189" s="85">
        <v>69611.9612750001</v>
      </c>
      <c r="R189" s="85">
        <v>37506.2533333334</v>
      </c>
      <c r="S189" s="510">
        <f t="shared" si="55"/>
        <v>164484.787525</v>
      </c>
      <c r="T189" s="85">
        <v>364343.379141667</v>
      </c>
      <c r="U189" s="509">
        <f t="shared" si="57"/>
        <v>364343.379141667</v>
      </c>
    </row>
    <row r="190" customHeight="1" spans="1:21">
      <c r="A190" s="27">
        <v>12</v>
      </c>
      <c r="B190" s="11" t="s">
        <v>321</v>
      </c>
      <c r="C190" s="4" t="s">
        <v>320</v>
      </c>
      <c r="D190" s="15" t="s">
        <v>131</v>
      </c>
      <c r="E190" s="220">
        <v>454993.583333333</v>
      </c>
      <c r="F190" s="85"/>
      <c r="G190" s="220"/>
      <c r="H190" s="220">
        <f t="shared" si="58"/>
        <v>60000</v>
      </c>
      <c r="I190" s="85"/>
      <c r="J190" s="509">
        <f t="shared" si="56"/>
        <v>514993.583333333</v>
      </c>
      <c r="K190" s="85"/>
      <c r="L190" s="85">
        <f t="shared" si="59"/>
        <v>10000</v>
      </c>
      <c r="M190" s="85">
        <f>100000</f>
        <v>100000</v>
      </c>
      <c r="N190" s="85"/>
      <c r="O190" s="85"/>
      <c r="P190" s="85"/>
      <c r="Q190" s="85">
        <v>68646.9374</v>
      </c>
      <c r="R190" s="85">
        <v>36399.4866666666</v>
      </c>
      <c r="S190" s="510">
        <f t="shared" si="55"/>
        <v>215046.424066667</v>
      </c>
      <c r="T190" s="85">
        <v>299947.159266666</v>
      </c>
      <c r="U190" s="509">
        <f t="shared" si="57"/>
        <v>299947.159266666</v>
      </c>
    </row>
    <row r="191" customHeight="1" spans="1:21">
      <c r="A191" s="27">
        <v>13</v>
      </c>
      <c r="B191" s="11" t="s">
        <v>322</v>
      </c>
      <c r="C191" s="4" t="s">
        <v>320</v>
      </c>
      <c r="D191" s="15" t="s">
        <v>131</v>
      </c>
      <c r="E191" s="220">
        <v>454993.583333333</v>
      </c>
      <c r="F191" s="85"/>
      <c r="G191" s="220"/>
      <c r="H191" s="220">
        <f t="shared" si="58"/>
        <v>60000</v>
      </c>
      <c r="I191" s="85"/>
      <c r="J191" s="509">
        <f t="shared" si="56"/>
        <v>514993.583333333</v>
      </c>
      <c r="K191" s="85"/>
      <c r="L191" s="85">
        <f t="shared" si="59"/>
        <v>10000</v>
      </c>
      <c r="M191" s="85">
        <v>87500</v>
      </c>
      <c r="N191" s="85"/>
      <c r="O191" s="85"/>
      <c r="P191" s="85">
        <v>7161.17708333333</v>
      </c>
      <c r="Q191" s="85">
        <v>67357.925525</v>
      </c>
      <c r="R191" s="85">
        <v>36399.4866666666</v>
      </c>
      <c r="S191" s="510">
        <f t="shared" si="55"/>
        <v>208418.589275</v>
      </c>
      <c r="T191" s="85">
        <v>306574.994058333</v>
      </c>
      <c r="U191" s="509">
        <f t="shared" si="57"/>
        <v>306574.994058333</v>
      </c>
    </row>
    <row r="192" customHeight="1" spans="1:21">
      <c r="A192" s="27">
        <v>14</v>
      </c>
      <c r="B192" s="11" t="s">
        <v>323</v>
      </c>
      <c r="C192" s="4" t="s">
        <v>320</v>
      </c>
      <c r="D192" s="15" t="s">
        <v>131</v>
      </c>
      <c r="E192" s="220">
        <v>454993.583333333</v>
      </c>
      <c r="F192" s="85"/>
      <c r="G192" s="220"/>
      <c r="H192" s="220">
        <f t="shared" si="58"/>
        <v>60000</v>
      </c>
      <c r="I192" s="85"/>
      <c r="J192" s="509">
        <f t="shared" si="56"/>
        <v>514993.583333333</v>
      </c>
      <c r="K192" s="85"/>
      <c r="L192" s="85"/>
      <c r="M192" s="85"/>
      <c r="N192" s="85">
        <v>40000</v>
      </c>
      <c r="O192" s="85">
        <v>30250</v>
      </c>
      <c r="P192" s="85">
        <v>7161.17708333333</v>
      </c>
      <c r="Q192" s="85">
        <v>67357.925525</v>
      </c>
      <c r="R192" s="85">
        <v>36399.4866666666</v>
      </c>
      <c r="S192" s="510">
        <f t="shared" si="55"/>
        <v>181168.589275</v>
      </c>
      <c r="T192" s="85">
        <v>333824.994058333</v>
      </c>
      <c r="U192" s="509">
        <f t="shared" si="57"/>
        <v>333824.994058333</v>
      </c>
    </row>
    <row r="193" customHeight="1" spans="1:21">
      <c r="A193" s="27">
        <v>15</v>
      </c>
      <c r="B193" s="11" t="s">
        <v>324</v>
      </c>
      <c r="C193" s="4" t="s">
        <v>320</v>
      </c>
      <c r="D193" s="15" t="s">
        <v>70</v>
      </c>
      <c r="E193" s="220">
        <v>468828.166666667</v>
      </c>
      <c r="F193" s="85"/>
      <c r="G193" s="220"/>
      <c r="H193" s="220">
        <f t="shared" si="58"/>
        <v>60000</v>
      </c>
      <c r="I193" s="85"/>
      <c r="J193" s="509">
        <f t="shared" si="56"/>
        <v>528828.166666667</v>
      </c>
      <c r="K193" s="85"/>
      <c r="L193" s="85">
        <f>10000</f>
        <v>10000</v>
      </c>
      <c r="M193" s="85"/>
      <c r="N193" s="85">
        <v>40000</v>
      </c>
      <c r="O193" s="85">
        <v>25599.23</v>
      </c>
      <c r="P193" s="85"/>
      <c r="Q193" s="85">
        <v>70937.9444000001</v>
      </c>
      <c r="R193" s="85">
        <v>37506.2533333334</v>
      </c>
      <c r="S193" s="510">
        <f t="shared" si="55"/>
        <v>184043.427733333</v>
      </c>
      <c r="T193" s="85">
        <v>344784.738933333</v>
      </c>
      <c r="U193" s="509">
        <f t="shared" si="57"/>
        <v>344784.738933333</v>
      </c>
    </row>
    <row r="194" customHeight="1" spans="1:21">
      <c r="A194" s="27">
        <v>16</v>
      </c>
      <c r="B194" s="11" t="s">
        <v>325</v>
      </c>
      <c r="C194" s="12" t="s">
        <v>326</v>
      </c>
      <c r="D194" s="15" t="s">
        <v>153</v>
      </c>
      <c r="E194" s="220">
        <v>399131.166666667</v>
      </c>
      <c r="F194" s="85"/>
      <c r="G194" s="220"/>
      <c r="H194" s="220">
        <f t="shared" si="58"/>
        <v>60000</v>
      </c>
      <c r="I194" s="85"/>
      <c r="J194" s="509">
        <f t="shared" si="56"/>
        <v>459131.166666667</v>
      </c>
      <c r="K194" s="85"/>
      <c r="L194" s="85">
        <f>30000</f>
        <v>30000</v>
      </c>
      <c r="M194" s="85"/>
      <c r="N194" s="85"/>
      <c r="O194" s="85"/>
      <c r="P194" s="85">
        <v>6286.69791666668</v>
      </c>
      <c r="Q194" s="85">
        <v>58264.5155750001</v>
      </c>
      <c r="R194" s="85">
        <v>31930.4933333334</v>
      </c>
      <c r="S194" s="510">
        <f t="shared" si="55"/>
        <v>126481.706825</v>
      </c>
      <c r="T194" s="85">
        <v>332649.459841667</v>
      </c>
      <c r="U194" s="509">
        <f t="shared" si="57"/>
        <v>332649.459841667</v>
      </c>
    </row>
    <row r="195" customHeight="1" spans="1:21">
      <c r="A195" s="27">
        <v>17</v>
      </c>
      <c r="B195" s="11" t="s">
        <v>327</v>
      </c>
      <c r="C195" s="12" t="s">
        <v>328</v>
      </c>
      <c r="D195" s="10" t="s">
        <v>81</v>
      </c>
      <c r="E195" s="85">
        <v>372145.333333333</v>
      </c>
      <c r="F195" s="85"/>
      <c r="G195" s="220"/>
      <c r="H195" s="220">
        <f t="shared" si="58"/>
        <v>60000</v>
      </c>
      <c r="I195" s="85"/>
      <c r="J195" s="509">
        <f t="shared" si="56"/>
        <v>432145.333333333</v>
      </c>
      <c r="K195" s="85"/>
      <c r="L195" s="85">
        <f>30000</f>
        <v>30000</v>
      </c>
      <c r="M195" s="85"/>
      <c r="N195" s="85"/>
      <c r="O195" s="85"/>
      <c r="P195" s="85">
        <v>5889.44583333333</v>
      </c>
      <c r="Q195" s="85">
        <v>53867.16695</v>
      </c>
      <c r="R195" s="85">
        <v>29771.6266666666</v>
      </c>
      <c r="S195" s="510">
        <f t="shared" si="55"/>
        <v>119528.23945</v>
      </c>
      <c r="T195" s="85">
        <v>312617.093883333</v>
      </c>
      <c r="U195" s="509">
        <f t="shared" si="57"/>
        <v>312617.093883333</v>
      </c>
    </row>
    <row r="196" customHeight="1" spans="1:21">
      <c r="A196" s="27">
        <v>18</v>
      </c>
      <c r="B196" s="11" t="s">
        <v>329</v>
      </c>
      <c r="C196" s="4" t="s">
        <v>330</v>
      </c>
      <c r="D196" s="15" t="s">
        <v>131</v>
      </c>
      <c r="E196" s="220">
        <v>454993.583333333</v>
      </c>
      <c r="F196" s="85"/>
      <c r="G196" s="220"/>
      <c r="H196" s="220">
        <f t="shared" si="58"/>
        <v>60000</v>
      </c>
      <c r="I196" s="85"/>
      <c r="J196" s="509">
        <f t="shared" si="56"/>
        <v>514993.583333333</v>
      </c>
      <c r="K196" s="85"/>
      <c r="L196" s="85">
        <v>10000</v>
      </c>
      <c r="M196" s="85">
        <v>45833.33</v>
      </c>
      <c r="N196" s="85">
        <v>50000</v>
      </c>
      <c r="O196" s="85"/>
      <c r="P196" s="85"/>
      <c r="Q196" s="85">
        <v>68646.9374</v>
      </c>
      <c r="R196" s="85">
        <v>36399.4866666666</v>
      </c>
      <c r="S196" s="510">
        <f t="shared" si="55"/>
        <v>210879.754066667</v>
      </c>
      <c r="T196" s="85">
        <v>304113.829266666</v>
      </c>
      <c r="U196" s="509">
        <f t="shared" si="57"/>
        <v>304113.829266666</v>
      </c>
    </row>
    <row r="197" customHeight="1" spans="1:21">
      <c r="A197" s="27">
        <v>19</v>
      </c>
      <c r="B197" s="11" t="s">
        <v>331</v>
      </c>
      <c r="C197" s="4" t="s">
        <v>332</v>
      </c>
      <c r="D197" s="15" t="s">
        <v>75</v>
      </c>
      <c r="E197" s="85">
        <v>381140.666666666</v>
      </c>
      <c r="F197" s="85"/>
      <c r="G197" s="220"/>
      <c r="H197" s="220">
        <f>50000+10000</f>
        <v>60000</v>
      </c>
      <c r="I197" s="85"/>
      <c r="J197" s="509">
        <f t="shared" si="56"/>
        <v>441140.666666666</v>
      </c>
      <c r="K197" s="85"/>
      <c r="L197" s="85">
        <v>100000</v>
      </c>
      <c r="M197" s="85">
        <f>70000+30000</f>
        <v>100000</v>
      </c>
      <c r="N197" s="85">
        <v>60000</v>
      </c>
      <c r="O197" s="85"/>
      <c r="P197" s="85">
        <v>6021.86458333332</v>
      </c>
      <c r="Q197" s="85">
        <v>55332.9587749999</v>
      </c>
      <c r="R197" s="85">
        <v>30491.2533333333</v>
      </c>
      <c r="S197" s="510">
        <f t="shared" si="55"/>
        <v>351846.076691667</v>
      </c>
      <c r="T197" s="85">
        <v>89294.5899749995</v>
      </c>
      <c r="U197" s="509">
        <f t="shared" si="57"/>
        <v>89294.5899749995</v>
      </c>
    </row>
    <row r="198" customHeight="1" spans="1:21">
      <c r="A198" s="27">
        <v>20</v>
      </c>
      <c r="B198" s="11" t="s">
        <v>333</v>
      </c>
      <c r="C198" s="4" t="s">
        <v>330</v>
      </c>
      <c r="D198" s="15" t="s">
        <v>131</v>
      </c>
      <c r="E198" s="220">
        <v>454993.583333333</v>
      </c>
      <c r="F198" s="85"/>
      <c r="G198" s="220"/>
      <c r="H198" s="220">
        <f>110000</f>
        <v>110000</v>
      </c>
      <c r="I198" s="85"/>
      <c r="J198" s="509">
        <f t="shared" si="56"/>
        <v>564993.583333333</v>
      </c>
      <c r="K198" s="85"/>
      <c r="L198" s="85">
        <f>10000</f>
        <v>10000</v>
      </c>
      <c r="M198" s="85">
        <v>99734.99</v>
      </c>
      <c r="N198" s="85"/>
      <c r="O198" s="85"/>
      <c r="P198" s="85">
        <v>7161.17708333333</v>
      </c>
      <c r="Q198" s="85">
        <v>76357.9255249999</v>
      </c>
      <c r="R198" s="85">
        <v>36399.4866666666</v>
      </c>
      <c r="S198" s="510">
        <f t="shared" si="55"/>
        <v>229653.579275</v>
      </c>
      <c r="T198" s="85">
        <v>335340.004058333</v>
      </c>
      <c r="U198" s="509">
        <f t="shared" si="57"/>
        <v>335340.004058333</v>
      </c>
    </row>
    <row r="199" customHeight="1" spans="1:21">
      <c r="A199" s="27">
        <v>21</v>
      </c>
      <c r="B199" s="11" t="s">
        <v>334</v>
      </c>
      <c r="C199" s="4" t="s">
        <v>335</v>
      </c>
      <c r="D199" s="15" t="s">
        <v>81</v>
      </c>
      <c r="E199" s="85">
        <v>372145.333333333</v>
      </c>
      <c r="F199" s="85"/>
      <c r="G199" s="220"/>
      <c r="H199" s="220">
        <v>60000</v>
      </c>
      <c r="I199" s="85"/>
      <c r="J199" s="509">
        <f t="shared" si="56"/>
        <v>432145.333333333</v>
      </c>
      <c r="K199" s="85"/>
      <c r="L199" s="85"/>
      <c r="M199" s="85">
        <v>20000</v>
      </c>
      <c r="N199" s="85"/>
      <c r="O199" s="85"/>
      <c r="P199" s="85"/>
      <c r="Q199" s="85">
        <v>50427.2672</v>
      </c>
      <c r="R199" s="85">
        <v>29771.6266666666</v>
      </c>
      <c r="S199" s="510">
        <f t="shared" si="55"/>
        <v>100198.893866667</v>
      </c>
      <c r="T199" s="85">
        <v>340946.439466666</v>
      </c>
      <c r="U199" s="509">
        <f t="shared" si="57"/>
        <v>331946.439466666</v>
      </c>
    </row>
    <row r="200" customHeight="1" spans="1:21">
      <c r="A200" s="27">
        <v>22</v>
      </c>
      <c r="B200" s="18" t="s">
        <v>336</v>
      </c>
      <c r="C200" s="12" t="s">
        <v>337</v>
      </c>
      <c r="D200" s="15" t="s">
        <v>86</v>
      </c>
      <c r="E200" s="220">
        <v>338711.666666667</v>
      </c>
      <c r="F200" s="85"/>
      <c r="G200" s="220"/>
      <c r="H200" s="220">
        <f t="shared" ref="H200:H202" si="60">60000</f>
        <v>60000</v>
      </c>
      <c r="I200" s="4"/>
      <c r="J200" s="509">
        <f t="shared" si="56"/>
        <v>398711.666666667</v>
      </c>
      <c r="K200" s="85"/>
      <c r="L200" s="85">
        <v>30000</v>
      </c>
      <c r="M200" s="85">
        <f>80000</f>
        <v>80000</v>
      </c>
      <c r="N200" s="85">
        <v>20000</v>
      </c>
      <c r="O200" s="85"/>
      <c r="P200" s="85">
        <v>5566.86458333332</v>
      </c>
      <c r="Q200" s="85">
        <v>48388.616375</v>
      </c>
      <c r="R200" s="85">
        <v>27096.9333333334</v>
      </c>
      <c r="S200" s="510">
        <f t="shared" si="55"/>
        <v>211052.414291667</v>
      </c>
      <c r="T200" s="85">
        <v>187659.252375</v>
      </c>
      <c r="U200" s="509">
        <f t="shared" si="57"/>
        <v>187659.252375</v>
      </c>
    </row>
    <row r="201" customHeight="1" spans="1:21">
      <c r="A201" s="27">
        <v>23</v>
      </c>
      <c r="B201" s="18" t="s">
        <v>338</v>
      </c>
      <c r="C201" s="12" t="s">
        <v>337</v>
      </c>
      <c r="D201" s="15" t="s">
        <v>86</v>
      </c>
      <c r="E201" s="220">
        <v>347016.166666666</v>
      </c>
      <c r="F201" s="85"/>
      <c r="G201" s="220"/>
      <c r="H201" s="220">
        <f t="shared" si="60"/>
        <v>60000</v>
      </c>
      <c r="I201" s="4"/>
      <c r="J201" s="509">
        <f t="shared" si="56"/>
        <v>407016.166666666</v>
      </c>
      <c r="K201" s="85"/>
      <c r="L201" s="85">
        <v>10000</v>
      </c>
      <c r="M201" s="85">
        <v>86456</v>
      </c>
      <c r="N201" s="85">
        <v>20000</v>
      </c>
      <c r="O201" s="85"/>
      <c r="P201" s="85"/>
      <c r="Q201" s="85">
        <v>50765.8771999999</v>
      </c>
      <c r="R201" s="85">
        <v>27761.2933333333</v>
      </c>
      <c r="S201" s="510">
        <f t="shared" si="55"/>
        <v>194983.170533333</v>
      </c>
      <c r="T201" s="85">
        <v>212032.996133333</v>
      </c>
      <c r="U201" s="509">
        <f t="shared" si="57"/>
        <v>212032.996133333</v>
      </c>
    </row>
    <row r="202" s="1" customFormat="1" ht="18.75" customHeight="1" spans="1:21">
      <c r="A202" s="27">
        <v>24</v>
      </c>
      <c r="B202" s="18" t="s">
        <v>339</v>
      </c>
      <c r="C202" s="4" t="s">
        <v>340</v>
      </c>
      <c r="D202" s="10" t="s">
        <v>99</v>
      </c>
      <c r="E202" s="85">
        <v>338711.666666667</v>
      </c>
      <c r="F202" s="85"/>
      <c r="G202" s="220"/>
      <c r="H202" s="220">
        <f t="shared" si="60"/>
        <v>60000</v>
      </c>
      <c r="I202" s="85"/>
      <c r="J202" s="509">
        <f t="shared" si="56"/>
        <v>398711.666666667</v>
      </c>
      <c r="K202" s="85"/>
      <c r="L202" s="85"/>
      <c r="M202" s="85"/>
      <c r="N202" s="85">
        <v>100000</v>
      </c>
      <c r="O202" s="85"/>
      <c r="P202" s="85"/>
      <c r="Q202" s="85">
        <v>49390.6520000001</v>
      </c>
      <c r="R202" s="85">
        <v>27096.9333333334</v>
      </c>
      <c r="S202" s="510">
        <f t="shared" si="55"/>
        <v>176487.585333333</v>
      </c>
      <c r="T202" s="85">
        <v>222224.081333333</v>
      </c>
      <c r="U202" s="509">
        <f t="shared" si="57"/>
        <v>222224.081333333</v>
      </c>
    </row>
    <row r="203" s="1" customFormat="1" customHeight="1" spans="1:21">
      <c r="A203" s="27">
        <v>25</v>
      </c>
      <c r="B203" s="18" t="s">
        <v>341</v>
      </c>
      <c r="C203" s="12" t="s">
        <v>342</v>
      </c>
      <c r="D203" s="10" t="s">
        <v>225</v>
      </c>
      <c r="E203" s="85">
        <v>330408.083333333</v>
      </c>
      <c r="F203" s="85"/>
      <c r="G203" s="220"/>
      <c r="H203" s="220">
        <v>60000</v>
      </c>
      <c r="I203" s="85"/>
      <c r="J203" s="509">
        <f t="shared" si="56"/>
        <v>390408.083333333</v>
      </c>
      <c r="K203" s="85"/>
      <c r="L203" s="683"/>
      <c r="M203" s="683"/>
      <c r="N203" s="683">
        <v>50000</v>
      </c>
      <c r="O203" s="4"/>
      <c r="P203" s="4"/>
      <c r="Q203" s="683">
        <v>48015.5929999999</v>
      </c>
      <c r="R203" s="85">
        <v>26432.6466666666</v>
      </c>
      <c r="S203" s="510">
        <f t="shared" si="55"/>
        <v>124448.239666667</v>
      </c>
      <c r="T203" s="85">
        <v>265959.843666667</v>
      </c>
      <c r="U203" s="509">
        <f t="shared" si="57"/>
        <v>265959.843666667</v>
      </c>
    </row>
    <row r="204" customHeight="1" spans="1:21">
      <c r="A204" s="27">
        <v>26</v>
      </c>
      <c r="B204" s="18" t="s">
        <v>343</v>
      </c>
      <c r="C204" s="12" t="s">
        <v>344</v>
      </c>
      <c r="D204" s="15" t="s">
        <v>105</v>
      </c>
      <c r="E204" s="85">
        <v>308920.666666667</v>
      </c>
      <c r="F204" s="85"/>
      <c r="G204" s="220"/>
      <c r="H204" s="220">
        <f t="shared" ref="H204:H211" si="61">50000</f>
        <v>50000</v>
      </c>
      <c r="I204" s="85"/>
      <c r="J204" s="509">
        <f t="shared" si="56"/>
        <v>358920.666666667</v>
      </c>
      <c r="K204" s="85"/>
      <c r="L204" s="85">
        <f>20000</f>
        <v>20000</v>
      </c>
      <c r="M204" s="85">
        <v>100000</v>
      </c>
      <c r="N204" s="85"/>
      <c r="O204" s="912"/>
      <c r="P204" s="912">
        <v>5013.73541666668</v>
      </c>
      <c r="Q204" s="85">
        <v>41754.790025</v>
      </c>
      <c r="R204" s="85">
        <v>24713.6533333334</v>
      </c>
      <c r="S204" s="510">
        <f t="shared" si="55"/>
        <v>191482.178775</v>
      </c>
      <c r="T204" s="85">
        <v>167438.487891667</v>
      </c>
      <c r="U204" s="509">
        <f t="shared" si="57"/>
        <v>167438.487891667</v>
      </c>
    </row>
    <row r="205" customHeight="1" spans="1:21">
      <c r="A205" s="27">
        <v>27</v>
      </c>
      <c r="B205" s="18" t="s">
        <v>345</v>
      </c>
      <c r="C205" s="12" t="s">
        <v>346</v>
      </c>
      <c r="D205" s="15" t="s">
        <v>105</v>
      </c>
      <c r="E205" s="85">
        <v>308920.666666667</v>
      </c>
      <c r="F205" s="85"/>
      <c r="G205" s="220"/>
      <c r="H205" s="220">
        <f t="shared" si="61"/>
        <v>50000</v>
      </c>
      <c r="I205" s="85"/>
      <c r="J205" s="509">
        <f t="shared" si="56"/>
        <v>358920.666666667</v>
      </c>
      <c r="K205" s="85"/>
      <c r="L205" s="85">
        <f>12000-2000</f>
        <v>10000</v>
      </c>
      <c r="M205" s="85">
        <v>50000</v>
      </c>
      <c r="N205" s="85">
        <v>30000</v>
      </c>
      <c r="O205" s="85">
        <v>62466.25</v>
      </c>
      <c r="P205" s="85">
        <v>5013.73541666668</v>
      </c>
      <c r="Q205" s="85">
        <v>41754.790025</v>
      </c>
      <c r="R205" s="85">
        <v>24713.6533333334</v>
      </c>
      <c r="S205" s="510">
        <f t="shared" si="55"/>
        <v>223948.428775</v>
      </c>
      <c r="T205" s="85">
        <v>134972.237891667</v>
      </c>
      <c r="U205" s="509">
        <f t="shared" si="57"/>
        <v>134972.237891667</v>
      </c>
    </row>
    <row r="206" customHeight="1" spans="1:21">
      <c r="A206" s="27">
        <v>28</v>
      </c>
      <c r="B206" s="18" t="s">
        <v>347</v>
      </c>
      <c r="C206" s="12" t="s">
        <v>348</v>
      </c>
      <c r="D206" s="15" t="s">
        <v>105</v>
      </c>
      <c r="E206" s="85">
        <v>308920.666666667</v>
      </c>
      <c r="F206" s="85"/>
      <c r="G206" s="220"/>
      <c r="H206" s="220">
        <f t="shared" si="61"/>
        <v>50000</v>
      </c>
      <c r="I206" s="85"/>
      <c r="J206" s="509">
        <f t="shared" si="56"/>
        <v>358920.666666667</v>
      </c>
      <c r="K206" s="85"/>
      <c r="L206" s="85">
        <v>40000</v>
      </c>
      <c r="M206" s="85"/>
      <c r="N206" s="85">
        <v>25000</v>
      </c>
      <c r="O206" s="85">
        <v>5142.5</v>
      </c>
      <c r="P206" s="85">
        <v>5013.73541666668</v>
      </c>
      <c r="Q206" s="85">
        <v>41754.790025</v>
      </c>
      <c r="R206" s="85">
        <v>24713.6533333334</v>
      </c>
      <c r="S206" s="510">
        <f t="shared" si="55"/>
        <v>141624.678775</v>
      </c>
      <c r="T206" s="85">
        <v>217295.987891667</v>
      </c>
      <c r="U206" s="509">
        <f t="shared" si="57"/>
        <v>217295.987891667</v>
      </c>
    </row>
    <row r="207" customHeight="1" spans="1:21">
      <c r="A207" s="27">
        <v>29</v>
      </c>
      <c r="B207" s="18" t="s">
        <v>349</v>
      </c>
      <c r="C207" s="4" t="s">
        <v>88</v>
      </c>
      <c r="D207" s="10" t="s">
        <v>225</v>
      </c>
      <c r="E207" s="85">
        <v>330408.083333333</v>
      </c>
      <c r="F207" s="85"/>
      <c r="G207" s="220"/>
      <c r="H207" s="220">
        <f>60000</f>
        <v>60000</v>
      </c>
      <c r="I207" s="85"/>
      <c r="J207" s="509">
        <f t="shared" si="56"/>
        <v>390408.083333333</v>
      </c>
      <c r="K207" s="85"/>
      <c r="L207" s="85">
        <v>40000</v>
      </c>
      <c r="M207" s="85">
        <f>100000</f>
        <v>100000</v>
      </c>
      <c r="N207" s="85">
        <v>10000</v>
      </c>
      <c r="O207" s="85">
        <v>29156.88</v>
      </c>
      <c r="P207" s="85">
        <v>5319.80416666667</v>
      </c>
      <c r="Q207" s="85">
        <v>47058.0138499999</v>
      </c>
      <c r="R207" s="85">
        <v>26432.6466666666</v>
      </c>
      <c r="S207" s="510">
        <f t="shared" si="55"/>
        <v>257967.344683333</v>
      </c>
      <c r="T207" s="85">
        <v>200440.73865</v>
      </c>
      <c r="U207" s="509">
        <f t="shared" si="57"/>
        <v>132440.73865</v>
      </c>
    </row>
    <row r="208" customHeight="1" spans="1:21">
      <c r="A208" s="27">
        <v>30</v>
      </c>
      <c r="B208" s="18" t="s">
        <v>350</v>
      </c>
      <c r="C208" s="12" t="s">
        <v>346</v>
      </c>
      <c r="D208" s="15" t="s">
        <v>105</v>
      </c>
      <c r="E208" s="85">
        <v>308920.666666667</v>
      </c>
      <c r="F208" s="85"/>
      <c r="G208" s="220"/>
      <c r="H208" s="220">
        <f t="shared" si="61"/>
        <v>50000</v>
      </c>
      <c r="I208" s="85"/>
      <c r="J208" s="509">
        <f t="shared" si="56"/>
        <v>358920.666666667</v>
      </c>
      <c r="K208" s="85"/>
      <c r="L208" s="85">
        <v>30000</v>
      </c>
      <c r="M208" s="85">
        <v>0</v>
      </c>
      <c r="N208" s="85">
        <v>30000</v>
      </c>
      <c r="O208" s="85"/>
      <c r="P208" s="85">
        <v>5013.73541666668</v>
      </c>
      <c r="Q208" s="85">
        <v>41754.790025</v>
      </c>
      <c r="R208" s="85">
        <v>24713.6533333334</v>
      </c>
      <c r="S208" s="510">
        <f t="shared" si="55"/>
        <v>131482.178775</v>
      </c>
      <c r="T208" s="85">
        <v>227438.487891667</v>
      </c>
      <c r="U208" s="509">
        <f t="shared" si="57"/>
        <v>227438.487891667</v>
      </c>
    </row>
    <row r="209" customHeight="1" spans="1:22">
      <c r="A209" s="27">
        <v>31</v>
      </c>
      <c r="B209" s="18" t="s">
        <v>351</v>
      </c>
      <c r="C209" s="12" t="s">
        <v>352</v>
      </c>
      <c r="D209" s="15" t="s">
        <v>108</v>
      </c>
      <c r="E209" s="680">
        <v>301910.75</v>
      </c>
      <c r="F209" s="85"/>
      <c r="G209" s="220"/>
      <c r="H209" s="220">
        <f t="shared" si="61"/>
        <v>50000</v>
      </c>
      <c r="I209" s="85"/>
      <c r="J209" s="509">
        <f t="shared" si="56"/>
        <v>351910.75</v>
      </c>
      <c r="K209" s="85"/>
      <c r="L209" s="85">
        <v>15000</v>
      </c>
      <c r="M209" s="85"/>
      <c r="N209" s="85"/>
      <c r="O209" s="85"/>
      <c r="P209" s="85"/>
      <c r="Q209" s="683">
        <v>41496.4202</v>
      </c>
      <c r="R209" s="684">
        <v>24152.86</v>
      </c>
      <c r="S209" s="510">
        <f t="shared" si="55"/>
        <v>80649.2802</v>
      </c>
      <c r="T209" s="85">
        <v>271261.4698</v>
      </c>
      <c r="U209" s="509">
        <f t="shared" si="57"/>
        <v>271261.4698</v>
      </c>
    </row>
    <row r="210" customHeight="1" spans="1:22">
      <c r="A210" s="27">
        <v>32</v>
      </c>
      <c r="B210" s="18" t="s">
        <v>353</v>
      </c>
      <c r="C210" s="12" t="s">
        <v>352</v>
      </c>
      <c r="D210" s="15" t="s">
        <v>108</v>
      </c>
      <c r="E210" s="680">
        <v>301910.75</v>
      </c>
      <c r="F210" s="85"/>
      <c r="G210" s="220"/>
      <c r="H210" s="220">
        <f t="shared" si="61"/>
        <v>50000</v>
      </c>
      <c r="I210" s="85"/>
      <c r="J210" s="509">
        <f t="shared" si="56"/>
        <v>351910.75</v>
      </c>
      <c r="K210" s="85"/>
      <c r="L210" s="85">
        <v>20000</v>
      </c>
      <c r="M210" s="85">
        <v>40000</v>
      </c>
      <c r="N210" s="85"/>
      <c r="O210" s="85"/>
      <c r="P210" s="85"/>
      <c r="Q210" s="683">
        <v>41496.4202</v>
      </c>
      <c r="R210" s="684">
        <v>24152.86</v>
      </c>
      <c r="S210" s="510">
        <f t="shared" si="55"/>
        <v>125649.2802</v>
      </c>
      <c r="T210" s="85">
        <v>226261.4698</v>
      </c>
      <c r="U210" s="509">
        <f t="shared" si="57"/>
        <v>226261.4698</v>
      </c>
    </row>
    <row r="211" s="1" customFormat="1" customHeight="1" spans="1:22">
      <c r="A211" s="27">
        <v>33</v>
      </c>
      <c r="B211" s="18" t="s">
        <v>354</v>
      </c>
      <c r="C211" s="12" t="s">
        <v>342</v>
      </c>
      <c r="D211" s="15" t="s">
        <v>111</v>
      </c>
      <c r="E211" s="85">
        <v>294900.833333334</v>
      </c>
      <c r="F211" s="85"/>
      <c r="G211" s="220"/>
      <c r="H211" s="220">
        <v>50000</v>
      </c>
      <c r="I211" s="85"/>
      <c r="J211" s="509">
        <f t="shared" si="56"/>
        <v>344900.833333334</v>
      </c>
      <c r="K211" s="85"/>
      <c r="L211" s="683"/>
      <c r="M211" s="683"/>
      <c r="N211" s="683"/>
      <c r="O211" s="4"/>
      <c r="P211" s="4"/>
      <c r="Q211" s="683">
        <v>40335.5780000001</v>
      </c>
      <c r="R211" s="684">
        <v>23592.0666666667</v>
      </c>
      <c r="S211" s="510">
        <f t="shared" si="55"/>
        <v>63927.6446666668</v>
      </c>
      <c r="T211" s="85">
        <v>280973.188666667</v>
      </c>
      <c r="U211" s="509">
        <f t="shared" ref="U211:U244" si="62">J211-S211</f>
        <v>280973.188666667</v>
      </c>
    </row>
    <row r="212" s="1" customFormat="1" customHeight="1" spans="1:22">
      <c r="A212" s="27">
        <v>34</v>
      </c>
      <c r="B212" s="18" t="s">
        <v>355</v>
      </c>
      <c r="C212" s="12" t="s">
        <v>342</v>
      </c>
      <c r="D212" s="15" t="s">
        <v>111</v>
      </c>
      <c r="E212" s="85">
        <v>294900.833333334</v>
      </c>
      <c r="F212" s="85"/>
      <c r="G212" s="220"/>
      <c r="H212" s="220">
        <v>50000</v>
      </c>
      <c r="I212" s="85"/>
      <c r="J212" s="509">
        <f t="shared" si="56"/>
        <v>344900.833333334</v>
      </c>
      <c r="K212" s="85"/>
      <c r="L212" s="683"/>
      <c r="M212" s="683"/>
      <c r="N212" s="683">
        <v>35000</v>
      </c>
      <c r="O212" s="4"/>
      <c r="P212" s="4"/>
      <c r="Q212" s="683">
        <v>40335.5780000001</v>
      </c>
      <c r="R212" s="684">
        <v>23592.0666666667</v>
      </c>
      <c r="S212" s="510">
        <f t="shared" si="55"/>
        <v>98927.6446666668</v>
      </c>
      <c r="T212" s="85">
        <v>245973.188666667</v>
      </c>
      <c r="U212" s="509">
        <f t="shared" si="62"/>
        <v>245973.188666667</v>
      </c>
    </row>
    <row r="213" s="1" customFormat="1" customHeight="1" spans="1:22">
      <c r="A213" s="27">
        <v>35</v>
      </c>
      <c r="B213" s="18" t="s">
        <v>356</v>
      </c>
      <c r="C213" s="12" t="s">
        <v>342</v>
      </c>
      <c r="D213" s="15" t="s">
        <v>111</v>
      </c>
      <c r="E213" s="85">
        <v>294900.833333334</v>
      </c>
      <c r="F213" s="85"/>
      <c r="G213" s="220"/>
      <c r="H213" s="220">
        <v>50000</v>
      </c>
      <c r="I213" s="85"/>
      <c r="J213" s="509">
        <f t="shared" si="56"/>
        <v>344900.833333334</v>
      </c>
      <c r="K213" s="85"/>
      <c r="L213" s="683">
        <v>20000</v>
      </c>
      <c r="M213" s="683">
        <v>70000</v>
      </c>
      <c r="N213" s="683"/>
      <c r="O213" s="4"/>
      <c r="P213" s="4"/>
      <c r="Q213" s="683">
        <v>40335.5780000001</v>
      </c>
      <c r="R213" s="684">
        <v>23592.0666666667</v>
      </c>
      <c r="S213" s="510">
        <f t="shared" si="55"/>
        <v>153927.644666667</v>
      </c>
      <c r="T213" s="85">
        <v>190973.188666667</v>
      </c>
      <c r="U213" s="509">
        <f t="shared" si="62"/>
        <v>190973.188666667</v>
      </c>
    </row>
    <row r="214" s="1" customFormat="1" customHeight="1" spans="1:22">
      <c r="A214" s="27">
        <v>36</v>
      </c>
      <c r="B214" s="18" t="s">
        <v>357</v>
      </c>
      <c r="C214" s="12" t="s">
        <v>342</v>
      </c>
      <c r="D214" s="15" t="s">
        <v>275</v>
      </c>
      <c r="E214" s="85">
        <v>287890.916666667</v>
      </c>
      <c r="F214" s="85"/>
      <c r="G214" s="220"/>
      <c r="H214" s="220">
        <v>50000</v>
      </c>
      <c r="I214" s="85"/>
      <c r="J214" s="509">
        <f t="shared" si="56"/>
        <v>337890.916666667</v>
      </c>
      <c r="K214" s="85"/>
      <c r="L214" s="683">
        <v>40000</v>
      </c>
      <c r="M214" s="683">
        <v>22361.11</v>
      </c>
      <c r="N214" s="683">
        <v>10000</v>
      </c>
      <c r="O214" s="833">
        <v>23980</v>
      </c>
      <c r="P214" s="4"/>
      <c r="Q214" s="683">
        <v>39174.7358000001</v>
      </c>
      <c r="R214" s="684">
        <v>23031.2733333334</v>
      </c>
      <c r="S214" s="510">
        <f t="shared" si="55"/>
        <v>158547.119133334</v>
      </c>
      <c r="T214" s="85">
        <v>179253.797533333</v>
      </c>
      <c r="U214" s="509">
        <f t="shared" si="62"/>
        <v>179343.797533333</v>
      </c>
      <c r="V214" s="13"/>
    </row>
    <row r="215" s="1" customFormat="1" customHeight="1" spans="1:22">
      <c r="A215" s="27">
        <v>37</v>
      </c>
      <c r="B215" s="18" t="s">
        <v>358</v>
      </c>
      <c r="C215" s="12" t="s">
        <v>342</v>
      </c>
      <c r="D215" s="15" t="s">
        <v>275</v>
      </c>
      <c r="E215" s="85">
        <v>287890.916666667</v>
      </c>
      <c r="F215" s="85"/>
      <c r="G215" s="220"/>
      <c r="H215" s="220">
        <v>50000</v>
      </c>
      <c r="I215" s="85"/>
      <c r="J215" s="509">
        <f t="shared" si="56"/>
        <v>337890.916666667</v>
      </c>
      <c r="K215" s="85"/>
      <c r="L215" s="683">
        <v>0</v>
      </c>
      <c r="M215" s="683">
        <v>0</v>
      </c>
      <c r="N215" s="683">
        <v>30000</v>
      </c>
      <c r="O215" s="4"/>
      <c r="P215" s="4"/>
      <c r="Q215" s="683">
        <v>39174.7358000001</v>
      </c>
      <c r="R215" s="684">
        <v>23031.2733333334</v>
      </c>
      <c r="S215" s="510">
        <f t="shared" si="55"/>
        <v>92206.0091333335</v>
      </c>
      <c r="T215" s="85">
        <v>245684.907533333</v>
      </c>
      <c r="U215" s="509">
        <f t="shared" si="62"/>
        <v>245684.907533333</v>
      </c>
      <c r="V215" s="13"/>
    </row>
    <row r="216" customHeight="1" spans="1:22">
      <c r="A216" s="27">
        <v>38</v>
      </c>
      <c r="B216" s="11" t="s">
        <v>359</v>
      </c>
      <c r="C216" s="12" t="s">
        <v>360</v>
      </c>
      <c r="D216" s="15" t="s">
        <v>361</v>
      </c>
      <c r="E216" s="226">
        <v>255667.083333333</v>
      </c>
      <c r="F216" s="220"/>
      <c r="G216" s="220"/>
      <c r="H216" s="220">
        <f>30000</f>
        <v>30000</v>
      </c>
      <c r="I216" s="85">
        <f>4000</f>
        <v>4000</v>
      </c>
      <c r="J216" s="509">
        <f t="shared" si="56"/>
        <v>289667.083333333</v>
      </c>
      <c r="K216" s="85"/>
      <c r="L216" s="85">
        <v>60000</v>
      </c>
      <c r="M216" s="85">
        <v>67916.66</v>
      </c>
      <c r="N216" s="85">
        <v>20000</v>
      </c>
      <c r="O216" s="85"/>
      <c r="P216" s="85">
        <v>4252.95625</v>
      </c>
      <c r="Q216" s="85">
        <v>30192.936875</v>
      </c>
      <c r="R216" s="85">
        <v>20453.3666666667</v>
      </c>
      <c r="S216" s="510">
        <f t="shared" si="55"/>
        <v>202815.919791667</v>
      </c>
      <c r="T216" s="85">
        <v>86851.1635416663</v>
      </c>
      <c r="U216" s="509">
        <f t="shared" si="62"/>
        <v>86851.1635416663</v>
      </c>
    </row>
    <row r="217" customHeight="1" spans="1:22">
      <c r="A217" s="27">
        <v>39</v>
      </c>
      <c r="B217" s="11" t="s">
        <v>362</v>
      </c>
      <c r="C217" s="12" t="s">
        <v>360</v>
      </c>
      <c r="D217" s="15" t="s">
        <v>361</v>
      </c>
      <c r="E217" s="226">
        <v>255667.083333333</v>
      </c>
      <c r="F217" s="220"/>
      <c r="G217" s="220"/>
      <c r="H217" s="220">
        <f>30000</f>
        <v>30000</v>
      </c>
      <c r="I217" s="85">
        <f>7000</f>
        <v>7000</v>
      </c>
      <c r="J217" s="509">
        <f t="shared" si="56"/>
        <v>292667.083333333</v>
      </c>
      <c r="K217" s="85"/>
      <c r="L217" s="85">
        <v>40000</v>
      </c>
      <c r="M217" s="85">
        <f>14524.11</f>
        <v>14524.11</v>
      </c>
      <c r="N217" s="85">
        <v>20000</v>
      </c>
      <c r="O217" s="85">
        <v>10285</v>
      </c>
      <c r="P217" s="85"/>
      <c r="Q217" s="85">
        <v>31498.469</v>
      </c>
      <c r="R217" s="85">
        <v>20453.3666666667</v>
      </c>
      <c r="S217" s="510">
        <f t="shared" si="55"/>
        <v>136760.945666667</v>
      </c>
      <c r="T217" s="85">
        <v>155906.137666666</v>
      </c>
      <c r="U217" s="509">
        <f t="shared" si="62"/>
        <v>155906.137666666</v>
      </c>
    </row>
    <row r="218" customHeight="1" spans="1:22">
      <c r="A218" s="27">
        <v>40</v>
      </c>
      <c r="B218" s="11" t="s">
        <v>363</v>
      </c>
      <c r="C218" s="12" t="s">
        <v>360</v>
      </c>
      <c r="D218" s="15" t="s">
        <v>361</v>
      </c>
      <c r="E218" s="226">
        <v>255667.083333333</v>
      </c>
      <c r="F218" s="220"/>
      <c r="G218" s="220"/>
      <c r="H218" s="220">
        <f>30000</f>
        <v>30000</v>
      </c>
      <c r="I218" s="85">
        <f>4000</f>
        <v>4000</v>
      </c>
      <c r="J218" s="509">
        <f t="shared" si="56"/>
        <v>289667.083333333</v>
      </c>
      <c r="K218" s="85"/>
      <c r="L218" s="85">
        <v>35000</v>
      </c>
      <c r="M218" s="85">
        <v>74038.17</v>
      </c>
      <c r="N218" s="85">
        <v>15000</v>
      </c>
      <c r="O218" s="85">
        <v>42596.13</v>
      </c>
      <c r="P218" s="85">
        <v>4252.95625</v>
      </c>
      <c r="Q218" s="85">
        <v>30192.936875</v>
      </c>
      <c r="R218" s="85">
        <v>20453.3666666667</v>
      </c>
      <c r="S218" s="510">
        <f t="shared" si="55"/>
        <v>221533.559791667</v>
      </c>
      <c r="T218" s="85">
        <v>68133.5235416663</v>
      </c>
      <c r="U218" s="509">
        <f t="shared" si="62"/>
        <v>68133.5235416663</v>
      </c>
    </row>
    <row r="219" customHeight="1" spans="1:22">
      <c r="A219" s="27">
        <v>41</v>
      </c>
      <c r="B219" s="11" t="s">
        <v>364</v>
      </c>
      <c r="C219" s="12" t="s">
        <v>360</v>
      </c>
      <c r="D219" s="15" t="s">
        <v>361</v>
      </c>
      <c r="E219" s="226">
        <v>255667.083333333</v>
      </c>
      <c r="F219" s="220"/>
      <c r="G219" s="220"/>
      <c r="H219" s="220">
        <f>30000</f>
        <v>30000</v>
      </c>
      <c r="I219" s="85">
        <f>4000</f>
        <v>4000</v>
      </c>
      <c r="J219" s="509">
        <f t="shared" si="56"/>
        <v>289667.083333333</v>
      </c>
      <c r="K219" s="85"/>
      <c r="L219" s="85">
        <v>40000</v>
      </c>
      <c r="M219" s="85">
        <f>63445.82</f>
        <v>63445.82</v>
      </c>
      <c r="N219" s="85">
        <v>10000</v>
      </c>
      <c r="O219" s="85">
        <v>27658.13</v>
      </c>
      <c r="P219" s="85"/>
      <c r="Q219" s="85">
        <v>30958.469</v>
      </c>
      <c r="R219" s="85">
        <v>20453.3666666667</v>
      </c>
      <c r="S219" s="510">
        <f t="shared" si="55"/>
        <v>192515.785666667</v>
      </c>
      <c r="T219" s="85">
        <v>97151.2976666663</v>
      </c>
      <c r="U219" s="509">
        <f t="shared" si="62"/>
        <v>97151.2976666663</v>
      </c>
    </row>
    <row r="220" customHeight="1" spans="1:22">
      <c r="A220" s="27">
        <v>42</v>
      </c>
      <c r="B220" s="11" t="s">
        <v>365</v>
      </c>
      <c r="C220" s="12" t="s">
        <v>360</v>
      </c>
      <c r="D220" s="15" t="s">
        <v>366</v>
      </c>
      <c r="E220" s="226">
        <v>249683.75</v>
      </c>
      <c r="F220" s="220"/>
      <c r="G220" s="220"/>
      <c r="H220" s="220">
        <f>20000+10000</f>
        <v>30000</v>
      </c>
      <c r="I220" s="85">
        <f>7000</f>
        <v>7000</v>
      </c>
      <c r="J220" s="509">
        <f t="shared" ref="J220:J226" si="63">E220+F220+G220+H220+I220</f>
        <v>286683.75</v>
      </c>
      <c r="K220" s="85"/>
      <c r="L220" s="85">
        <v>50000</v>
      </c>
      <c r="M220" s="85">
        <f>26430.62</f>
        <v>26430.62</v>
      </c>
      <c r="N220" s="85">
        <v>10000</v>
      </c>
      <c r="O220" s="85">
        <v>24942.5</v>
      </c>
      <c r="P220" s="85"/>
      <c r="Q220" s="85">
        <v>30507.629</v>
      </c>
      <c r="R220" s="85">
        <v>19974.7</v>
      </c>
      <c r="S220" s="510">
        <f t="shared" si="55"/>
        <v>161855.449</v>
      </c>
      <c r="T220" s="85">
        <v>124828.301</v>
      </c>
      <c r="U220" s="509">
        <f t="shared" si="62"/>
        <v>124828.301</v>
      </c>
    </row>
    <row r="221" customHeight="1" spans="1:22">
      <c r="A221" s="27">
        <v>43</v>
      </c>
      <c r="B221" s="11" t="s">
        <v>367</v>
      </c>
      <c r="C221" s="12" t="s">
        <v>360</v>
      </c>
      <c r="D221" s="15" t="s">
        <v>366</v>
      </c>
      <c r="E221" s="226">
        <v>249683.75</v>
      </c>
      <c r="F221" s="220"/>
      <c r="G221" s="220"/>
      <c r="H221" s="220">
        <f>20000+10000</f>
        <v>30000</v>
      </c>
      <c r="I221" s="85">
        <f>4000</f>
        <v>4000</v>
      </c>
      <c r="J221" s="509">
        <f t="shared" si="63"/>
        <v>283683.75</v>
      </c>
      <c r="K221" s="85"/>
      <c r="L221" s="85">
        <v>50000</v>
      </c>
      <c r="M221" s="85">
        <v>59722.23</v>
      </c>
      <c r="N221" s="85">
        <v>20000</v>
      </c>
      <c r="O221" s="85">
        <v>41208.75</v>
      </c>
      <c r="P221" s="85"/>
      <c r="Q221" s="85">
        <v>29967.629</v>
      </c>
      <c r="R221" s="85">
        <v>19974.7</v>
      </c>
      <c r="S221" s="510">
        <f t="shared" si="55"/>
        <v>220873.309</v>
      </c>
      <c r="T221" s="85">
        <v>62810.441</v>
      </c>
      <c r="U221" s="509">
        <f t="shared" si="62"/>
        <v>62810.441</v>
      </c>
    </row>
    <row r="222" customHeight="1" spans="1:22">
      <c r="A222" s="27">
        <v>44</v>
      </c>
      <c r="B222" s="14" t="s">
        <v>368</v>
      </c>
      <c r="C222" s="12" t="s">
        <v>360</v>
      </c>
      <c r="D222" s="15" t="s">
        <v>366</v>
      </c>
      <c r="E222" s="226">
        <v>249683.75</v>
      </c>
      <c r="F222" s="220"/>
      <c r="G222" s="220"/>
      <c r="H222" s="220">
        <f>20000+10000</f>
        <v>30000</v>
      </c>
      <c r="I222" s="85">
        <f>7000</f>
        <v>7000</v>
      </c>
      <c r="J222" s="509">
        <f t="shared" si="63"/>
        <v>286683.75</v>
      </c>
      <c r="K222" s="85"/>
      <c r="L222" s="85">
        <v>40000</v>
      </c>
      <c r="M222" s="85">
        <f>31719.9</f>
        <v>31719.9</v>
      </c>
      <c r="N222" s="85"/>
      <c r="O222" s="85"/>
      <c r="P222" s="85"/>
      <c r="Q222" s="85">
        <v>30507.629</v>
      </c>
      <c r="R222" s="85">
        <v>19974.7</v>
      </c>
      <c r="S222" s="510">
        <f t="shared" si="55"/>
        <v>122202.229</v>
      </c>
      <c r="T222" s="85">
        <v>164481.521</v>
      </c>
      <c r="U222" s="509">
        <f t="shared" si="62"/>
        <v>164481.521</v>
      </c>
    </row>
    <row r="223" customHeight="1" spans="1:22">
      <c r="A223" s="27">
        <v>45</v>
      </c>
      <c r="B223" s="11" t="s">
        <v>369</v>
      </c>
      <c r="C223" s="12" t="s">
        <v>360</v>
      </c>
      <c r="D223" s="15" t="s">
        <v>366</v>
      </c>
      <c r="E223" s="226">
        <v>249683.75</v>
      </c>
      <c r="F223" s="220"/>
      <c r="G223" s="220"/>
      <c r="H223" s="220">
        <f>20000+10000</f>
        <v>30000</v>
      </c>
      <c r="I223" s="85">
        <f>4000</f>
        <v>4000</v>
      </c>
      <c r="J223" s="509">
        <f t="shared" si="63"/>
        <v>283683.75</v>
      </c>
      <c r="K223" s="85"/>
      <c r="L223" s="85">
        <v>40000</v>
      </c>
      <c r="M223" s="85">
        <f>13750</f>
        <v>13750</v>
      </c>
      <c r="N223" s="85">
        <v>15000</v>
      </c>
      <c r="O223" s="85"/>
      <c r="P223" s="85"/>
      <c r="Q223" s="85">
        <v>29967.629</v>
      </c>
      <c r="R223" s="85">
        <v>19974.7</v>
      </c>
      <c r="S223" s="510">
        <f t="shared" si="55"/>
        <v>118692.329</v>
      </c>
      <c r="T223" s="85">
        <v>164991.421</v>
      </c>
      <c r="U223" s="509">
        <f t="shared" si="62"/>
        <v>164991.421</v>
      </c>
    </row>
    <row r="224" customHeight="1" spans="1:22">
      <c r="A224" s="27">
        <v>46</v>
      </c>
      <c r="B224" s="18" t="s">
        <v>370</v>
      </c>
      <c r="C224" s="12" t="s">
        <v>360</v>
      </c>
      <c r="D224" s="15" t="s">
        <v>366</v>
      </c>
      <c r="E224" s="226">
        <v>249683.75</v>
      </c>
      <c r="F224" s="220"/>
      <c r="G224" s="220"/>
      <c r="H224" s="220">
        <f>20000+10000</f>
        <v>30000</v>
      </c>
      <c r="I224" s="85">
        <f>4000</f>
        <v>4000</v>
      </c>
      <c r="J224" s="509">
        <f t="shared" si="63"/>
        <v>283683.75</v>
      </c>
      <c r="K224" s="85"/>
      <c r="L224" s="85">
        <v>40000</v>
      </c>
      <c r="M224" s="85">
        <f>35708.34</f>
        <v>35708.34</v>
      </c>
      <c r="N224" s="85">
        <v>10000</v>
      </c>
      <c r="O224" s="85">
        <v>31508.13</v>
      </c>
      <c r="P224" s="85"/>
      <c r="Q224" s="85">
        <v>29967.629</v>
      </c>
      <c r="R224" s="85">
        <v>19974.7</v>
      </c>
      <c r="S224" s="510">
        <f t="shared" si="55"/>
        <v>167158.799</v>
      </c>
      <c r="T224" s="85">
        <v>116524.951</v>
      </c>
      <c r="U224" s="509">
        <f t="shared" si="62"/>
        <v>116524.951</v>
      </c>
    </row>
    <row r="225" customHeight="1" spans="1:21">
      <c r="A225" s="27">
        <v>47</v>
      </c>
      <c r="B225" s="11" t="s">
        <v>371</v>
      </c>
      <c r="C225" s="12" t="s">
        <v>360</v>
      </c>
      <c r="D225" s="15" t="s">
        <v>372</v>
      </c>
      <c r="E225" s="85">
        <v>237717.166666667</v>
      </c>
      <c r="F225" s="220"/>
      <c r="G225" s="220"/>
      <c r="H225" s="220">
        <f>30000</f>
        <v>30000</v>
      </c>
      <c r="I225" s="85">
        <f t="shared" ref="I225:I231" si="64">7000</f>
        <v>7000</v>
      </c>
      <c r="J225" s="509">
        <f t="shared" si="63"/>
        <v>274717.166666667</v>
      </c>
      <c r="K225" s="85"/>
      <c r="L225" s="85">
        <v>40000</v>
      </c>
      <c r="M225" s="85">
        <v>28524.31</v>
      </c>
      <c r="N225" s="85"/>
      <c r="O225" s="85"/>
      <c r="P225" s="85"/>
      <c r="Q225" s="85">
        <v>28525.9628</v>
      </c>
      <c r="R225" s="85">
        <v>19017.3733333333</v>
      </c>
      <c r="S225" s="510">
        <f t="shared" si="55"/>
        <v>116067.646133333</v>
      </c>
      <c r="T225" s="85">
        <v>158649.520533334</v>
      </c>
      <c r="U225" s="509">
        <f t="shared" si="62"/>
        <v>158649.520533334</v>
      </c>
    </row>
    <row r="226" customHeight="1" spans="1:21">
      <c r="A226" s="27">
        <v>48</v>
      </c>
      <c r="B226" s="11" t="s">
        <v>373</v>
      </c>
      <c r="C226" s="12" t="s">
        <v>360</v>
      </c>
      <c r="D226" s="15" t="s">
        <v>372</v>
      </c>
      <c r="E226" s="85">
        <v>237717.166666667</v>
      </c>
      <c r="F226" s="220"/>
      <c r="G226" s="220"/>
      <c r="H226" s="220">
        <f>30000</f>
        <v>30000</v>
      </c>
      <c r="I226" s="85">
        <f t="shared" si="64"/>
        <v>7000</v>
      </c>
      <c r="J226" s="509">
        <f t="shared" si="63"/>
        <v>274717.166666667</v>
      </c>
      <c r="K226" s="85"/>
      <c r="L226" s="85">
        <v>40000</v>
      </c>
      <c r="M226" s="85">
        <v>43885.11</v>
      </c>
      <c r="N226" s="85"/>
      <c r="O226" s="85"/>
      <c r="P226" s="85"/>
      <c r="Q226" s="85">
        <v>28525.9628</v>
      </c>
      <c r="R226" s="85">
        <v>19017.3733333333</v>
      </c>
      <c r="S226" s="510">
        <f t="shared" si="55"/>
        <v>131428.446133333</v>
      </c>
      <c r="T226" s="85">
        <v>143288.720533334</v>
      </c>
      <c r="U226" s="509">
        <f t="shared" si="62"/>
        <v>143288.720533334</v>
      </c>
    </row>
    <row r="227" customHeight="1" spans="1:21">
      <c r="A227" s="27">
        <v>49</v>
      </c>
      <c r="B227" s="18" t="s">
        <v>374</v>
      </c>
      <c r="C227" s="12" t="s">
        <v>360</v>
      </c>
      <c r="D227" s="15" t="s">
        <v>375</v>
      </c>
      <c r="E227" s="85">
        <v>243700.416666667</v>
      </c>
      <c r="F227" s="220"/>
      <c r="G227" s="220"/>
      <c r="H227" s="220">
        <f>30000</f>
        <v>30000</v>
      </c>
      <c r="I227" s="85">
        <f t="shared" si="64"/>
        <v>7000</v>
      </c>
      <c r="J227" s="509">
        <f t="shared" ref="J227:J234" si="65">E227+F227+G227+H227+I227</f>
        <v>280700.416666667</v>
      </c>
      <c r="K227" s="85"/>
      <c r="L227" s="85">
        <v>40000</v>
      </c>
      <c r="M227" s="85">
        <f>60000</f>
        <v>60000</v>
      </c>
      <c r="N227" s="85"/>
      <c r="O227" s="85"/>
      <c r="P227" s="85"/>
      <c r="Q227" s="85">
        <v>29516.789</v>
      </c>
      <c r="R227" s="85">
        <v>19496.0333333333</v>
      </c>
      <c r="S227" s="510">
        <f t="shared" si="55"/>
        <v>149012.822333333</v>
      </c>
      <c r="T227" s="85">
        <v>131687.594333334</v>
      </c>
      <c r="U227" s="509">
        <f t="shared" si="62"/>
        <v>131687.594333334</v>
      </c>
    </row>
    <row r="228" customHeight="1" spans="1:21">
      <c r="A228" s="27">
        <v>50</v>
      </c>
      <c r="B228" s="11" t="s">
        <v>376</v>
      </c>
      <c r="C228" s="12" t="s">
        <v>360</v>
      </c>
      <c r="D228" s="15" t="s">
        <v>377</v>
      </c>
      <c r="E228" s="85">
        <v>225750.583333333</v>
      </c>
      <c r="F228" s="220"/>
      <c r="G228" s="220"/>
      <c r="H228" s="220">
        <f t="shared" ref="H228:H235" si="66">30000</f>
        <v>30000</v>
      </c>
      <c r="I228" s="85">
        <f t="shared" si="64"/>
        <v>7000</v>
      </c>
      <c r="J228" s="509">
        <f t="shared" si="65"/>
        <v>262750.583333333</v>
      </c>
      <c r="K228" s="85"/>
      <c r="L228" s="85">
        <v>80000</v>
      </c>
      <c r="M228" s="85">
        <v>40000</v>
      </c>
      <c r="N228" s="85">
        <v>15000</v>
      </c>
      <c r="O228" s="85"/>
      <c r="P228" s="85"/>
      <c r="Q228" s="85">
        <v>25203.5805</v>
      </c>
      <c r="R228" s="85">
        <v>18060.0466666666</v>
      </c>
      <c r="S228" s="510">
        <f t="shared" si="55"/>
        <v>178263.627166667</v>
      </c>
      <c r="T228" s="85">
        <v>84486.9561666664</v>
      </c>
      <c r="U228" s="509">
        <f t="shared" si="62"/>
        <v>84486.9561666664</v>
      </c>
    </row>
    <row r="229" customHeight="1" spans="1:21">
      <c r="A229" s="27">
        <v>51</v>
      </c>
      <c r="B229" s="11" t="s">
        <v>378</v>
      </c>
      <c r="C229" s="12" t="s">
        <v>360</v>
      </c>
      <c r="D229" s="15" t="s">
        <v>377</v>
      </c>
      <c r="E229" s="85">
        <v>225750.583333333</v>
      </c>
      <c r="F229" s="220"/>
      <c r="G229" s="220"/>
      <c r="H229" s="220">
        <f t="shared" si="66"/>
        <v>30000</v>
      </c>
      <c r="I229" s="85">
        <f t="shared" si="64"/>
        <v>7000</v>
      </c>
      <c r="J229" s="509">
        <f t="shared" si="65"/>
        <v>262750.583333333</v>
      </c>
      <c r="K229" s="85"/>
      <c r="L229" s="85">
        <v>35000</v>
      </c>
      <c r="M229" s="85">
        <v>33000</v>
      </c>
      <c r="N229" s="85">
        <v>20000</v>
      </c>
      <c r="P229" s="85"/>
      <c r="Q229" s="85">
        <v>25203.5805</v>
      </c>
      <c r="R229" s="85">
        <v>18060.0466666666</v>
      </c>
      <c r="S229" s="510">
        <f t="shared" si="55"/>
        <v>131263.627166667</v>
      </c>
      <c r="T229" s="85">
        <v>131486.956166666</v>
      </c>
      <c r="U229" s="509">
        <f t="shared" si="62"/>
        <v>131486.956166666</v>
      </c>
    </row>
    <row r="230" customHeight="1" spans="1:21">
      <c r="A230" s="27">
        <v>52</v>
      </c>
      <c r="B230" s="11" t="s">
        <v>379</v>
      </c>
      <c r="C230" s="12" t="s">
        <v>360</v>
      </c>
      <c r="D230" s="15" t="s">
        <v>377</v>
      </c>
      <c r="E230" s="85">
        <v>225750.583333333</v>
      </c>
      <c r="F230" s="220"/>
      <c r="G230" s="220"/>
      <c r="H230" s="220">
        <f t="shared" si="66"/>
        <v>30000</v>
      </c>
      <c r="I230" s="85">
        <f t="shared" si="64"/>
        <v>7000</v>
      </c>
      <c r="J230" s="509">
        <f t="shared" si="65"/>
        <v>262750.583333333</v>
      </c>
      <c r="K230" s="85"/>
      <c r="L230" s="85">
        <v>50000</v>
      </c>
      <c r="M230" s="85">
        <f>25555.56</f>
        <v>25555.56</v>
      </c>
      <c r="N230" s="85"/>
      <c r="O230" s="85"/>
      <c r="P230" s="85"/>
      <c r="Q230" s="85">
        <v>25203.5805</v>
      </c>
      <c r="R230" s="85">
        <v>18060.0466666666</v>
      </c>
      <c r="S230" s="510">
        <f t="shared" si="55"/>
        <v>118819.187166667</v>
      </c>
      <c r="T230" s="85">
        <v>143931.396166666</v>
      </c>
      <c r="U230" s="509">
        <f t="shared" si="62"/>
        <v>143931.396166666</v>
      </c>
    </row>
    <row r="231" customHeight="1" spans="1:21">
      <c r="A231" s="27">
        <v>53</v>
      </c>
      <c r="B231" s="11" t="s">
        <v>380</v>
      </c>
      <c r="C231" s="12" t="s">
        <v>360</v>
      </c>
      <c r="D231" s="15" t="s">
        <v>377</v>
      </c>
      <c r="E231" s="85">
        <v>225750.583333333</v>
      </c>
      <c r="F231" s="220"/>
      <c r="G231" s="220"/>
      <c r="H231" s="220">
        <f t="shared" si="66"/>
        <v>30000</v>
      </c>
      <c r="I231" s="85">
        <f t="shared" si="64"/>
        <v>7000</v>
      </c>
      <c r="J231" s="509">
        <f t="shared" si="65"/>
        <v>262750.583333333</v>
      </c>
      <c r="K231" s="85"/>
      <c r="L231" s="85">
        <v>35000</v>
      </c>
      <c r="M231" s="85">
        <f>15972.22</f>
        <v>15972.22</v>
      </c>
      <c r="N231" s="85">
        <v>10000</v>
      </c>
      <c r="O231" s="85">
        <v>19717.5</v>
      </c>
      <c r="P231" s="85"/>
      <c r="Q231" s="85">
        <v>25203.5805</v>
      </c>
      <c r="R231" s="85">
        <v>18060.0466666666</v>
      </c>
      <c r="S231" s="510">
        <f t="shared" si="55"/>
        <v>123953.347166667</v>
      </c>
      <c r="T231" s="85">
        <v>138797.236166666</v>
      </c>
      <c r="U231" s="509">
        <f t="shared" si="62"/>
        <v>138797.236166666</v>
      </c>
    </row>
    <row r="232" customHeight="1" spans="1:21">
      <c r="A232" s="27">
        <v>54</v>
      </c>
      <c r="B232" s="11" t="s">
        <v>381</v>
      </c>
      <c r="C232" s="12" t="s">
        <v>360</v>
      </c>
      <c r="D232" s="15" t="s">
        <v>377</v>
      </c>
      <c r="E232" s="85">
        <v>225750.583333333</v>
      </c>
      <c r="F232" s="220"/>
      <c r="G232" s="220"/>
      <c r="H232" s="220">
        <f t="shared" si="66"/>
        <v>30000</v>
      </c>
      <c r="I232" s="85">
        <f t="shared" ref="I231:I236" si="67">7000</f>
        <v>7000</v>
      </c>
      <c r="J232" s="509">
        <f t="shared" si="65"/>
        <v>262750.583333333</v>
      </c>
      <c r="K232" s="85"/>
      <c r="L232" s="85">
        <v>40000</v>
      </c>
      <c r="M232" s="85">
        <v>17999.67</v>
      </c>
      <c r="N232" s="85">
        <v>20000</v>
      </c>
      <c r="O232" s="85">
        <v>34732.5</v>
      </c>
      <c r="P232" s="85"/>
      <c r="Q232" s="85">
        <v>25203.5805</v>
      </c>
      <c r="R232" s="85">
        <v>18060.0466666666</v>
      </c>
      <c r="S232" s="510">
        <f t="shared" si="55"/>
        <v>155995.797166667</v>
      </c>
      <c r="T232" s="85">
        <v>106754.786166666</v>
      </c>
      <c r="U232" s="509">
        <f t="shared" si="62"/>
        <v>106754.786166666</v>
      </c>
    </row>
    <row r="233" customHeight="1" spans="1:21">
      <c r="A233" s="27">
        <v>55</v>
      </c>
      <c r="B233" s="11" t="s">
        <v>382</v>
      </c>
      <c r="C233" s="12" t="s">
        <v>360</v>
      </c>
      <c r="D233" s="15" t="s">
        <v>377</v>
      </c>
      <c r="E233" s="85">
        <v>225750.583333333</v>
      </c>
      <c r="F233" s="220"/>
      <c r="G233" s="220"/>
      <c r="H233" s="220">
        <f t="shared" si="66"/>
        <v>30000</v>
      </c>
      <c r="I233" s="85">
        <f t="shared" si="67"/>
        <v>7000</v>
      </c>
      <c r="J233" s="509">
        <f t="shared" si="65"/>
        <v>262750.583333333</v>
      </c>
      <c r="K233" s="85"/>
      <c r="L233" s="85">
        <v>40000</v>
      </c>
      <c r="M233" s="85">
        <v>40000</v>
      </c>
      <c r="N233" s="85">
        <v>10000</v>
      </c>
      <c r="O233" s="85"/>
      <c r="P233" s="85"/>
      <c r="Q233" s="85">
        <v>25203.5805</v>
      </c>
      <c r="R233" s="85">
        <v>18060.0466666666</v>
      </c>
      <c r="S233" s="510">
        <f t="shared" si="55"/>
        <v>133263.627166667</v>
      </c>
      <c r="T233" s="85">
        <v>129486.956166666</v>
      </c>
      <c r="U233" s="509">
        <f t="shared" si="62"/>
        <v>129486.956166666</v>
      </c>
    </row>
    <row r="234" customHeight="1" spans="1:21">
      <c r="A234" s="27">
        <v>56</v>
      </c>
      <c r="B234" s="18" t="s">
        <v>383</v>
      </c>
      <c r="C234" s="12" t="s">
        <v>360</v>
      </c>
      <c r="D234" s="15" t="s">
        <v>384</v>
      </c>
      <c r="E234" s="85">
        <v>231733.833333334</v>
      </c>
      <c r="F234" s="220"/>
      <c r="G234" s="220"/>
      <c r="H234" s="220">
        <f t="shared" si="66"/>
        <v>30000</v>
      </c>
      <c r="I234" s="85">
        <f t="shared" si="67"/>
        <v>7000</v>
      </c>
      <c r="J234" s="509">
        <f t="shared" si="65"/>
        <v>268733.833333334</v>
      </c>
      <c r="K234" s="85"/>
      <c r="L234" s="85">
        <v>35000</v>
      </c>
      <c r="M234" s="85">
        <v>13750</v>
      </c>
      <c r="N234" s="85">
        <v>17000</v>
      </c>
      <c r="O234" s="85"/>
      <c r="P234" s="85"/>
      <c r="Q234" s="85">
        <v>26029.2690000001</v>
      </c>
      <c r="R234" s="85">
        <v>18538.7066666667</v>
      </c>
      <c r="S234" s="510">
        <f t="shared" si="55"/>
        <v>110317.975666667</v>
      </c>
      <c r="T234" s="85">
        <v>189165.857666667</v>
      </c>
      <c r="U234" s="509">
        <f t="shared" si="62"/>
        <v>158415.857666667</v>
      </c>
    </row>
    <row r="235" customHeight="1" spans="1:21">
      <c r="A235" s="27">
        <v>57</v>
      </c>
      <c r="B235" s="18" t="s">
        <v>385</v>
      </c>
      <c r="C235" s="12" t="s">
        <v>360</v>
      </c>
      <c r="D235" s="15" t="s">
        <v>377</v>
      </c>
      <c r="E235" s="85">
        <v>225750.583333333</v>
      </c>
      <c r="F235" s="220"/>
      <c r="G235" s="220"/>
      <c r="H235" s="220">
        <f t="shared" si="66"/>
        <v>30000</v>
      </c>
      <c r="I235" s="85">
        <f t="shared" si="67"/>
        <v>7000</v>
      </c>
      <c r="J235" s="509">
        <f t="shared" ref="J235:J244" si="68">E235+F235+G235+H235+I235</f>
        <v>262750.583333333</v>
      </c>
      <c r="K235" s="85"/>
      <c r="L235" s="85">
        <v>60000</v>
      </c>
      <c r="M235" s="85">
        <f>0</f>
        <v>0</v>
      </c>
      <c r="N235" s="85"/>
      <c r="O235" s="85"/>
      <c r="P235" s="85"/>
      <c r="Q235" s="85">
        <v>70751.6361741933</v>
      </c>
      <c r="R235" s="85">
        <v>18060.0466666666</v>
      </c>
      <c r="S235" s="510">
        <f t="shared" si="55"/>
        <v>148811.68284086</v>
      </c>
      <c r="T235" s="85">
        <v>113938.900492473</v>
      </c>
      <c r="U235" s="509">
        <f t="shared" si="62"/>
        <v>113938.900492473</v>
      </c>
    </row>
    <row r="236" customHeight="1" spans="1:21">
      <c r="A236" s="27">
        <v>58</v>
      </c>
      <c r="B236" s="11" t="s">
        <v>386</v>
      </c>
      <c r="C236" s="12" t="s">
        <v>387</v>
      </c>
      <c r="D236" s="15" t="s">
        <v>388</v>
      </c>
      <c r="E236" s="85">
        <v>149217.75</v>
      </c>
      <c r="F236" s="220"/>
      <c r="G236" s="220"/>
      <c r="H236" s="220">
        <v>20000</v>
      </c>
      <c r="I236" s="85">
        <f t="shared" si="67"/>
        <v>7000</v>
      </c>
      <c r="J236" s="509">
        <f t="shared" si="68"/>
        <v>176217.75</v>
      </c>
      <c r="K236" s="85"/>
      <c r="L236" s="85">
        <v>50000</v>
      </c>
      <c r="M236" s="85">
        <f>44555.39-10000</f>
        <v>34555.39</v>
      </c>
      <c r="N236" s="85">
        <v>10000</v>
      </c>
      <c r="O236" s="85">
        <v>19717.5</v>
      </c>
      <c r="P236" s="85"/>
      <c r="Q236" s="85">
        <v>14642.0495</v>
      </c>
      <c r="R236" s="85">
        <v>11937.42</v>
      </c>
      <c r="S236" s="510">
        <f t="shared" si="55"/>
        <v>140852.3595</v>
      </c>
      <c r="T236" s="85">
        <v>35365.3905</v>
      </c>
      <c r="U236" s="509">
        <f t="shared" si="62"/>
        <v>35365.3905</v>
      </c>
    </row>
    <row r="237" customHeight="1" spans="1:21">
      <c r="A237" s="27">
        <v>59</v>
      </c>
      <c r="B237" s="18" t="s">
        <v>389</v>
      </c>
      <c r="C237" s="12" t="s">
        <v>390</v>
      </c>
      <c r="D237" s="15" t="s">
        <v>391</v>
      </c>
      <c r="E237" s="85">
        <v>140634.666666667</v>
      </c>
      <c r="F237" s="220"/>
      <c r="G237" s="220"/>
      <c r="H237" s="220">
        <v>20000</v>
      </c>
      <c r="I237" s="85">
        <v>7000</v>
      </c>
      <c r="J237" s="509">
        <f t="shared" si="68"/>
        <v>167634.666666667</v>
      </c>
      <c r="K237" s="85"/>
      <c r="L237" s="85">
        <v>33000</v>
      </c>
      <c r="M237" s="85">
        <v>13750</v>
      </c>
      <c r="N237" s="85"/>
      <c r="O237" s="85"/>
      <c r="P237" s="85"/>
      <c r="Q237" s="85">
        <v>13457.584</v>
      </c>
      <c r="R237" s="85">
        <v>11250.7733333334</v>
      </c>
      <c r="S237" s="510">
        <f t="shared" si="55"/>
        <v>71458.3573333334</v>
      </c>
      <c r="T237" s="85">
        <v>96176.3093333336</v>
      </c>
      <c r="U237" s="509">
        <f t="shared" si="62"/>
        <v>96176.3093333336</v>
      </c>
    </row>
    <row r="238" customHeight="1" spans="1:21">
      <c r="A238" s="27">
        <v>60</v>
      </c>
      <c r="B238" s="18" t="s">
        <v>392</v>
      </c>
      <c r="C238" s="12" t="s">
        <v>390</v>
      </c>
      <c r="D238" s="15" t="s">
        <v>393</v>
      </c>
      <c r="E238" s="85">
        <v>137773.5</v>
      </c>
      <c r="F238" s="220"/>
      <c r="G238" s="220"/>
      <c r="H238" s="220">
        <f>15000</f>
        <v>15000</v>
      </c>
      <c r="I238" s="85">
        <f>7000</f>
        <v>7000</v>
      </c>
      <c r="J238" s="509">
        <f t="shared" si="68"/>
        <v>159773.5</v>
      </c>
      <c r="K238" s="85"/>
      <c r="L238" s="85">
        <v>40000</v>
      </c>
      <c r="M238" s="85">
        <v>18333.33</v>
      </c>
      <c r="N238" s="85">
        <v>10000</v>
      </c>
      <c r="O238" s="85">
        <v>13289.38</v>
      </c>
      <c r="P238" s="85"/>
      <c r="Q238" s="85">
        <v>12312.743</v>
      </c>
      <c r="R238" s="85">
        <v>11021.88</v>
      </c>
      <c r="S238" s="510">
        <f t="shared" si="55"/>
        <v>104957.333</v>
      </c>
      <c r="T238" s="85">
        <v>54816.167</v>
      </c>
      <c r="U238" s="509">
        <f t="shared" si="62"/>
        <v>54816.167</v>
      </c>
    </row>
    <row r="239" customHeight="1" spans="1:21">
      <c r="A239" s="27">
        <v>61</v>
      </c>
      <c r="B239" s="18" t="s">
        <v>394</v>
      </c>
      <c r="C239" s="12" t="s">
        <v>390</v>
      </c>
      <c r="D239" s="15" t="s">
        <v>395</v>
      </c>
      <c r="E239" s="85">
        <v>134912.666666667</v>
      </c>
      <c r="F239" s="220"/>
      <c r="G239" s="220"/>
      <c r="H239" s="220">
        <f>15000</f>
        <v>15000</v>
      </c>
      <c r="I239" s="85">
        <f>7000</f>
        <v>7000</v>
      </c>
      <c r="J239" s="509">
        <f t="shared" si="68"/>
        <v>156912.666666667</v>
      </c>
      <c r="K239" s="85"/>
      <c r="L239" s="85">
        <v>50000</v>
      </c>
      <c r="M239" s="85"/>
      <c r="N239" s="85">
        <v>20000</v>
      </c>
      <c r="O239" s="85">
        <v>12430</v>
      </c>
      <c r="P239" s="85"/>
      <c r="Q239" s="85">
        <v>11917.948</v>
      </c>
      <c r="R239" s="85">
        <v>10793.0133333334</v>
      </c>
      <c r="S239" s="510">
        <f t="shared" si="55"/>
        <v>105140.961333333</v>
      </c>
      <c r="T239" s="85">
        <v>51771.7053333336</v>
      </c>
      <c r="U239" s="509">
        <f t="shared" si="62"/>
        <v>51771.7053333336</v>
      </c>
    </row>
    <row r="240" customHeight="1" spans="1:21">
      <c r="A240" s="27">
        <v>62</v>
      </c>
      <c r="B240" s="18" t="s">
        <v>396</v>
      </c>
      <c r="C240" s="12" t="s">
        <v>397</v>
      </c>
      <c r="D240" s="15" t="s">
        <v>398</v>
      </c>
      <c r="E240" s="85">
        <v>131512.166666667</v>
      </c>
      <c r="F240" s="122"/>
      <c r="G240" s="4"/>
      <c r="H240" s="122">
        <v>15000</v>
      </c>
      <c r="I240" s="122">
        <v>4000</v>
      </c>
      <c r="J240" s="509">
        <f t="shared" si="68"/>
        <v>150512.166666667</v>
      </c>
      <c r="K240" s="85"/>
      <c r="L240" s="85">
        <v>10000</v>
      </c>
      <c r="M240" s="85">
        <v>22916.67</v>
      </c>
      <c r="N240" s="85"/>
      <c r="O240" s="85"/>
      <c r="P240" s="85"/>
      <c r="Q240" s="85">
        <v>10998.679</v>
      </c>
      <c r="R240" s="85">
        <v>10520.9733333333</v>
      </c>
      <c r="S240" s="510">
        <f t="shared" si="55"/>
        <v>54436.3223333333</v>
      </c>
      <c r="T240" s="85">
        <v>96075.8443333337</v>
      </c>
      <c r="U240" s="509">
        <f t="shared" si="62"/>
        <v>96075.8443333337</v>
      </c>
    </row>
    <row r="241" customHeight="1" spans="1:21">
      <c r="A241" s="27">
        <v>63</v>
      </c>
      <c r="B241" s="18" t="s">
        <v>399</v>
      </c>
      <c r="C241" s="12" t="s">
        <v>397</v>
      </c>
      <c r="D241" s="15" t="s">
        <v>398</v>
      </c>
      <c r="E241" s="85">
        <v>131512.166666667</v>
      </c>
      <c r="F241" s="122"/>
      <c r="G241" s="4"/>
      <c r="H241" s="122">
        <v>15000</v>
      </c>
      <c r="I241" s="122">
        <v>4000</v>
      </c>
      <c r="J241" s="509">
        <f t="shared" si="68"/>
        <v>150512.166666667</v>
      </c>
      <c r="K241" s="85"/>
      <c r="L241" s="85">
        <v>10000</v>
      </c>
      <c r="M241" s="85">
        <v>22916.67</v>
      </c>
      <c r="N241" s="85"/>
      <c r="O241" s="85"/>
      <c r="P241" s="85"/>
      <c r="Q241" s="85">
        <v>10998.679</v>
      </c>
      <c r="R241" s="85">
        <v>10520.9733333333</v>
      </c>
      <c r="S241" s="510">
        <f t="shared" si="55"/>
        <v>54436.3223333333</v>
      </c>
      <c r="T241" s="85">
        <v>96075.8443333337</v>
      </c>
      <c r="U241" s="509">
        <f t="shared" si="62"/>
        <v>96075.8443333337</v>
      </c>
    </row>
    <row r="242" customHeight="1" spans="1:21">
      <c r="A242" s="27">
        <v>64</v>
      </c>
      <c r="B242" s="18" t="s">
        <v>400</v>
      </c>
      <c r="C242" s="12" t="s">
        <v>397</v>
      </c>
      <c r="D242" s="15" t="s">
        <v>398</v>
      </c>
      <c r="E242" s="85">
        <v>131512.166666667</v>
      </c>
      <c r="F242" s="122"/>
      <c r="G242" s="4"/>
      <c r="H242" s="122">
        <v>15000</v>
      </c>
      <c r="I242" s="122">
        <v>4000</v>
      </c>
      <c r="J242" s="509">
        <f t="shared" si="68"/>
        <v>150512.166666667</v>
      </c>
      <c r="K242" s="85"/>
      <c r="L242" s="85">
        <v>10000</v>
      </c>
      <c r="M242" s="85">
        <f>8750</f>
        <v>8750</v>
      </c>
      <c r="N242" s="85"/>
      <c r="O242" s="85"/>
      <c r="P242" s="85"/>
      <c r="Q242" s="85">
        <v>10998.679</v>
      </c>
      <c r="R242" s="85">
        <v>10520.9733333333</v>
      </c>
      <c r="S242" s="510">
        <f t="shared" si="55"/>
        <v>40269.6523333333</v>
      </c>
      <c r="T242" s="85">
        <v>110242.514333334</v>
      </c>
      <c r="U242" s="509">
        <f t="shared" si="62"/>
        <v>110242.514333334</v>
      </c>
    </row>
    <row r="243" customHeight="1" spans="1:21">
      <c r="A243" s="27">
        <v>65</v>
      </c>
      <c r="B243" s="18" t="s">
        <v>401</v>
      </c>
      <c r="C243" s="12" t="s">
        <v>402</v>
      </c>
      <c r="D243" s="15" t="s">
        <v>403</v>
      </c>
      <c r="E243" s="85">
        <v>143495.666666667</v>
      </c>
      <c r="F243" s="122"/>
      <c r="G243" s="220"/>
      <c r="H243" s="220">
        <f>15000</f>
        <v>15000</v>
      </c>
      <c r="I243" s="85">
        <v>7000</v>
      </c>
      <c r="J243" s="509">
        <f t="shared" si="68"/>
        <v>165495.666666667</v>
      </c>
      <c r="K243" s="85"/>
      <c r="L243" s="85">
        <v>10000</v>
      </c>
      <c r="M243" s="85"/>
      <c r="N243" s="85">
        <v>10000</v>
      </c>
      <c r="O243" s="85"/>
      <c r="P243" s="85">
        <v>2487.17291666667</v>
      </c>
      <c r="Q243" s="85">
        <v>12729.3260625</v>
      </c>
      <c r="R243" s="85">
        <v>11479.6533333333</v>
      </c>
      <c r="S243" s="510">
        <f>SUM(K243:R243)</f>
        <v>46696.1523125</v>
      </c>
      <c r="T243" s="85">
        <v>118799.514354167</v>
      </c>
      <c r="U243" s="509">
        <f t="shared" si="62"/>
        <v>118799.514354167</v>
      </c>
    </row>
    <row r="244" customHeight="1" spans="1:21">
      <c r="A244" s="27">
        <v>66</v>
      </c>
      <c r="B244" s="18" t="s">
        <v>404</v>
      </c>
      <c r="C244" s="12" t="s">
        <v>402</v>
      </c>
      <c r="D244" s="15" t="s">
        <v>403</v>
      </c>
      <c r="E244" s="85">
        <v>143495.666666667</v>
      </c>
      <c r="F244" s="122"/>
      <c r="G244" s="220"/>
      <c r="H244" s="220">
        <f>15000</f>
        <v>15000</v>
      </c>
      <c r="I244" s="85">
        <v>7000</v>
      </c>
      <c r="J244" s="509">
        <f t="shared" si="68"/>
        <v>165495.666666667</v>
      </c>
      <c r="K244" s="85"/>
      <c r="L244" s="85">
        <v>5000</v>
      </c>
      <c r="M244" s="85">
        <v>6125</v>
      </c>
      <c r="N244" s="85">
        <v>10000</v>
      </c>
      <c r="O244" s="85">
        <v>17496.88</v>
      </c>
      <c r="P244" s="85"/>
      <c r="Q244" s="85">
        <v>13102.402</v>
      </c>
      <c r="R244" s="85">
        <v>11479.6533333333</v>
      </c>
      <c r="S244" s="510">
        <f>SUM(K244:R244)</f>
        <v>63203.9353333333</v>
      </c>
      <c r="T244" s="85">
        <v>102291.731333334</v>
      </c>
      <c r="U244" s="509">
        <f t="shared" si="62"/>
        <v>102291.731333334</v>
      </c>
    </row>
    <row r="245" ht="30.75" customHeight="1" spans="1:21">
      <c r="A245" s="27"/>
      <c r="B245" s="8" t="s">
        <v>120</v>
      </c>
      <c r="C245" s="28" t="s">
        <v>405</v>
      </c>
      <c r="D245" s="29"/>
      <c r="E245" s="93">
        <f>SUM(E179:E244)</f>
        <v>23784339.1666667</v>
      </c>
      <c r="F245" s="93">
        <f t="shared" ref="F245:U245" si="69">SUM(F179:F244)</f>
        <v>0</v>
      </c>
      <c r="G245" s="93">
        <f t="shared" si="69"/>
        <v>0</v>
      </c>
      <c r="H245" s="93">
        <f t="shared" si="69"/>
        <v>3135000</v>
      </c>
      <c r="I245" s="93">
        <f t="shared" si="69"/>
        <v>176000</v>
      </c>
      <c r="J245" s="93">
        <f t="shared" si="69"/>
        <v>27095339.1666667</v>
      </c>
      <c r="K245" s="93">
        <f t="shared" si="69"/>
        <v>0</v>
      </c>
      <c r="L245" s="93">
        <f t="shared" si="69"/>
        <v>1980500</v>
      </c>
      <c r="M245" s="93">
        <f t="shared" si="69"/>
        <v>3417701.04</v>
      </c>
      <c r="N245" s="93">
        <f t="shared" si="69"/>
        <v>952000</v>
      </c>
      <c r="O245" s="93">
        <f t="shared" si="69"/>
        <v>664204.64</v>
      </c>
      <c r="P245" s="93">
        <f t="shared" si="69"/>
        <v>182055.283333333</v>
      </c>
      <c r="Q245" s="93">
        <f t="shared" si="69"/>
        <v>3440246.05963669</v>
      </c>
      <c r="R245" s="93">
        <f t="shared" si="69"/>
        <v>1902747.13333333</v>
      </c>
      <c r="S245" s="93">
        <f t="shared" si="69"/>
        <v>12539454.1563034</v>
      </c>
      <c r="T245" s="93">
        <v>14280876.2310133</v>
      </c>
      <c r="U245" s="93">
        <f t="shared" si="69"/>
        <v>14555885.0103633</v>
      </c>
    </row>
    <row r="246" ht="30" customHeight="1" spans="1:21">
      <c r="A246" s="4"/>
      <c r="B246" s="30" t="s">
        <v>406</v>
      </c>
      <c r="C246" s="31">
        <f>C47+C57+C72+C77+C91+C105+C120+C130+C144+C161+C176+C245</f>
        <v>195</v>
      </c>
      <c r="D246" s="32"/>
      <c r="E246" s="227">
        <f>E245+E176+E161+E154+E144+E130+E120+E105+E91+E77+E72+E57+E47</f>
        <v>99617811.1638882</v>
      </c>
      <c r="F246" s="227">
        <f t="shared" ref="F246:U246" si="70">F245+F176+F161+F154+F144+F130+F120+F105+F91+F77+F72+F57+F47</f>
        <v>214248.31</v>
      </c>
      <c r="G246" s="227">
        <f t="shared" si="70"/>
        <v>9696666.66666667</v>
      </c>
      <c r="H246" s="227">
        <f t="shared" si="70"/>
        <v>7075000</v>
      </c>
      <c r="I246" s="227">
        <f t="shared" si="70"/>
        <v>3100719.37833333</v>
      </c>
      <c r="J246" s="227">
        <f t="shared" si="70"/>
        <v>119704445.518888</v>
      </c>
      <c r="K246" s="227">
        <f t="shared" si="70"/>
        <v>0</v>
      </c>
      <c r="L246" s="227">
        <f t="shared" si="70"/>
        <v>8015500</v>
      </c>
      <c r="M246" s="227">
        <f t="shared" si="70"/>
        <v>10754395.4233333</v>
      </c>
      <c r="N246" s="227">
        <f t="shared" si="70"/>
        <v>3199000</v>
      </c>
      <c r="O246" s="227">
        <f t="shared" si="70"/>
        <v>1093983.82</v>
      </c>
      <c r="P246" s="227">
        <f t="shared" si="70"/>
        <v>689591.03125</v>
      </c>
      <c r="Q246" s="227">
        <f t="shared" si="70"/>
        <v>16728101.7418188</v>
      </c>
      <c r="R246" s="227">
        <f t="shared" si="70"/>
        <v>7706696.73333328</v>
      </c>
      <c r="S246" s="227">
        <f t="shared" si="70"/>
        <v>48187268.7497355</v>
      </c>
      <c r="T246" s="227">
        <v>71998730.2113102</v>
      </c>
      <c r="U246" s="227">
        <f t="shared" si="70"/>
        <v>71517176.7691528</v>
      </c>
    </row>
    <row r="247" ht="26" customHeight="1" spans="1:21">
      <c r="B247" s="33"/>
      <c r="D247" s="34"/>
      <c r="E247" s="34"/>
      <c r="F247" s="34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9"/>
      <c r="R247" s="229"/>
      <c r="S247" s="229"/>
      <c r="T247" s="229"/>
      <c r="U247" s="229"/>
    </row>
    <row r="248" ht="29" customHeight="1" spans="1:21">
      <c r="B248" s="33"/>
      <c r="C248" s="34"/>
      <c r="D248" s="34"/>
      <c r="E248" s="34"/>
      <c r="F248" s="34"/>
      <c r="G248" s="228"/>
      <c r="H248" s="228"/>
      <c r="J248" s="228" t="s">
        <v>407</v>
      </c>
      <c r="K248" s="228"/>
      <c r="L248" s="228"/>
      <c r="M248" s="228"/>
      <c r="N248" s="228"/>
      <c r="O248" s="228"/>
      <c r="P248" s="228"/>
      <c r="Q248" s="229"/>
      <c r="R248" s="229"/>
      <c r="S248" s="229"/>
      <c r="T248" s="229"/>
      <c r="U248" s="35"/>
    </row>
    <row r="249" customHeight="1" spans="1:21">
      <c r="I249" s="1198"/>
      <c r="S249" s="35"/>
      <c r="U249" s="328"/>
    </row>
    <row r="250" customHeight="1" spans="1:21">
      <c r="U250" s="35"/>
    </row>
    <row r="251" customHeight="1" spans="1:21">
      <c r="J251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8" max="20" man="1"/>
    <brk id="105" max="20" man="1"/>
    <brk id="155" max="20" man="1"/>
    <brk id="205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0"/>
  <sheetViews>
    <sheetView tabSelected="1" zoomScale="91" zoomScaleNormal="91" topLeftCell="A52" workbookViewId="0">
      <selection activeCell="A62" sqref="A62:H62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0.3727272727273" customWidth="1"/>
    <col min="8" max="8" width="20.1818181818182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7" customHeight="1" spans="1:8">
      <c r="B1" s="1167"/>
      <c r="C1" s="1167"/>
      <c r="D1" s="1167"/>
      <c r="E1" s="1167"/>
      <c r="F1" s="1167"/>
      <c r="G1" s="1167"/>
      <c r="H1" s="1167"/>
    </row>
    <row r="2" ht="23" customHeight="1" spans="1:8">
      <c r="A2" s="1168" t="s">
        <v>0</v>
      </c>
      <c r="B2" s="1168"/>
      <c r="C2" s="1168"/>
      <c r="D2" s="1168"/>
      <c r="E2" s="1168"/>
      <c r="F2" s="1168"/>
      <c r="G2" s="1168"/>
      <c r="H2" s="1168"/>
    </row>
    <row r="3" ht="30" customHeight="1" spans="1:8">
      <c r="A3" s="1168" t="s">
        <v>408</v>
      </c>
      <c r="B3" s="1168"/>
      <c r="C3" s="1168"/>
      <c r="D3" s="1168"/>
      <c r="E3" s="1168"/>
      <c r="F3" s="1168"/>
      <c r="G3" s="1168"/>
      <c r="H3" s="1168"/>
    </row>
    <row r="4" ht="15.6" hidden="1" customHeight="1" spans="1:8">
      <c r="A4" s="1169" t="s">
        <v>409</v>
      </c>
      <c r="B4" s="1169"/>
      <c r="C4" s="1169"/>
      <c r="D4" s="1169"/>
      <c r="E4" s="1169"/>
      <c r="F4" s="1169"/>
      <c r="G4" s="1170"/>
      <c r="H4" s="1170"/>
    </row>
    <row r="5" ht="9.6" hidden="1" customHeight="1" spans="1:8">
      <c r="A5" s="1169" t="s">
        <v>410</v>
      </c>
      <c r="B5" s="1169"/>
      <c r="C5" s="1169"/>
      <c r="D5" s="1169"/>
      <c r="E5" s="1169"/>
      <c r="F5" s="1169"/>
      <c r="G5" s="1170"/>
      <c r="H5" s="1170"/>
    </row>
    <row r="6" ht="29.25" hidden="1" customHeight="1" spans="1:8">
      <c r="A6" s="1169" t="s">
        <v>411</v>
      </c>
      <c r="B6" s="1169"/>
      <c r="C6" s="1169"/>
      <c r="D6" s="1169"/>
      <c r="E6" s="1169"/>
      <c r="F6" s="1169"/>
      <c r="G6" s="1170"/>
      <c r="H6" s="1170"/>
    </row>
    <row r="7" ht="25.15" hidden="1" customHeight="1" spans="1:8">
      <c r="A7" s="1169" t="s">
        <v>412</v>
      </c>
      <c r="B7" s="1169"/>
      <c r="C7" s="1169"/>
      <c r="D7" s="1169"/>
      <c r="E7" s="1169"/>
      <c r="F7" s="1170"/>
      <c r="G7" s="1170"/>
      <c r="H7" s="1170"/>
    </row>
    <row r="8" ht="24.75" hidden="1" customHeight="1" spans="1:8">
      <c r="A8" s="1170"/>
      <c r="B8" s="1170"/>
      <c r="C8" s="1170"/>
      <c r="D8" s="1170"/>
      <c r="E8" s="1170"/>
      <c r="F8" s="1170"/>
      <c r="G8" s="1170"/>
      <c r="H8" s="1170"/>
    </row>
    <row r="9" ht="24" hidden="1" customHeight="1" spans="1:8">
      <c r="A9" s="1171" t="s">
        <v>413</v>
      </c>
      <c r="B9" s="1171"/>
      <c r="C9" s="1171"/>
      <c r="D9" s="1171"/>
      <c r="E9" s="1171"/>
      <c r="F9" s="1171"/>
      <c r="G9" s="1170"/>
      <c r="H9" s="1170"/>
    </row>
    <row r="10" ht="13.15" hidden="1" customHeight="1" spans="1:8">
      <c r="A10" s="1169" t="s">
        <v>414</v>
      </c>
      <c r="B10" s="1169"/>
      <c r="C10" s="1169"/>
      <c r="D10" s="1169"/>
      <c r="E10" s="1169"/>
      <c r="F10" s="1169"/>
      <c r="G10" s="1169"/>
      <c r="H10" s="1169"/>
    </row>
    <row r="11" ht="18" hidden="1" customHeight="1" spans="1:8">
      <c r="A11" s="1172"/>
      <c r="B11" s="1170"/>
      <c r="C11" s="1170"/>
      <c r="D11" s="1170"/>
      <c r="E11" s="1170"/>
      <c r="F11" s="1170"/>
      <c r="G11" s="1170"/>
      <c r="H11" s="1170"/>
    </row>
    <row r="12" ht="18.75" hidden="1" customHeight="1" spans="1:8">
      <c r="A12" s="1172"/>
      <c r="B12" s="1170"/>
      <c r="C12" s="1170"/>
      <c r="D12" s="1170"/>
      <c r="E12" s="1170"/>
      <c r="F12" s="1170"/>
      <c r="G12" s="1170"/>
      <c r="H12" s="1170"/>
    </row>
    <row r="13" ht="30" customHeight="1" spans="1:8">
      <c r="A13" s="181" t="s">
        <v>415</v>
      </c>
      <c r="B13" s="181"/>
      <c r="C13" s="181" t="s">
        <v>416</v>
      </c>
      <c r="D13" s="181"/>
      <c r="E13" s="181"/>
      <c r="F13" s="857"/>
      <c r="G13" s="1173"/>
      <c r="H13" s="1170"/>
    </row>
    <row r="14" ht="20.25" customHeight="1" spans="1:8">
      <c r="A14" s="181" t="s">
        <v>417</v>
      </c>
      <c r="B14" s="857"/>
      <c r="C14" s="181" t="s">
        <v>418</v>
      </c>
      <c r="D14" s="181"/>
      <c r="E14" s="181"/>
      <c r="F14" s="181"/>
      <c r="G14" s="46"/>
      <c r="H14" s="1170"/>
    </row>
    <row r="15" ht="21" customHeight="1" spans="1:8">
      <c r="A15" s="181" t="s">
        <v>419</v>
      </c>
      <c r="B15" s="181"/>
      <c r="C15" s="181" t="s">
        <v>420</v>
      </c>
      <c r="D15" s="181"/>
      <c r="E15" s="181"/>
      <c r="F15" s="181"/>
      <c r="G15" s="46"/>
      <c r="H15" s="1170"/>
    </row>
    <row r="16" ht="21" customHeight="1" spans="1:8">
      <c r="A16" s="181" t="s">
        <v>421</v>
      </c>
      <c r="B16" s="181"/>
      <c r="C16" s="181" t="s">
        <v>422</v>
      </c>
      <c r="D16" s="181"/>
      <c r="E16" s="857"/>
      <c r="F16" s="857"/>
      <c r="G16" s="1173"/>
      <c r="H16" s="1170"/>
    </row>
    <row r="17" ht="11" customHeight="1" spans="1:10">
      <c r="A17" s="46"/>
      <c r="B17" s="46"/>
      <c r="C17" s="46"/>
      <c r="D17" s="46"/>
      <c r="E17" s="1173"/>
      <c r="F17" s="1173"/>
      <c r="G17" s="1173"/>
      <c r="H17" s="1170"/>
    </row>
    <row r="18" ht="33" customHeight="1" spans="1:10">
      <c r="A18" s="258" t="s">
        <v>423</v>
      </c>
      <c r="B18" s="258"/>
      <c r="C18" s="1174"/>
      <c r="D18" s="1174"/>
      <c r="E18" s="1174"/>
      <c r="F18" s="1174"/>
      <c r="G18" s="1173"/>
      <c r="H18" s="1170"/>
    </row>
    <row r="19" ht="26" customHeight="1" spans="1:10">
      <c r="A19" s="46" t="s">
        <v>424</v>
      </c>
      <c r="B19" s="46"/>
      <c r="C19" s="1173"/>
      <c r="D19" s="1173"/>
      <c r="E19" s="1173"/>
      <c r="F19" s="1173"/>
      <c r="G19" s="623" t="s">
        <v>425</v>
      </c>
      <c r="H19" s="623" t="s">
        <v>425</v>
      </c>
    </row>
    <row r="20" ht="21" customHeight="1" spans="1:10">
      <c r="A20" s="1175" t="s">
        <v>426</v>
      </c>
      <c r="B20" s="1175"/>
      <c r="C20" s="1175"/>
      <c r="D20" s="1175"/>
      <c r="E20" s="1175"/>
      <c r="F20" s="1175"/>
      <c r="G20" s="1175"/>
      <c r="H20" s="1176">
        <f>'APRIL 2026'!J246</f>
        <v>119704445.518888</v>
      </c>
      <c r="J20" s="400"/>
    </row>
    <row r="21" ht="9" customHeight="1" spans="1:10">
      <c r="A21" s="1175"/>
      <c r="B21" s="1175"/>
      <c r="C21" s="1175"/>
      <c r="D21" s="1175"/>
      <c r="E21" s="1175"/>
      <c r="F21" s="1175"/>
      <c r="G21" s="1175"/>
      <c r="H21" s="1176"/>
      <c r="J21" s="400"/>
    </row>
    <row r="22" ht="21.75" customHeight="1" spans="1:10">
      <c r="A22" s="106" t="s">
        <v>427</v>
      </c>
      <c r="B22" s="106"/>
      <c r="C22" s="106"/>
      <c r="D22" s="106"/>
      <c r="E22" s="106"/>
      <c r="F22" s="106"/>
      <c r="G22" s="1177"/>
      <c r="H22" s="46"/>
      <c r="I22" s="400"/>
    </row>
    <row r="23" ht="18.75" customHeight="1" spans="1:10">
      <c r="A23" s="1178" t="s">
        <v>428</v>
      </c>
      <c r="B23" s="1178"/>
      <c r="C23" s="1178"/>
      <c r="D23" s="1178"/>
      <c r="E23" s="1178"/>
      <c r="F23" s="1178"/>
      <c r="G23" s="123">
        <f>'APRIL 2026'!L246</f>
        <v>8015500</v>
      </c>
      <c r="H23" s="46"/>
      <c r="J23" s="400"/>
    </row>
    <row r="24" ht="19.5" customHeight="1" spans="1:10">
      <c r="A24" s="1178" t="s">
        <v>12</v>
      </c>
      <c r="B24" s="1178"/>
      <c r="C24" s="1178"/>
      <c r="D24" s="1178"/>
      <c r="E24" s="1178"/>
      <c r="F24" s="1178"/>
      <c r="G24" s="123">
        <f>'APRIL 2026'!M246</f>
        <v>10754395.4233333</v>
      </c>
      <c r="H24" s="46"/>
    </row>
    <row r="25" ht="19.5" customHeight="1" spans="1:10">
      <c r="A25" s="1178" t="s">
        <v>429</v>
      </c>
      <c r="B25" s="1178"/>
      <c r="C25" s="1178"/>
      <c r="D25" s="1178"/>
      <c r="E25" s="1178"/>
      <c r="F25" s="1178"/>
      <c r="G25" s="123">
        <f>'APRIL 2026'!N246</f>
        <v>3199000</v>
      </c>
      <c r="H25" s="46"/>
    </row>
    <row r="26" ht="19.5" customHeight="1" spans="1:10">
      <c r="A26" s="1178" t="s">
        <v>12</v>
      </c>
      <c r="B26" s="1178"/>
      <c r="C26" s="1178"/>
      <c r="D26" s="1178"/>
      <c r="E26" s="1178"/>
      <c r="F26" s="1178"/>
      <c r="G26" s="123">
        <f>'APRIL 2026'!O246</f>
        <v>1093983.82</v>
      </c>
      <c r="H26" s="46"/>
    </row>
    <row r="27" ht="20.25" customHeight="1" spans="1:10">
      <c r="A27" s="1179" t="s">
        <v>430</v>
      </c>
      <c r="B27" s="1179"/>
      <c r="C27" s="1179"/>
      <c r="D27" s="1179"/>
      <c r="E27" s="1179"/>
      <c r="F27" s="1179"/>
      <c r="G27" s="123">
        <f>'APRIL 2026'!P246</f>
        <v>689591.03125</v>
      </c>
      <c r="H27" s="46"/>
    </row>
    <row r="28" ht="20.25" customHeight="1" spans="1:10">
      <c r="A28" s="1178" t="s">
        <v>431</v>
      </c>
      <c r="B28" s="1178"/>
      <c r="C28" s="1178"/>
      <c r="D28" s="1178"/>
      <c r="E28" s="1178"/>
      <c r="F28" s="1178"/>
      <c r="G28" s="123">
        <f>'APRIL 2026'!Q246</f>
        <v>16728101.7418188</v>
      </c>
      <c r="H28" s="46"/>
    </row>
    <row r="29" ht="21" customHeight="1" spans="1:10">
      <c r="A29" s="1178" t="s">
        <v>432</v>
      </c>
      <c r="B29" s="1178"/>
      <c r="C29" s="1178"/>
      <c r="D29" s="1178"/>
      <c r="E29" s="1178"/>
      <c r="F29" s="1178"/>
      <c r="G29" s="1180">
        <f>'APRIL 2026'!R246</f>
        <v>7706696.73333328</v>
      </c>
      <c r="H29" s="46"/>
    </row>
    <row r="30" ht="28.5" customHeight="1" spans="1:10">
      <c r="A30" s="1178" t="s">
        <v>433</v>
      </c>
      <c r="B30" s="1178"/>
      <c r="C30" s="1178"/>
      <c r="D30" s="1178"/>
      <c r="E30" s="1178"/>
      <c r="F30" s="1178"/>
      <c r="H30" s="123">
        <f>SUM(G23:G29)</f>
        <v>48187268.7497354</v>
      </c>
      <c r="I30" s="402"/>
    </row>
    <row r="31" ht="20.25" customHeight="1" spans="1:10">
      <c r="A31" s="1178" t="s">
        <v>434</v>
      </c>
      <c r="B31" s="1178"/>
      <c r="C31" s="1178"/>
      <c r="D31" s="1178"/>
      <c r="E31" s="1178"/>
      <c r="F31" s="1178"/>
      <c r="G31" s="258"/>
      <c r="H31" s="107">
        <f>H20-H30</f>
        <v>71517176.7691528</v>
      </c>
      <c r="I31" s="213"/>
      <c r="J31" s="213"/>
    </row>
    <row r="32" ht="21" customHeight="1" spans="1:10">
      <c r="A32" s="1178" t="s">
        <v>435</v>
      </c>
      <c r="B32" s="1178"/>
      <c r="C32" s="1178"/>
      <c r="D32" s="1178"/>
      <c r="E32" s="1178"/>
      <c r="F32" s="1178"/>
      <c r="G32" s="258"/>
      <c r="H32" s="697">
        <f>'APRIL 2026'!T246</f>
        <v>71998730.2113102</v>
      </c>
    </row>
    <row r="33" ht="21" customHeight="1" spans="1:17">
      <c r="A33" s="1178" t="s">
        <v>436</v>
      </c>
      <c r="B33" s="1178"/>
      <c r="C33" s="1178"/>
      <c r="D33" s="1178"/>
      <c r="E33" s="1178"/>
      <c r="F33" s="1178"/>
      <c r="G33" s="258"/>
      <c r="H33" s="1181">
        <f>H31-H32</f>
        <v>-481553.442157358</v>
      </c>
    </row>
    <row r="34" ht="24" customHeight="1" spans="1:17">
      <c r="A34" s="1175" t="s">
        <v>437</v>
      </c>
      <c r="B34" s="1175"/>
      <c r="C34" s="1175"/>
      <c r="D34" s="1175"/>
      <c r="E34" s="1175"/>
      <c r="F34" s="1175"/>
      <c r="G34" s="1175"/>
      <c r="H34" s="46"/>
    </row>
    <row r="35" ht="21.75" customHeight="1" spans="1:17">
      <c r="A35" s="1178" t="s">
        <v>438</v>
      </c>
      <c r="B35" s="1178"/>
      <c r="C35" s="1178"/>
      <c r="D35" s="1178"/>
      <c r="E35" s="1178"/>
      <c r="F35" s="1178"/>
      <c r="G35" s="1178"/>
      <c r="H35" s="1182">
        <v>552777.77</v>
      </c>
      <c r="I35" s="396"/>
      <c r="J35" s="402"/>
    </row>
    <row r="36" ht="21.75" customHeight="1" spans="1:17">
      <c r="A36" s="1178" t="s">
        <v>439</v>
      </c>
      <c r="B36" s="1178"/>
      <c r="C36" s="1178"/>
      <c r="D36" s="1178"/>
      <c r="E36" s="1178"/>
      <c r="F36" s="1178"/>
      <c r="G36" s="1178"/>
      <c r="H36" s="1182">
        <f>41910-27128.75</f>
        <v>14781.25</v>
      </c>
      <c r="I36" s="396"/>
      <c r="J36" s="402"/>
    </row>
    <row r="37" ht="21.75" customHeight="1" spans="1:17">
      <c r="A37" s="1178" t="s">
        <v>440</v>
      </c>
      <c r="B37" s="1178"/>
      <c r="C37" s="1178"/>
      <c r="D37" s="1178"/>
      <c r="E37" s="1178"/>
      <c r="F37" s="1178"/>
      <c r="G37" s="1178"/>
      <c r="H37" s="1182">
        <v>960092.25</v>
      </c>
      <c r="I37" s="396"/>
      <c r="J37" s="402"/>
    </row>
    <row r="38" ht="21.75" customHeight="1" spans="1:17">
      <c r="A38" s="1178" t="s">
        <v>441</v>
      </c>
      <c r="B38" s="1178"/>
      <c r="C38" s="1178"/>
      <c r="D38" s="1178"/>
      <c r="E38" s="1178"/>
      <c r="F38" s="1178"/>
      <c r="G38" s="1178"/>
      <c r="H38" s="1182">
        <v>54540.92</v>
      </c>
      <c r="I38" s="402"/>
      <c r="J38" s="402"/>
    </row>
    <row r="39" ht="21.75" customHeight="1" spans="1:17">
      <c r="A39" s="1178" t="s">
        <v>442</v>
      </c>
      <c r="B39" s="1178"/>
      <c r="C39" s="1178"/>
      <c r="D39" s="1178"/>
      <c r="E39" s="1178"/>
      <c r="F39" s="1178"/>
      <c r="G39" s="1178"/>
      <c r="H39" s="1182">
        <v>-685455.22</v>
      </c>
      <c r="I39" s="402"/>
      <c r="J39" s="402"/>
    </row>
    <row r="40" ht="21.75" customHeight="1" spans="1:17">
      <c r="A40" s="1178" t="s">
        <v>443</v>
      </c>
      <c r="B40" s="1178"/>
      <c r="C40" s="1178"/>
      <c r="D40" s="1178"/>
      <c r="E40" s="1178"/>
      <c r="F40" s="1178"/>
      <c r="G40" s="1178"/>
      <c r="H40" s="1182">
        <v>-388557.34</v>
      </c>
      <c r="I40" s="402"/>
      <c r="J40" s="402"/>
    </row>
    <row r="41" ht="21.75" customHeight="1" spans="1:17">
      <c r="A41" s="1178" t="s">
        <v>444</v>
      </c>
      <c r="B41" s="1178"/>
      <c r="C41" s="1178"/>
      <c r="D41" s="1178"/>
      <c r="E41" s="1178"/>
      <c r="F41" s="1178"/>
      <c r="G41" s="1178"/>
      <c r="H41" s="1182">
        <v>-26626.19</v>
      </c>
      <c r="I41" s="402"/>
      <c r="J41" s="402"/>
    </row>
    <row r="42" ht="24" customHeight="1" spans="1:17">
      <c r="H42" s="1183">
        <f>SUM(H35:H41)</f>
        <v>481553.44</v>
      </c>
      <c r="I42" s="402"/>
      <c r="J42" s="396"/>
      <c r="K42" s="400"/>
      <c r="L42" s="396"/>
      <c r="M42" s="396"/>
      <c r="N42" s="400"/>
      <c r="P42" s="1184"/>
      <c r="Q42" s="400"/>
    </row>
    <row r="43" ht="9" hidden="1" customHeight="1" spans="1:17">
      <c r="H43" s="1185"/>
      <c r="I43" s="402"/>
      <c r="J43" s="396"/>
      <c r="K43" s="400"/>
      <c r="L43" s="396"/>
      <c r="M43" s="396"/>
      <c r="N43" s="400"/>
      <c r="P43" s="1184"/>
      <c r="Q43" s="400"/>
    </row>
    <row r="44" ht="21" customHeight="1" spans="1:17">
      <c r="A44" s="1178"/>
      <c r="B44" s="1178"/>
      <c r="C44" s="1178"/>
      <c r="D44" s="1178"/>
      <c r="E44" s="1178"/>
      <c r="F44" s="1178"/>
      <c r="G44" s="1178"/>
      <c r="H44" s="1185"/>
      <c r="I44" s="402"/>
      <c r="J44" s="396"/>
      <c r="K44" s="400"/>
      <c r="L44" s="396"/>
      <c r="M44" s="396"/>
      <c r="N44" s="400"/>
      <c r="P44" s="1184"/>
      <c r="Q44" s="400"/>
    </row>
    <row r="45" ht="23" customHeight="1" spans="1:17">
      <c r="A45" s="46"/>
      <c r="B45" s="46"/>
      <c r="C45" s="46"/>
      <c r="D45" s="46"/>
      <c r="E45" s="1186" t="s">
        <v>19</v>
      </c>
      <c r="F45" s="58"/>
      <c r="G45" s="58" t="s">
        <v>20</v>
      </c>
      <c r="H45" s="58"/>
      <c r="I45" s="402"/>
      <c r="J45" s="402"/>
      <c r="K45" s="400"/>
    </row>
    <row r="46" ht="18.6" customHeight="1" spans="1:17">
      <c r="A46" s="46"/>
      <c r="B46" s="46"/>
      <c r="C46" s="46"/>
      <c r="D46" s="46"/>
      <c r="E46" s="58" t="s">
        <v>445</v>
      </c>
      <c r="F46" s="118" t="s">
        <v>21</v>
      </c>
      <c r="G46" s="58" t="s">
        <v>445</v>
      </c>
      <c r="H46" s="118" t="s">
        <v>21</v>
      </c>
      <c r="I46" s="402"/>
      <c r="J46" s="402"/>
    </row>
    <row r="47" ht="28.5" customHeight="1" spans="1:17">
      <c r="A47" s="50">
        <v>1</v>
      </c>
      <c r="B47" s="171" t="s">
        <v>446</v>
      </c>
      <c r="C47" s="1178"/>
      <c r="D47" s="1178"/>
      <c r="E47" s="49">
        <v>32</v>
      </c>
      <c r="F47" s="51">
        <f>'APRIL 2026'!T47</f>
        <v>17375056.0095</v>
      </c>
      <c r="G47" s="49">
        <f>'APRIL 2026'!C47</f>
        <v>40</v>
      </c>
      <c r="H47" s="51">
        <f>'APRIL 2026'!U47</f>
        <v>17367965.5361667</v>
      </c>
      <c r="I47" s="402"/>
      <c r="J47" s="402"/>
    </row>
    <row r="48" ht="21.75" customHeight="1" spans="1:17">
      <c r="A48" s="50">
        <v>2</v>
      </c>
      <c r="B48" s="171" t="s">
        <v>447</v>
      </c>
      <c r="C48" s="1178"/>
      <c r="D48" s="1178"/>
      <c r="E48" s="49">
        <v>3</v>
      </c>
      <c r="F48" s="51">
        <f>'APRIL 2026'!T57</f>
        <v>2350145.03398333</v>
      </c>
      <c r="G48" s="49">
        <f>'APRIL 2026'!C57</f>
        <v>7</v>
      </c>
      <c r="H48" s="51">
        <f>'APRIL 2026'!U57</f>
        <v>2370073.78398333</v>
      </c>
      <c r="I48" s="402"/>
      <c r="J48" s="402"/>
    </row>
    <row r="49" ht="24.75" customHeight="1" spans="1:14">
      <c r="A49" s="50">
        <v>3</v>
      </c>
      <c r="B49" s="1178" t="s">
        <v>448</v>
      </c>
      <c r="C49" s="1178"/>
      <c r="D49" s="1178"/>
      <c r="E49" s="49">
        <v>11</v>
      </c>
      <c r="F49" s="51">
        <f>'APRIL 2026'!T72</f>
        <v>5789547.44854999</v>
      </c>
      <c r="G49" s="49">
        <f>'APRIL 2026'!C72</f>
        <v>12</v>
      </c>
      <c r="H49" s="51">
        <f>'APRIL 2026'!U72</f>
        <v>5859040.67021642</v>
      </c>
      <c r="I49" s="402"/>
      <c r="J49" s="402"/>
    </row>
    <row r="50" ht="23.25" customHeight="1" spans="1:14">
      <c r="A50" s="50">
        <v>4</v>
      </c>
      <c r="B50" s="1178" t="s">
        <v>449</v>
      </c>
      <c r="C50" s="1178"/>
      <c r="D50" s="1187"/>
      <c r="E50" s="49">
        <v>2</v>
      </c>
      <c r="F50" s="51">
        <f>'APRIL 2026'!T77</f>
        <v>975030.392433328</v>
      </c>
      <c r="G50" s="49">
        <f>'APRIL 2026'!C77</f>
        <v>2</v>
      </c>
      <c r="H50" s="51">
        <f>'APRIL 2026'!U77</f>
        <v>1063323.61409975</v>
      </c>
      <c r="I50" s="402"/>
      <c r="J50" s="402"/>
    </row>
    <row r="51" ht="24" customHeight="1" spans="1:14">
      <c r="A51" s="50">
        <v>5</v>
      </c>
      <c r="B51" s="1178" t="s">
        <v>450</v>
      </c>
      <c r="C51" s="1178"/>
      <c r="D51" s="1187"/>
      <c r="E51" s="49">
        <v>12</v>
      </c>
      <c r="F51" s="51">
        <f>'APRIL 2026'!T91</f>
        <v>3969335.69077191</v>
      </c>
      <c r="G51" s="49">
        <f>'APRIL 2026'!C91</f>
        <v>11</v>
      </c>
      <c r="H51" s="51">
        <f>'APRIL 2026'!U91</f>
        <v>4350693.02944274</v>
      </c>
      <c r="I51" s="402"/>
      <c r="J51" s="402"/>
    </row>
    <row r="52" ht="21" customHeight="1" spans="1:14">
      <c r="A52" s="50">
        <v>6</v>
      </c>
      <c r="B52" s="1178" t="s">
        <v>451</v>
      </c>
      <c r="C52" s="1178"/>
      <c r="D52" s="1187"/>
      <c r="E52" s="49">
        <v>6</v>
      </c>
      <c r="F52" s="51">
        <f>'APRIL 2026'!T105</f>
        <v>4736104.08717499</v>
      </c>
      <c r="G52" s="49">
        <f>'APRIL 2026'!C105</f>
        <v>11</v>
      </c>
      <c r="H52" s="51">
        <f>'APRIL 2026'!U105</f>
        <v>4728304.08717499</v>
      </c>
      <c r="I52" s="402"/>
      <c r="J52" s="402"/>
    </row>
    <row r="53" ht="23.25" customHeight="1" spans="1:14">
      <c r="A53" s="50">
        <v>7</v>
      </c>
      <c r="B53" s="1178" t="s">
        <v>452</v>
      </c>
      <c r="C53" s="1178"/>
      <c r="D53" s="1178"/>
      <c r="E53" s="49">
        <v>11</v>
      </c>
      <c r="F53" s="51">
        <f>'APRIL 2026'!T120</f>
        <v>6209038.36169167</v>
      </c>
      <c r="G53" s="49">
        <f>'APRIL 2026'!C120</f>
        <v>12</v>
      </c>
      <c r="H53" s="51">
        <f>'APRIL 2026'!U120</f>
        <v>6156538.36169167</v>
      </c>
      <c r="I53" s="402"/>
      <c r="J53" s="402"/>
    </row>
    <row r="54" ht="25.5" customHeight="1" spans="1:14">
      <c r="A54" s="50">
        <v>8</v>
      </c>
      <c r="B54" s="1178" t="s">
        <v>453</v>
      </c>
      <c r="C54" s="1178"/>
      <c r="D54" s="1178"/>
      <c r="E54" s="49">
        <v>4</v>
      </c>
      <c r="F54" s="51">
        <f>'APRIL 2026'!T130</f>
        <v>2961824.22320416</v>
      </c>
      <c r="G54" s="49">
        <f>'APRIL 2026'!C130</f>
        <v>7</v>
      </c>
      <c r="H54" s="51">
        <f>'APRIL 2026'!U130</f>
        <v>2961824.22320416</v>
      </c>
      <c r="I54" s="402"/>
      <c r="J54" s="402"/>
    </row>
    <row r="55" ht="21.75" customHeight="1" spans="1:14">
      <c r="A55" s="50">
        <v>9</v>
      </c>
      <c r="B55" s="1178" t="s">
        <v>454</v>
      </c>
      <c r="C55" s="1178"/>
      <c r="D55" s="1178"/>
      <c r="E55" s="49">
        <v>7</v>
      </c>
      <c r="F55" s="51">
        <f>'APRIL 2026'!T144</f>
        <v>5317116.04541667</v>
      </c>
      <c r="G55" s="49">
        <f>'APRIL 2026'!C144</f>
        <v>11</v>
      </c>
      <c r="H55" s="51">
        <f>'APRIL 2026'!U144</f>
        <v>4133412.68523889</v>
      </c>
      <c r="I55" s="402"/>
      <c r="J55" s="402"/>
    </row>
    <row r="56" ht="21.75" customHeight="1" spans="1:14">
      <c r="A56" s="50">
        <v>10</v>
      </c>
      <c r="B56" s="1178" t="s">
        <v>455</v>
      </c>
      <c r="C56" s="1178"/>
      <c r="D56" s="1178"/>
      <c r="E56" s="49">
        <v>2</v>
      </c>
      <c r="F56" s="51">
        <f>'APRIL 2026'!T154</f>
        <v>2555346.34798333</v>
      </c>
      <c r="G56" s="49">
        <f>'APRIL 2026'!C154</f>
        <v>8</v>
      </c>
      <c r="H56" s="51">
        <f>'APRIL 2026'!U154</f>
        <v>2555346.34798333</v>
      </c>
      <c r="I56" s="402"/>
      <c r="J56" s="402"/>
    </row>
    <row r="57" ht="21.75" customHeight="1" spans="1:14">
      <c r="A57" s="50">
        <v>11</v>
      </c>
      <c r="B57" s="1178" t="s">
        <v>456</v>
      </c>
      <c r="C57" s="1178"/>
      <c r="D57" s="1178"/>
      <c r="E57" s="49">
        <v>3</v>
      </c>
      <c r="F57" s="51">
        <f>'APRIL 2026'!T161</f>
        <v>1159855.3662</v>
      </c>
      <c r="G57" s="49">
        <v>5</v>
      </c>
      <c r="H57" s="51">
        <f>'APRIL 2026'!U161</f>
        <v>1107855.3662</v>
      </c>
      <c r="I57" s="402"/>
      <c r="J57" s="402"/>
    </row>
    <row r="58" ht="24.75" customHeight="1" spans="1:14">
      <c r="A58" s="50">
        <v>12</v>
      </c>
      <c r="B58" s="1178" t="s">
        <v>457</v>
      </c>
      <c r="C58" s="1178"/>
      <c r="D58" s="1178"/>
      <c r="E58" s="49">
        <v>10</v>
      </c>
      <c r="F58" s="51">
        <f>'APRIL 2026'!T176</f>
        <v>4319454.9733875</v>
      </c>
      <c r="G58" s="1188" t="str">
        <f>'APRIL 2026'!C176</f>
        <v>12</v>
      </c>
      <c r="H58" s="51">
        <f>'APRIL 2026'!U176</f>
        <v>4306914.0533875</v>
      </c>
      <c r="I58" s="402"/>
      <c r="J58" s="402"/>
    </row>
    <row r="59" ht="24.75" customHeight="1" spans="1:14">
      <c r="A59" s="50">
        <v>13</v>
      </c>
      <c r="B59" s="1178" t="s">
        <v>458</v>
      </c>
      <c r="C59" s="1178"/>
      <c r="D59" s="1178"/>
      <c r="E59" s="49">
        <v>61</v>
      </c>
      <c r="F59" s="51">
        <f>'APRIL 2026'!T245</f>
        <v>14280876.2310133</v>
      </c>
      <c r="G59" s="1188" t="str">
        <f>'APRIL 2026'!C245</f>
        <v>66</v>
      </c>
      <c r="H59" s="51">
        <f>'APRIL 2026'!U245</f>
        <v>14555885.0103633</v>
      </c>
      <c r="I59" s="402"/>
      <c r="J59" s="402"/>
    </row>
    <row r="60" ht="24" customHeight="1" spans="1:14">
      <c r="A60" s="46"/>
      <c r="B60" s="46"/>
      <c r="C60" s="46"/>
      <c r="D60" s="46"/>
      <c r="E60" s="58">
        <f>SUM(E47:E59)</f>
        <v>164</v>
      </c>
      <c r="F60" s="56">
        <f>SUM(F47:F59)</f>
        <v>71998730.2113102</v>
      </c>
      <c r="G60" s="58">
        <v>199</v>
      </c>
      <c r="H60" s="56">
        <f>SUM(H47:H59)</f>
        <v>71517176.7691528</v>
      </c>
      <c r="I60" s="402"/>
      <c r="J60" s="402"/>
    </row>
    <row r="61" ht="13" customHeight="1" spans="1:14">
      <c r="A61" s="46"/>
      <c r="B61" s="46"/>
      <c r="C61" s="46"/>
      <c r="D61" s="46"/>
      <c r="E61" s="41"/>
      <c r="F61" s="1176"/>
      <c r="G61" s="41"/>
      <c r="H61" s="1176"/>
      <c r="I61" s="402"/>
      <c r="J61" s="402"/>
    </row>
    <row r="62" ht="71" customHeight="1" spans="1:14">
      <c r="A62" s="1179" t="s">
        <v>459</v>
      </c>
      <c r="B62" s="1179"/>
      <c r="C62" s="1179"/>
      <c r="D62" s="1179"/>
      <c r="E62" s="1179"/>
      <c r="F62" s="1179"/>
      <c r="G62" s="1179"/>
      <c r="H62" s="1179"/>
      <c r="I62" s="46"/>
      <c r="J62" s="123"/>
      <c r="K62" s="123"/>
      <c r="L62" s="46"/>
      <c r="M62" s="46"/>
      <c r="N62" s="46"/>
    </row>
    <row r="63" ht="4.5" customHeight="1" spans="1:14">
      <c r="A63" s="1179"/>
      <c r="B63" s="1179"/>
      <c r="C63" s="1179"/>
      <c r="D63" s="1179"/>
      <c r="E63" s="1179"/>
      <c r="F63" s="1179"/>
      <c r="G63" s="1179"/>
      <c r="H63" s="1179"/>
      <c r="I63" s="46"/>
      <c r="J63" s="46"/>
      <c r="K63" s="46"/>
      <c r="L63" s="46"/>
      <c r="M63" s="46"/>
      <c r="N63" s="46"/>
    </row>
    <row r="64" ht="2.25" hidden="1" customHeight="1" spans="1:14">
      <c r="A64" s="1179"/>
      <c r="B64" s="1179"/>
      <c r="C64" s="1179"/>
      <c r="D64" s="1179"/>
      <c r="E64" s="1179"/>
      <c r="F64" s="1179"/>
      <c r="G64" s="1179"/>
      <c r="H64" s="1179"/>
      <c r="I64" s="46"/>
      <c r="J64" s="46"/>
      <c r="K64" s="46"/>
      <c r="L64" s="46"/>
      <c r="M64" s="46"/>
      <c r="N64" s="46"/>
    </row>
    <row r="65" ht="50" customHeight="1" spans="1:11">
      <c r="F65" s="46"/>
      <c r="G65" s="46"/>
      <c r="H65" s="46"/>
    </row>
    <row r="66" ht="17.25" customHeight="1" spans="1:11">
      <c r="A66" s="1175" t="s">
        <v>281</v>
      </c>
      <c r="B66" s="1175"/>
      <c r="C66" s="1175"/>
      <c r="D66" s="1175"/>
      <c r="E66" s="1175"/>
      <c r="F66" s="46"/>
      <c r="G66" s="46"/>
      <c r="H66" s="46"/>
      <c r="I66" s="402"/>
      <c r="K66" s="396"/>
    </row>
    <row r="67" ht="13" spans="1:11">
      <c r="A67" s="263"/>
      <c r="B67" s="263"/>
      <c r="C67" s="263"/>
      <c r="D67" s="263" t="s">
        <v>460</v>
      </c>
      <c r="E67" s="263"/>
      <c r="F67" s="263"/>
      <c r="G67" s="263"/>
      <c r="H67" s="263"/>
      <c r="I67" s="213"/>
      <c r="K67" s="396"/>
    </row>
    <row r="68" spans="1:11">
      <c r="K68" s="396"/>
    </row>
    <row r="69" spans="1:11">
      <c r="K69" s="396"/>
    </row>
    <row r="72" spans="1:11">
      <c r="C72" t="s">
        <v>461</v>
      </c>
    </row>
    <row r="170" spans="3:3">
      <c r="C170">
        <f>10000</f>
        <v>10000</v>
      </c>
    </row>
  </sheetData>
  <mergeCells count="31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G34"/>
    <mergeCell ref="E45:F45"/>
    <mergeCell ref="G45:H45"/>
    <mergeCell ref="B47:D47"/>
    <mergeCell ref="B49:D49"/>
    <mergeCell ref="B50:D50"/>
    <mergeCell ref="B51:D51"/>
    <mergeCell ref="B52:D52"/>
    <mergeCell ref="B59:D59"/>
    <mergeCell ref="A62:H62"/>
    <mergeCell ref="A66:E66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9"/>
  <sheetViews>
    <sheetView topLeftCell="D128" workbookViewId="0">
      <selection activeCell="N134" sqref="N13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7.72727272727273" style="1103" customWidth="1"/>
    <col min="5" max="5" width="14.4545454545455" style="296" customWidth="1"/>
    <col min="6" max="6" width="13.1363636363636" style="296" customWidth="1"/>
    <col min="7" max="7" width="11.1363636363636" style="296" customWidth="1"/>
    <col min="8" max="8" width="14.4272727272727" style="296" customWidth="1"/>
    <col min="9" max="9" width="5.85454545454545" style="296" customWidth="1"/>
    <col min="10" max="10" width="13.9090909090909" style="296" customWidth="1"/>
    <col min="11" max="11" width="14.6363636363636" style="296" customWidth="1"/>
    <col min="12" max="12" width="18.9090909090909" style="296" customWidth="1"/>
    <col min="13" max="13" width="9.57272727272727" style="296" customWidth="1"/>
    <col min="14" max="14" width="15.1363636363636" style="296" customWidth="1"/>
    <col min="15" max="15" width="16.2818181818182" style="808" customWidth="1"/>
    <col min="16" max="16" width="14.7090909090909" style="296" customWidth="1"/>
    <col min="17" max="17" width="12.1818181818182" style="296" customWidth="1"/>
    <col min="18" max="18" width="12.7272727272727" style="296" customWidth="1"/>
    <col min="19" max="19" width="11.3636363636364" style="296" customWidth="1"/>
    <col min="20" max="20" width="12.1818181818182" style="296" customWidth="1"/>
    <col min="21" max="21" width="8.45454545454546" style="296" customWidth="1"/>
    <col min="22" max="22" width="11.9090909090909" style="296" customWidth="1"/>
    <col min="23" max="23" width="11" style="296" customWidth="1"/>
    <col min="24" max="16384" width="9.13636363636364" style="296"/>
  </cols>
  <sheetData>
    <row r="1" hidden="1" spans="1:23">
      <c r="A1" s="458" t="s">
        <v>0</v>
      </c>
      <c r="B1" s="458"/>
      <c r="C1" s="458"/>
      <c r="D1" s="1104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hidden="1" spans="1:23">
      <c r="A2" s="460" t="s">
        <v>462</v>
      </c>
      <c r="B2" s="460"/>
      <c r="C2" s="460"/>
      <c r="D2" s="1105"/>
      <c r="E2" s="460"/>
      <c r="F2" s="460"/>
      <c r="G2" s="460"/>
      <c r="H2" s="460"/>
      <c r="I2" s="460"/>
      <c r="J2" s="460"/>
      <c r="K2" s="460"/>
      <c r="L2" s="460"/>
      <c r="M2" s="460"/>
      <c r="N2" s="460"/>
    </row>
    <row r="3" ht="13.75" hidden="1" spans="1:23">
      <c r="A3" s="461" t="s">
        <v>463</v>
      </c>
      <c r="B3" s="458"/>
      <c r="C3" s="458"/>
      <c r="D3" s="1104"/>
      <c r="E3" s="458"/>
      <c r="F3" s="458"/>
      <c r="G3" s="458"/>
      <c r="H3" s="458"/>
      <c r="I3" s="458"/>
      <c r="J3" s="458"/>
      <c r="K3" s="458"/>
      <c r="L3" s="458"/>
      <c r="M3" s="458"/>
      <c r="N3" s="458"/>
    </row>
    <row r="4" ht="83.25" customHeight="1" spans="1:23">
      <c r="A4" s="462" t="s">
        <v>464</v>
      </c>
      <c r="B4" s="463" t="s">
        <v>465</v>
      </c>
      <c r="C4" s="464" t="s">
        <v>21</v>
      </c>
      <c r="D4" s="1106" t="s">
        <v>466</v>
      </c>
      <c r="E4" s="464" t="s">
        <v>467</v>
      </c>
      <c r="F4" s="464" t="s">
        <v>468</v>
      </c>
      <c r="G4" s="464" t="s">
        <v>469</v>
      </c>
      <c r="H4" s="464" t="s">
        <v>470</v>
      </c>
      <c r="I4" s="464" t="s">
        <v>471</v>
      </c>
      <c r="J4" s="464" t="s">
        <v>472</v>
      </c>
      <c r="K4" s="464" t="s">
        <v>473</v>
      </c>
      <c r="L4" s="464" t="s">
        <v>474</v>
      </c>
      <c r="M4" s="464"/>
      <c r="N4" s="1107" t="s">
        <v>475</v>
      </c>
      <c r="O4" s="464" t="s">
        <v>476</v>
      </c>
      <c r="P4" s="466" t="s">
        <v>477</v>
      </c>
    </row>
    <row r="5" ht="15" spans="1:23">
      <c r="A5" s="467" t="s">
        <v>22</v>
      </c>
      <c r="B5" s="81" t="s">
        <v>23</v>
      </c>
      <c r="C5" s="468"/>
      <c r="D5" s="1108"/>
      <c r="E5" s="470"/>
      <c r="F5" s="470"/>
      <c r="G5" s="470"/>
      <c r="H5" s="470"/>
      <c r="I5" s="470"/>
      <c r="J5" s="470"/>
      <c r="K5" s="470"/>
      <c r="L5" s="470"/>
      <c r="M5" s="471"/>
      <c r="N5" s="1109"/>
      <c r="O5" s="806"/>
      <c r="P5" s="930"/>
      <c r="Q5" s="473"/>
      <c r="R5" s="473"/>
      <c r="S5" s="473"/>
    </row>
    <row r="6" ht="15.5" spans="1:23">
      <c r="A6" s="467">
        <v>1</v>
      </c>
      <c r="B6" s="651" t="s">
        <v>24</v>
      </c>
      <c r="C6" s="1110">
        <v>2246372.08333333</v>
      </c>
      <c r="D6" s="1108">
        <v>12</v>
      </c>
      <c r="E6" s="1078">
        <f t="shared" ref="E6:E36" si="0">C6*D6</f>
        <v>26956465</v>
      </c>
      <c r="F6" s="1078"/>
      <c r="G6" s="1078"/>
      <c r="H6" s="1078">
        <v>0</v>
      </c>
      <c r="I6" s="1078"/>
      <c r="J6" s="1078">
        <f>F6+G6+H6</f>
        <v>0</v>
      </c>
      <c r="K6" s="1078">
        <f>E6-J6</f>
        <v>26956465</v>
      </c>
      <c r="L6" s="1078">
        <f>IF(K6&lt;=800000,0,IF(K6&lt;=3000000,(K6-800000)*15%,IF(K6&lt;=12000000,330000+(K6-3000000)*18%,IF(K6&lt;=25000000,1950000+(K6-12000000)*21%,IF(K6&lt;=50000000,4680000+(K6-25000000)*23%,10430000+(K6-50000000)*25%)))))</f>
        <v>5129986.94999999</v>
      </c>
      <c r="M6" s="471">
        <v>12</v>
      </c>
      <c r="N6" s="1111">
        <f>L6/M6</f>
        <v>427498.912499999</v>
      </c>
      <c r="O6" s="806">
        <v>427498.912499999</v>
      </c>
      <c r="P6" s="806">
        <f>N6-O6</f>
        <v>0</v>
      </c>
      <c r="Q6" s="807"/>
      <c r="R6" s="473"/>
      <c r="S6" s="473"/>
      <c r="U6" s="1112"/>
      <c r="V6" s="1112"/>
      <c r="W6" s="473"/>
    </row>
    <row r="7" ht="15.5" spans="1:23">
      <c r="A7" s="467">
        <v>2</v>
      </c>
      <c r="B7" s="651" t="s">
        <v>27</v>
      </c>
      <c r="C7" s="1110">
        <v>1095306.75</v>
      </c>
      <c r="D7" s="1108">
        <v>12</v>
      </c>
      <c r="E7" s="1078">
        <f t="shared" si="0"/>
        <v>13143681</v>
      </c>
      <c r="F7" s="1078"/>
      <c r="G7" s="1078">
        <v>0</v>
      </c>
      <c r="H7" s="1078">
        <v>869094.48</v>
      </c>
      <c r="I7" s="1078"/>
      <c r="J7" s="1078">
        <f t="shared" ref="J7:J70" si="1">F7+G7+H7</f>
        <v>869094.48</v>
      </c>
      <c r="K7" s="1078">
        <f t="shared" ref="K7:K70" si="2">E7-J7</f>
        <v>12274586.52</v>
      </c>
      <c r="L7" s="1078">
        <f t="shared" ref="L7:L70" si="3">IF(K7&lt;=800000,0,IF(K7&lt;=3000000,(K7-800000)*15%,IF(K7&lt;=12000000,330000+(K7-3000000)*18%,IF(K7&lt;=25000000,1950000+(K7-12000000)*21%,IF(K7&lt;=50000000,4680000+(K7-25000000)*23%,10430000+(K7-50000000)*25%)))))</f>
        <v>2007663.1692</v>
      </c>
      <c r="M7" s="471">
        <v>12</v>
      </c>
      <c r="N7" s="1111">
        <f t="shared" ref="N7:N70" si="4">L7/M7</f>
        <v>167305.2641</v>
      </c>
      <c r="O7" s="806">
        <v>167305.2641</v>
      </c>
      <c r="P7" s="806">
        <f t="shared" ref="P7:P70" si="5">N7-O7</f>
        <v>0</v>
      </c>
      <c r="Q7" s="807"/>
      <c r="R7" s="1113"/>
      <c r="S7" s="1113"/>
      <c r="T7" s="1114"/>
      <c r="U7" s="1114"/>
      <c r="V7" s="1113"/>
    </row>
    <row r="8" ht="15.5" spans="1:23">
      <c r="A8" s="467">
        <v>3</v>
      </c>
      <c r="B8" s="643" t="s">
        <v>30</v>
      </c>
      <c r="C8" s="1110">
        <v>1295306.75</v>
      </c>
      <c r="D8" s="1108">
        <v>12</v>
      </c>
      <c r="E8" s="1078">
        <f t="shared" si="0"/>
        <v>15543681</v>
      </c>
      <c r="F8" s="1078"/>
      <c r="G8" s="1078">
        <v>0</v>
      </c>
      <c r="H8" s="1078">
        <v>0</v>
      </c>
      <c r="I8" s="1078"/>
      <c r="J8" s="1078">
        <f t="shared" si="1"/>
        <v>0</v>
      </c>
      <c r="K8" s="1078">
        <f t="shared" si="2"/>
        <v>15543681</v>
      </c>
      <c r="L8" s="1078">
        <f t="shared" si="3"/>
        <v>2694173.01</v>
      </c>
      <c r="M8" s="471">
        <v>12</v>
      </c>
      <c r="N8" s="1111">
        <f t="shared" si="4"/>
        <v>224514.4175</v>
      </c>
      <c r="O8" s="806">
        <v>224514.4175</v>
      </c>
      <c r="P8" s="806">
        <f t="shared" si="5"/>
        <v>0</v>
      </c>
      <c r="Q8" s="807"/>
      <c r="R8" s="1113"/>
      <c r="S8" s="1113"/>
      <c r="T8" s="1114"/>
      <c r="U8" s="1114"/>
      <c r="V8" s="1114"/>
    </row>
    <row r="9" ht="15.5" spans="1:23">
      <c r="A9" s="467">
        <v>4</v>
      </c>
      <c r="B9" s="651" t="s">
        <v>32</v>
      </c>
      <c r="C9" s="1110">
        <v>1085306.75</v>
      </c>
      <c r="D9" s="1108">
        <v>12</v>
      </c>
      <c r="E9" s="1078">
        <f t="shared" si="0"/>
        <v>13023681</v>
      </c>
      <c r="F9" s="1078"/>
      <c r="G9" s="1078">
        <v>166400.85</v>
      </c>
      <c r="H9" s="1078">
        <v>869094.48</v>
      </c>
      <c r="I9" s="1078"/>
      <c r="J9" s="1078">
        <f t="shared" si="1"/>
        <v>1035495.33</v>
      </c>
      <c r="K9" s="1078">
        <f t="shared" si="2"/>
        <v>11988185.67</v>
      </c>
      <c r="L9" s="1078">
        <f t="shared" si="3"/>
        <v>1947873.4206</v>
      </c>
      <c r="M9" s="471">
        <v>12</v>
      </c>
      <c r="N9" s="1111">
        <f t="shared" si="4"/>
        <v>162322.78505</v>
      </c>
      <c r="O9" s="806">
        <v>162322.78505</v>
      </c>
      <c r="P9" s="806">
        <f t="shared" si="5"/>
        <v>0</v>
      </c>
      <c r="Q9" s="807"/>
      <c r="R9" s="1113"/>
      <c r="S9" s="1113"/>
      <c r="T9" s="1114"/>
      <c r="U9" s="1114"/>
      <c r="V9" s="1114"/>
    </row>
    <row r="10" ht="15.5" spans="1:23">
      <c r="A10" s="467">
        <v>5</v>
      </c>
      <c r="B10" s="651" t="s">
        <v>34</v>
      </c>
      <c r="C10" s="766">
        <v>1045306.75</v>
      </c>
      <c r="D10" s="1108">
        <v>12</v>
      </c>
      <c r="E10" s="1078">
        <f t="shared" si="0"/>
        <v>12543681</v>
      </c>
      <c r="F10" s="1078"/>
      <c r="G10" s="1078">
        <v>166400.85</v>
      </c>
      <c r="H10" s="1078">
        <v>869094.48</v>
      </c>
      <c r="I10" s="1078"/>
      <c r="J10" s="1078">
        <f t="shared" si="1"/>
        <v>1035495.33</v>
      </c>
      <c r="K10" s="1078">
        <f t="shared" si="2"/>
        <v>11508185.67</v>
      </c>
      <c r="L10" s="1078">
        <f t="shared" si="3"/>
        <v>1861473.4206</v>
      </c>
      <c r="M10" s="471">
        <v>12</v>
      </c>
      <c r="N10" s="1111">
        <f t="shared" si="4"/>
        <v>155122.78505</v>
      </c>
      <c r="O10" s="806">
        <v>155122.78505</v>
      </c>
      <c r="P10" s="806">
        <f t="shared" si="5"/>
        <v>0</v>
      </c>
      <c r="Q10" s="807"/>
      <c r="R10" s="1113"/>
      <c r="S10" s="1113"/>
      <c r="T10" s="1114"/>
      <c r="U10" s="1114"/>
      <c r="V10" s="1114"/>
    </row>
    <row r="11" ht="15.5" spans="1:23">
      <c r="A11" s="467">
        <v>6</v>
      </c>
      <c r="B11" s="651" t="s">
        <v>37</v>
      </c>
      <c r="C11" s="1110">
        <v>1104477</v>
      </c>
      <c r="D11" s="1108">
        <v>12</v>
      </c>
      <c r="E11" s="1078">
        <f t="shared" si="0"/>
        <v>13253724</v>
      </c>
      <c r="F11" s="1078"/>
      <c r="G11" s="1078">
        <v>137703.15</v>
      </c>
      <c r="H11" s="1078">
        <v>714697.92</v>
      </c>
      <c r="I11" s="1078"/>
      <c r="J11" s="1078">
        <f t="shared" si="1"/>
        <v>852401.07</v>
      </c>
      <c r="K11" s="1078">
        <f t="shared" si="2"/>
        <v>12401322.93</v>
      </c>
      <c r="L11" s="1078">
        <f t="shared" si="3"/>
        <v>2034277.8153</v>
      </c>
      <c r="M11" s="471">
        <v>12</v>
      </c>
      <c r="N11" s="1111">
        <f t="shared" si="4"/>
        <v>169523.151275</v>
      </c>
      <c r="O11" s="806">
        <v>169523.151275</v>
      </c>
      <c r="P11" s="806">
        <f t="shared" si="5"/>
        <v>0</v>
      </c>
      <c r="Q11" s="807"/>
      <c r="R11" s="1113"/>
      <c r="S11" s="1113"/>
      <c r="T11" s="1114"/>
      <c r="U11" s="1114"/>
      <c r="V11" s="1114"/>
    </row>
    <row r="12" ht="15.5" spans="1:23">
      <c r="A12" s="467">
        <v>7</v>
      </c>
      <c r="B12" s="651" t="s">
        <v>40</v>
      </c>
      <c r="C12" s="1110">
        <v>780713.916666666</v>
      </c>
      <c r="D12" s="1108">
        <v>12</v>
      </c>
      <c r="E12" s="1078">
        <f t="shared" si="0"/>
        <v>9368566.99999999</v>
      </c>
      <c r="F12" s="1078"/>
      <c r="G12" s="1078">
        <v>0</v>
      </c>
      <c r="H12" s="1078">
        <v>672685.359999999</v>
      </c>
      <c r="I12" s="1078"/>
      <c r="J12" s="1078">
        <f t="shared" si="1"/>
        <v>672685.359999999</v>
      </c>
      <c r="K12" s="1078">
        <f t="shared" si="2"/>
        <v>8695881.63999999</v>
      </c>
      <c r="L12" s="1078">
        <f t="shared" si="3"/>
        <v>1355258.6952</v>
      </c>
      <c r="M12" s="471">
        <v>12</v>
      </c>
      <c r="N12" s="1111">
        <f t="shared" si="4"/>
        <v>112938.2246</v>
      </c>
      <c r="O12" s="806">
        <v>112938.2246</v>
      </c>
      <c r="P12" s="806">
        <f t="shared" si="5"/>
        <v>-1.16415321826935e-10</v>
      </c>
      <c r="Q12" s="807"/>
      <c r="R12" s="1113"/>
      <c r="S12" s="1113"/>
      <c r="T12" s="1114"/>
      <c r="U12" s="1114"/>
      <c r="V12" s="1114"/>
    </row>
    <row r="13" ht="15.5" spans="1:23">
      <c r="A13" s="467">
        <v>8</v>
      </c>
      <c r="B13" s="643" t="s">
        <v>43</v>
      </c>
      <c r="C13" s="1110">
        <v>954477</v>
      </c>
      <c r="D13" s="1108">
        <v>12</v>
      </c>
      <c r="E13" s="1078">
        <f t="shared" si="0"/>
        <v>11453724</v>
      </c>
      <c r="F13" s="1078"/>
      <c r="G13" s="1078">
        <v>0</v>
      </c>
      <c r="H13" s="1078">
        <v>714697.92</v>
      </c>
      <c r="I13" s="1078"/>
      <c r="J13" s="1078">
        <f t="shared" si="1"/>
        <v>714697.92</v>
      </c>
      <c r="K13" s="1078">
        <f t="shared" si="2"/>
        <v>10739026.08</v>
      </c>
      <c r="L13" s="1078">
        <f t="shared" si="3"/>
        <v>1723024.6944</v>
      </c>
      <c r="M13" s="471">
        <v>12</v>
      </c>
      <c r="N13" s="1111">
        <f t="shared" si="4"/>
        <v>143585.3912</v>
      </c>
      <c r="O13" s="806">
        <v>143585.3912</v>
      </c>
      <c r="P13" s="806">
        <f t="shared" si="5"/>
        <v>0</v>
      </c>
      <c r="Q13" s="807"/>
      <c r="R13" s="1113"/>
      <c r="S13" s="1113"/>
      <c r="T13" s="1114"/>
      <c r="U13" s="1114"/>
      <c r="V13" s="1114"/>
    </row>
    <row r="14" ht="15.5" spans="1:23">
      <c r="A14" s="467">
        <v>9</v>
      </c>
      <c r="B14" s="651" t="s">
        <v>45</v>
      </c>
      <c r="C14" s="1110">
        <v>963911.083333334</v>
      </c>
      <c r="D14" s="1108">
        <v>12</v>
      </c>
      <c r="E14" s="1078">
        <f t="shared" si="0"/>
        <v>11566933</v>
      </c>
      <c r="F14" s="1078"/>
      <c r="G14" s="1078">
        <v>107120</v>
      </c>
      <c r="H14" s="1078">
        <v>550954.640000001</v>
      </c>
      <c r="I14" s="1078"/>
      <c r="J14" s="1078">
        <f t="shared" si="1"/>
        <v>658074.640000001</v>
      </c>
      <c r="K14" s="1078">
        <f t="shared" si="2"/>
        <v>10908858.36</v>
      </c>
      <c r="L14" s="1078">
        <f t="shared" si="3"/>
        <v>1753594.5048</v>
      </c>
      <c r="M14" s="471">
        <v>12</v>
      </c>
      <c r="N14" s="1111">
        <f t="shared" si="4"/>
        <v>146132.8754</v>
      </c>
      <c r="O14" s="806">
        <v>146132.8754</v>
      </c>
      <c r="P14" s="806">
        <f t="shared" si="5"/>
        <v>0</v>
      </c>
      <c r="Q14" s="807"/>
      <c r="R14" s="473"/>
      <c r="S14" s="473"/>
    </row>
    <row r="15" ht="15.5" spans="1:23">
      <c r="A15" s="467">
        <v>10</v>
      </c>
      <c r="B15" s="651" t="s">
        <v>48</v>
      </c>
      <c r="C15" s="1110">
        <v>852595.5</v>
      </c>
      <c r="D15" s="1108">
        <v>12</v>
      </c>
      <c r="E15" s="1078">
        <f t="shared" si="0"/>
        <v>10231146</v>
      </c>
      <c r="F15" s="1078"/>
      <c r="G15" s="1078">
        <v>0</v>
      </c>
      <c r="H15" s="1082">
        <v>693691.68</v>
      </c>
      <c r="I15" s="1078"/>
      <c r="J15" s="1078">
        <f t="shared" si="1"/>
        <v>693691.68</v>
      </c>
      <c r="K15" s="1078">
        <f t="shared" si="2"/>
        <v>9537454.32</v>
      </c>
      <c r="L15" s="1078">
        <f t="shared" si="3"/>
        <v>1506741.7776</v>
      </c>
      <c r="M15" s="471">
        <v>12</v>
      </c>
      <c r="N15" s="1111">
        <f t="shared" si="4"/>
        <v>125561.8148</v>
      </c>
      <c r="O15" s="806">
        <v>125561.8148</v>
      </c>
      <c r="P15" s="806">
        <f t="shared" si="5"/>
        <v>0</v>
      </c>
      <c r="Q15" s="807"/>
      <c r="R15" s="473"/>
      <c r="S15" s="473"/>
    </row>
    <row r="16" ht="15.5" spans="1:23">
      <c r="A16" s="467">
        <v>11</v>
      </c>
      <c r="B16" s="651" t="s">
        <v>51</v>
      </c>
      <c r="C16" s="1110">
        <v>682419.5</v>
      </c>
      <c r="D16" s="1108">
        <v>12</v>
      </c>
      <c r="E16" s="1078">
        <f t="shared" si="0"/>
        <v>8189034</v>
      </c>
      <c r="F16" s="1078"/>
      <c r="G16" s="1078">
        <v>0</v>
      </c>
      <c r="H16" s="1078">
        <v>520722.72</v>
      </c>
      <c r="I16" s="1078"/>
      <c r="J16" s="1078">
        <f t="shared" si="1"/>
        <v>520722.72</v>
      </c>
      <c r="K16" s="1078">
        <f t="shared" si="2"/>
        <v>7668311.28</v>
      </c>
      <c r="L16" s="1078">
        <f t="shared" si="3"/>
        <v>1170296.0304</v>
      </c>
      <c r="M16" s="471">
        <v>12</v>
      </c>
      <c r="N16" s="1111">
        <f t="shared" si="4"/>
        <v>97524.6692</v>
      </c>
      <c r="O16" s="806">
        <v>97524.6692</v>
      </c>
      <c r="P16" s="806">
        <f t="shared" si="5"/>
        <v>0</v>
      </c>
      <c r="Q16" s="807"/>
      <c r="R16" s="473"/>
      <c r="S16" s="473"/>
    </row>
    <row r="17" ht="15.5" spans="1:19">
      <c r="A17" s="467">
        <v>12</v>
      </c>
      <c r="B17" s="351" t="s">
        <v>54</v>
      </c>
      <c r="C17" s="1110">
        <v>861351.333333333</v>
      </c>
      <c r="D17" s="1108">
        <v>12</v>
      </c>
      <c r="E17" s="1078">
        <f t="shared" si="0"/>
        <v>10336216</v>
      </c>
      <c r="F17" s="1078"/>
      <c r="G17" s="1078">
        <v>101319.25</v>
      </c>
      <c r="H17" s="1078">
        <v>519697.28</v>
      </c>
      <c r="I17" s="1078"/>
      <c r="J17" s="1078">
        <f t="shared" si="1"/>
        <v>621016.53</v>
      </c>
      <c r="K17" s="1078">
        <f t="shared" si="2"/>
        <v>9715199.47</v>
      </c>
      <c r="L17" s="1078">
        <f t="shared" si="3"/>
        <v>1538735.9046</v>
      </c>
      <c r="M17" s="471">
        <v>12</v>
      </c>
      <c r="N17" s="1111">
        <f t="shared" si="4"/>
        <v>128227.99205</v>
      </c>
      <c r="O17" s="806">
        <v>128227.99205</v>
      </c>
      <c r="P17" s="806">
        <f t="shared" si="5"/>
        <v>0</v>
      </c>
      <c r="Q17" s="807"/>
      <c r="R17" s="473"/>
      <c r="S17" s="473"/>
    </row>
    <row r="18" ht="15.5" spans="1:19">
      <c r="A18" s="467">
        <v>13</v>
      </c>
      <c r="B18" s="351" t="s">
        <v>57</v>
      </c>
      <c r="C18" s="1110">
        <v>582098.916666667</v>
      </c>
      <c r="D18" s="1108">
        <v>12</v>
      </c>
      <c r="E18" s="1078">
        <f t="shared" si="0"/>
        <v>6985187</v>
      </c>
      <c r="F18" s="1078"/>
      <c r="G18" s="1078">
        <v>96107.725</v>
      </c>
      <c r="H18" s="1078">
        <v>491614.96</v>
      </c>
      <c r="I18" s="1078"/>
      <c r="J18" s="1078">
        <f t="shared" si="1"/>
        <v>587722.685</v>
      </c>
      <c r="K18" s="1078">
        <f t="shared" si="2"/>
        <v>6397464.315</v>
      </c>
      <c r="L18" s="1078">
        <f t="shared" si="3"/>
        <v>941543.576700001</v>
      </c>
      <c r="M18" s="471">
        <v>12</v>
      </c>
      <c r="N18" s="1111">
        <f t="shared" si="4"/>
        <v>78461.964725</v>
      </c>
      <c r="O18" s="806">
        <v>78461.964725</v>
      </c>
      <c r="P18" s="806">
        <f t="shared" si="5"/>
        <v>0</v>
      </c>
      <c r="Q18" s="807"/>
      <c r="R18" s="473"/>
      <c r="S18" s="473"/>
    </row>
    <row r="19" ht="15.5" spans="1:19">
      <c r="A19" s="467">
        <v>14</v>
      </c>
      <c r="B19" s="351" t="s">
        <v>60</v>
      </c>
      <c r="C19" s="1110">
        <v>632098.916666667</v>
      </c>
      <c r="D19" s="1108">
        <v>12</v>
      </c>
      <c r="E19" s="1078">
        <f t="shared" si="0"/>
        <v>7585187</v>
      </c>
      <c r="F19" s="1078"/>
      <c r="G19" s="1078">
        <v>0</v>
      </c>
      <c r="H19" s="1078">
        <v>491614.96</v>
      </c>
      <c r="I19" s="1078"/>
      <c r="J19" s="1078">
        <f t="shared" si="1"/>
        <v>491614.96</v>
      </c>
      <c r="K19" s="1078">
        <f t="shared" si="2"/>
        <v>7093572.04</v>
      </c>
      <c r="L19" s="1078">
        <f t="shared" si="3"/>
        <v>1066842.9672</v>
      </c>
      <c r="M19" s="471">
        <v>12</v>
      </c>
      <c r="N19" s="1111">
        <f t="shared" si="4"/>
        <v>88903.5806000001</v>
      </c>
      <c r="O19" s="806">
        <v>88903.5806</v>
      </c>
      <c r="P19" s="806">
        <f t="shared" si="5"/>
        <v>0</v>
      </c>
      <c r="Q19" s="807"/>
      <c r="R19" s="473"/>
      <c r="S19" s="473"/>
    </row>
    <row r="20" ht="15.5" spans="1:19">
      <c r="A20" s="467">
        <v>15</v>
      </c>
      <c r="B20" s="651" t="s">
        <v>62</v>
      </c>
      <c r="C20" s="1110">
        <v>817472.75</v>
      </c>
      <c r="D20" s="1108">
        <v>12</v>
      </c>
      <c r="E20" s="1078">
        <f t="shared" si="0"/>
        <v>9809673</v>
      </c>
      <c r="F20" s="1078"/>
      <c r="G20" s="1078">
        <v>93501.975</v>
      </c>
      <c r="H20" s="1078">
        <v>477573.84</v>
      </c>
      <c r="I20" s="1078"/>
      <c r="J20" s="1078">
        <f t="shared" si="1"/>
        <v>571075.815</v>
      </c>
      <c r="K20" s="1078">
        <f t="shared" si="2"/>
        <v>9238597.185</v>
      </c>
      <c r="L20" s="1078">
        <f t="shared" si="3"/>
        <v>1452947.4933</v>
      </c>
      <c r="M20" s="471">
        <v>12</v>
      </c>
      <c r="N20" s="1111">
        <f t="shared" si="4"/>
        <v>121078.957775</v>
      </c>
      <c r="O20" s="806">
        <v>121078.957775</v>
      </c>
      <c r="P20" s="806">
        <f t="shared" si="5"/>
        <v>0</v>
      </c>
      <c r="Q20" s="807"/>
      <c r="R20" s="473"/>
      <c r="S20" s="473"/>
    </row>
    <row r="21" ht="15.5" spans="1:19">
      <c r="A21" s="467">
        <v>16</v>
      </c>
      <c r="B21" s="651" t="s">
        <v>65</v>
      </c>
      <c r="C21" s="1110">
        <v>702846.583333333</v>
      </c>
      <c r="D21" s="1108">
        <v>12</v>
      </c>
      <c r="E21" s="1078">
        <f t="shared" si="0"/>
        <v>8434159</v>
      </c>
      <c r="F21" s="1078"/>
      <c r="G21" s="1078">
        <v>90896.2250000001</v>
      </c>
      <c r="H21" s="1078">
        <v>463532.72</v>
      </c>
      <c r="I21" s="1078"/>
      <c r="J21" s="1078">
        <f t="shared" si="1"/>
        <v>554428.945</v>
      </c>
      <c r="K21" s="1078">
        <f t="shared" si="2"/>
        <v>7879730.055</v>
      </c>
      <c r="L21" s="1078">
        <f t="shared" si="3"/>
        <v>1208351.4099</v>
      </c>
      <c r="M21" s="471">
        <v>12</v>
      </c>
      <c r="N21" s="1111">
        <f t="shared" si="4"/>
        <v>100695.950825</v>
      </c>
      <c r="O21" s="806">
        <v>100695.950825</v>
      </c>
      <c r="P21" s="806">
        <f t="shared" si="5"/>
        <v>0</v>
      </c>
      <c r="Q21" s="807"/>
      <c r="R21" s="473"/>
      <c r="S21" s="473"/>
    </row>
    <row r="22" ht="15.5" spans="1:19">
      <c r="A22" s="467">
        <v>17</v>
      </c>
      <c r="B22" s="643" t="s">
        <v>68</v>
      </c>
      <c r="C22" s="1110">
        <v>768828.166666667</v>
      </c>
      <c r="D22" s="1108">
        <v>12</v>
      </c>
      <c r="E22" s="1078">
        <f t="shared" si="0"/>
        <v>9225938</v>
      </c>
      <c r="F22" s="1078"/>
      <c r="G22" s="1078">
        <v>0</v>
      </c>
      <c r="H22" s="1078">
        <v>450075.04</v>
      </c>
      <c r="I22" s="1078"/>
      <c r="J22" s="1078">
        <f t="shared" si="1"/>
        <v>450075.04</v>
      </c>
      <c r="K22" s="1078">
        <f t="shared" si="2"/>
        <v>8775862.96</v>
      </c>
      <c r="L22" s="1078">
        <f t="shared" si="3"/>
        <v>1369655.3328</v>
      </c>
      <c r="M22" s="471">
        <v>12</v>
      </c>
      <c r="N22" s="1111">
        <f t="shared" si="4"/>
        <v>114137.9444</v>
      </c>
      <c r="O22" s="806">
        <v>114137.9444</v>
      </c>
      <c r="P22" s="806">
        <f t="shared" si="5"/>
        <v>0</v>
      </c>
      <c r="Q22" s="807"/>
      <c r="R22" s="473"/>
      <c r="S22" s="473"/>
    </row>
    <row r="23" s="926" customFormat="1" ht="15.5" spans="1:19">
      <c r="A23" s="1115">
        <v>18</v>
      </c>
      <c r="B23" s="1116" t="s">
        <v>71</v>
      </c>
      <c r="C23" s="1117">
        <v>578828.166666667</v>
      </c>
      <c r="D23" s="1118">
        <v>12</v>
      </c>
      <c r="E23" s="1119">
        <f t="shared" si="0"/>
        <v>6945938</v>
      </c>
      <c r="F23" s="1119">
        <v>200000</v>
      </c>
      <c r="G23" s="1119">
        <v>88398.8750000001</v>
      </c>
      <c r="H23" s="1119">
        <v>450075.04</v>
      </c>
      <c r="I23" s="1119"/>
      <c r="J23" s="1119">
        <f t="shared" si="1"/>
        <v>738473.915</v>
      </c>
      <c r="K23" s="1119">
        <f t="shared" si="2"/>
        <v>6207464.085</v>
      </c>
      <c r="L23" s="1119">
        <f t="shared" si="3"/>
        <v>907343.535300001</v>
      </c>
      <c r="M23" s="1120">
        <v>12</v>
      </c>
      <c r="N23" s="1119">
        <f t="shared" si="4"/>
        <v>75611.9612750001</v>
      </c>
      <c r="O23" s="1121">
        <v>78611.961275</v>
      </c>
      <c r="P23" s="1121">
        <f t="shared" si="5"/>
        <v>-2999.99999999994</v>
      </c>
      <c r="Q23" s="1122"/>
      <c r="R23" s="1123"/>
      <c r="S23" s="1123"/>
    </row>
    <row r="24" ht="15.5" spans="1:19">
      <c r="A24" s="467">
        <v>19</v>
      </c>
      <c r="B24" s="643" t="s">
        <v>73</v>
      </c>
      <c r="C24" s="1110">
        <v>641140.666666666</v>
      </c>
      <c r="D24" s="1108">
        <v>12</v>
      </c>
      <c r="E24" s="1078">
        <f t="shared" si="0"/>
        <v>7693687.99999999</v>
      </c>
      <c r="F24" s="1078"/>
      <c r="G24" s="1078">
        <v>0</v>
      </c>
      <c r="H24" s="1078">
        <v>365895.039999999</v>
      </c>
      <c r="I24" s="1078"/>
      <c r="J24" s="1078">
        <f t="shared" si="1"/>
        <v>365895.039999999</v>
      </c>
      <c r="K24" s="1078">
        <f t="shared" si="2"/>
        <v>7327792.95999999</v>
      </c>
      <c r="L24" s="1078">
        <f t="shared" si="3"/>
        <v>1109002.7328</v>
      </c>
      <c r="M24" s="471">
        <v>12</v>
      </c>
      <c r="N24" s="1111">
        <f t="shared" si="4"/>
        <v>92416.8943999999</v>
      </c>
      <c r="O24" s="806">
        <v>92416.8943999999</v>
      </c>
      <c r="P24" s="806">
        <f t="shared" si="5"/>
        <v>0</v>
      </c>
      <c r="Q24" s="807"/>
      <c r="R24" s="473"/>
      <c r="S24" s="473"/>
    </row>
    <row r="25" ht="15.5" spans="1:19">
      <c r="A25" s="467">
        <v>20</v>
      </c>
      <c r="B25" s="643" t="s">
        <v>76</v>
      </c>
      <c r="C25" s="1110">
        <v>450135.833333334</v>
      </c>
      <c r="D25" s="1108">
        <v>12</v>
      </c>
      <c r="E25" s="1078">
        <f t="shared" si="0"/>
        <v>5401630.00000001</v>
      </c>
      <c r="F25" s="1078"/>
      <c r="G25" s="1078">
        <v>73851.3500000001</v>
      </c>
      <c r="H25" s="1078">
        <v>374530.400000001</v>
      </c>
      <c r="I25" s="1078"/>
      <c r="J25" s="1078">
        <f t="shared" si="1"/>
        <v>448381.750000001</v>
      </c>
      <c r="K25" s="1078">
        <f t="shared" si="2"/>
        <v>4953248.25000001</v>
      </c>
      <c r="L25" s="1078">
        <f t="shared" si="3"/>
        <v>681584.685000001</v>
      </c>
      <c r="M25" s="471">
        <v>12</v>
      </c>
      <c r="N25" s="1111">
        <f t="shared" si="4"/>
        <v>56798.7237500001</v>
      </c>
      <c r="O25" s="806">
        <v>56798.7237500001</v>
      </c>
      <c r="P25" s="806">
        <f t="shared" si="5"/>
        <v>0</v>
      </c>
      <c r="Q25" s="807"/>
      <c r="R25" s="473"/>
      <c r="S25" s="473"/>
    </row>
    <row r="26" ht="15.5" spans="1:19">
      <c r="A26" s="467">
        <v>21</v>
      </c>
      <c r="B26" s="86" t="s">
        <v>478</v>
      </c>
      <c r="C26" s="1110">
        <v>0</v>
      </c>
      <c r="D26" s="1108">
        <v>12</v>
      </c>
      <c r="E26" s="1078">
        <f t="shared" si="0"/>
        <v>0</v>
      </c>
      <c r="F26" s="1078"/>
      <c r="G26" s="1078">
        <v>0</v>
      </c>
      <c r="H26" s="1078">
        <v>0</v>
      </c>
      <c r="I26" s="1078"/>
      <c r="J26" s="1078">
        <f t="shared" si="1"/>
        <v>0</v>
      </c>
      <c r="K26" s="1078">
        <f t="shared" si="2"/>
        <v>0</v>
      </c>
      <c r="L26" s="1078">
        <f t="shared" si="3"/>
        <v>0</v>
      </c>
      <c r="M26" s="471">
        <v>12</v>
      </c>
      <c r="N26" s="1111">
        <f t="shared" si="4"/>
        <v>0</v>
      </c>
      <c r="O26" s="806">
        <v>0</v>
      </c>
      <c r="P26" s="806">
        <f t="shared" si="5"/>
        <v>0</v>
      </c>
      <c r="Q26" s="807"/>
      <c r="R26" s="473"/>
      <c r="S26" s="473"/>
    </row>
    <row r="27" ht="15.5" spans="1:19">
      <c r="A27" s="467">
        <v>22</v>
      </c>
      <c r="B27" s="351" t="s">
        <v>79</v>
      </c>
      <c r="C27" s="1110">
        <v>432145.333333333</v>
      </c>
      <c r="D27" s="1108">
        <v>12</v>
      </c>
      <c r="E27" s="1078">
        <f t="shared" si="0"/>
        <v>5185744</v>
      </c>
      <c r="F27" s="1078"/>
      <c r="G27" s="1078">
        <v>70673.35</v>
      </c>
      <c r="H27" s="1078">
        <v>357259.52</v>
      </c>
      <c r="I27" s="1078"/>
      <c r="J27" s="1078">
        <f t="shared" si="1"/>
        <v>427932.87</v>
      </c>
      <c r="K27" s="1078">
        <f t="shared" si="2"/>
        <v>4757811.13</v>
      </c>
      <c r="L27" s="1078">
        <f t="shared" si="3"/>
        <v>646406.003399999</v>
      </c>
      <c r="M27" s="471">
        <v>12</v>
      </c>
      <c r="N27" s="1111">
        <f t="shared" si="4"/>
        <v>53867.1669499999</v>
      </c>
      <c r="O27" s="806">
        <v>53867.16695</v>
      </c>
      <c r="P27" s="806">
        <f t="shared" si="5"/>
        <v>0</v>
      </c>
      <c r="Q27" s="807"/>
      <c r="R27" s="473"/>
      <c r="S27" s="473"/>
    </row>
    <row r="28" s="926" customFormat="1" ht="15.5" spans="1:19">
      <c r="A28" s="1115">
        <v>23</v>
      </c>
      <c r="B28" s="1116" t="s">
        <v>82</v>
      </c>
      <c r="C28" s="1117">
        <v>491140.666666666</v>
      </c>
      <c r="D28" s="1118">
        <v>12</v>
      </c>
      <c r="E28" s="1119">
        <f t="shared" si="0"/>
        <v>5893687.99999999</v>
      </c>
      <c r="F28" s="1119">
        <v>300000</v>
      </c>
      <c r="G28" s="1119">
        <v>72262.3749999999</v>
      </c>
      <c r="H28" s="1119">
        <v>365895.039999999</v>
      </c>
      <c r="I28" s="1119"/>
      <c r="J28" s="1119">
        <f t="shared" si="1"/>
        <v>738157.414999999</v>
      </c>
      <c r="K28" s="1119">
        <f t="shared" si="2"/>
        <v>5155530.58499999</v>
      </c>
      <c r="L28" s="1119">
        <f t="shared" si="3"/>
        <v>717995.505299999</v>
      </c>
      <c r="M28" s="1120">
        <v>12</v>
      </c>
      <c r="N28" s="1119">
        <f t="shared" si="4"/>
        <v>59832.9587749999</v>
      </c>
      <c r="O28" s="1121">
        <v>64332.9587749999</v>
      </c>
      <c r="P28" s="1121">
        <f t="shared" si="5"/>
        <v>-4500.00000000001</v>
      </c>
      <c r="Q28" s="1122"/>
      <c r="R28" s="1123"/>
      <c r="S28" s="1123"/>
    </row>
    <row r="29" ht="15.5" spans="1:19">
      <c r="A29" s="467">
        <v>24</v>
      </c>
      <c r="B29" s="351" t="s">
        <v>84</v>
      </c>
      <c r="C29" s="1110">
        <v>415320.666666667</v>
      </c>
      <c r="D29" s="1108">
        <v>12</v>
      </c>
      <c r="E29" s="1078">
        <f t="shared" si="0"/>
        <v>4983848</v>
      </c>
      <c r="F29" s="1078"/>
      <c r="G29" s="1078">
        <v>0</v>
      </c>
      <c r="H29" s="1078">
        <v>341107.84</v>
      </c>
      <c r="I29" s="1078"/>
      <c r="J29" s="1078">
        <f t="shared" si="1"/>
        <v>341107.84</v>
      </c>
      <c r="K29" s="1078">
        <f t="shared" si="2"/>
        <v>4642740.16</v>
      </c>
      <c r="L29" s="1078">
        <f t="shared" si="3"/>
        <v>625693.228800001</v>
      </c>
      <c r="M29" s="471">
        <v>12</v>
      </c>
      <c r="N29" s="1111">
        <f t="shared" si="4"/>
        <v>52141.1024000001</v>
      </c>
      <c r="O29" s="806">
        <v>52141.1024</v>
      </c>
      <c r="P29" s="806">
        <f t="shared" si="5"/>
        <v>0</v>
      </c>
      <c r="Q29" s="807"/>
      <c r="R29" s="473"/>
      <c r="S29" s="473"/>
    </row>
    <row r="30" ht="15.5" spans="1:19">
      <c r="A30" s="467">
        <v>25</v>
      </c>
      <c r="B30" s="351" t="s">
        <v>87</v>
      </c>
      <c r="C30" s="1110">
        <v>407016.166666666</v>
      </c>
      <c r="D30" s="1108">
        <v>12</v>
      </c>
      <c r="E30" s="1078">
        <f t="shared" si="0"/>
        <v>4884193.99999999</v>
      </c>
      <c r="F30" s="1078"/>
      <c r="G30" s="1078">
        <v>0</v>
      </c>
      <c r="H30" s="1078">
        <v>333135.519999999</v>
      </c>
      <c r="I30" s="1078"/>
      <c r="J30" s="1078">
        <f t="shared" si="1"/>
        <v>333135.519999999</v>
      </c>
      <c r="K30" s="1078">
        <f t="shared" si="2"/>
        <v>4551058.47999999</v>
      </c>
      <c r="L30" s="1078">
        <f t="shared" si="3"/>
        <v>609190.526399999</v>
      </c>
      <c r="M30" s="471">
        <v>12</v>
      </c>
      <c r="N30" s="1111">
        <f t="shared" si="4"/>
        <v>50765.8771999999</v>
      </c>
      <c r="O30" s="806">
        <v>50765.8771999999</v>
      </c>
      <c r="P30" s="806">
        <f t="shared" si="5"/>
        <v>0</v>
      </c>
      <c r="Q30" s="807"/>
      <c r="R30" s="473"/>
      <c r="S30" s="473"/>
    </row>
    <row r="31" ht="15.5" spans="1:19">
      <c r="A31" s="467">
        <v>26</v>
      </c>
      <c r="B31" s="351" t="s">
        <v>89</v>
      </c>
      <c r="C31" s="1110">
        <v>441140.666666666</v>
      </c>
      <c r="D31" s="1108">
        <v>12</v>
      </c>
      <c r="E31" s="1078">
        <f t="shared" si="0"/>
        <v>5293687.99999999</v>
      </c>
      <c r="F31" s="1078"/>
      <c r="G31" s="1078">
        <v>70673.35</v>
      </c>
      <c r="H31" s="1082">
        <v>357259.52</v>
      </c>
      <c r="I31" s="1078"/>
      <c r="J31" s="1078">
        <f t="shared" si="1"/>
        <v>427932.87</v>
      </c>
      <c r="K31" s="1078">
        <f t="shared" si="2"/>
        <v>4865755.12999999</v>
      </c>
      <c r="L31" s="1078">
        <f t="shared" si="3"/>
        <v>665835.923399998</v>
      </c>
      <c r="M31" s="471">
        <v>12</v>
      </c>
      <c r="N31" s="1111">
        <f t="shared" si="4"/>
        <v>55486.3269499999</v>
      </c>
      <c r="O31" s="806">
        <v>53867.16695</v>
      </c>
      <c r="P31" s="806">
        <f t="shared" si="5"/>
        <v>1619.15999999987</v>
      </c>
      <c r="Q31" s="807"/>
      <c r="R31" s="473"/>
      <c r="S31" s="473"/>
    </row>
    <row r="32" ht="15.5" spans="1:19">
      <c r="A32" s="467">
        <v>27</v>
      </c>
      <c r="B32" s="351" t="s">
        <v>91</v>
      </c>
      <c r="C32" s="1110">
        <v>432145.333333333</v>
      </c>
      <c r="D32" s="1108">
        <v>12</v>
      </c>
      <c r="E32" s="1078">
        <f t="shared" si="0"/>
        <v>5185744</v>
      </c>
      <c r="F32" s="1078"/>
      <c r="G32" s="1078">
        <v>70673.35</v>
      </c>
      <c r="H32" s="1082">
        <v>357259.52</v>
      </c>
      <c r="I32" s="1078"/>
      <c r="J32" s="1078">
        <f t="shared" si="1"/>
        <v>427932.87</v>
      </c>
      <c r="K32" s="1078">
        <f t="shared" si="2"/>
        <v>4757811.13</v>
      </c>
      <c r="L32" s="1078">
        <f t="shared" si="3"/>
        <v>646406.003399999</v>
      </c>
      <c r="M32" s="471">
        <v>12</v>
      </c>
      <c r="N32" s="1111">
        <f t="shared" si="4"/>
        <v>53867.1669499999</v>
      </c>
      <c r="O32" s="806">
        <v>53867.16695</v>
      </c>
      <c r="P32" s="806">
        <f t="shared" si="5"/>
        <v>0</v>
      </c>
      <c r="Q32" s="807"/>
      <c r="R32" s="473"/>
      <c r="S32" s="473"/>
    </row>
    <row r="33" ht="15.5" spans="1:19">
      <c r="A33" s="467">
        <v>28</v>
      </c>
      <c r="B33" s="351" t="s">
        <v>93</v>
      </c>
      <c r="C33" s="1078">
        <v>407016.166666666</v>
      </c>
      <c r="D33" s="1108">
        <v>12</v>
      </c>
      <c r="E33" s="1078">
        <f t="shared" si="0"/>
        <v>4884193.99999999</v>
      </c>
      <c r="F33" s="1078"/>
      <c r="G33" s="1078">
        <v>0</v>
      </c>
      <c r="H33" s="1082">
        <v>333135.519999999</v>
      </c>
      <c r="I33" s="1078"/>
      <c r="J33" s="1078">
        <f t="shared" si="1"/>
        <v>333135.519999999</v>
      </c>
      <c r="K33" s="1078">
        <f t="shared" si="2"/>
        <v>4551058.47999999</v>
      </c>
      <c r="L33" s="1078">
        <f t="shared" si="3"/>
        <v>609190.526399999</v>
      </c>
      <c r="M33" s="471">
        <v>12</v>
      </c>
      <c r="N33" s="1111">
        <f t="shared" si="4"/>
        <v>50765.8771999999</v>
      </c>
      <c r="O33" s="806">
        <v>50765.8771999999</v>
      </c>
      <c r="P33" s="806">
        <f t="shared" si="5"/>
        <v>0</v>
      </c>
      <c r="Q33" s="807"/>
      <c r="R33" s="473"/>
      <c r="S33" s="473"/>
    </row>
    <row r="34" ht="15.5" spans="1:19">
      <c r="A34" s="467">
        <v>29</v>
      </c>
      <c r="B34" s="351" t="s">
        <v>95</v>
      </c>
      <c r="C34" s="1078">
        <v>432145.333333333</v>
      </c>
      <c r="D34" s="1108">
        <v>12</v>
      </c>
      <c r="E34" s="1078">
        <f t="shared" si="0"/>
        <v>5185744</v>
      </c>
      <c r="F34" s="1078"/>
      <c r="G34" s="1078">
        <v>0</v>
      </c>
      <c r="H34" s="1082">
        <v>357259.52</v>
      </c>
      <c r="I34" s="1078"/>
      <c r="J34" s="1078">
        <f t="shared" si="1"/>
        <v>357259.52</v>
      </c>
      <c r="K34" s="1078">
        <f t="shared" si="2"/>
        <v>4828484.48</v>
      </c>
      <c r="L34" s="1078">
        <f t="shared" si="3"/>
        <v>659127.206399999</v>
      </c>
      <c r="M34" s="471">
        <v>12</v>
      </c>
      <c r="N34" s="1111">
        <f t="shared" si="4"/>
        <v>54927.2671999999</v>
      </c>
      <c r="O34" s="806">
        <v>54927.2672</v>
      </c>
      <c r="P34" s="806">
        <f t="shared" si="5"/>
        <v>-5.82076609134674e-11</v>
      </c>
      <c r="Q34" s="807"/>
      <c r="R34" s="473"/>
      <c r="S34" s="473"/>
    </row>
    <row r="35" s="926" customFormat="1" ht="15.5" spans="1:19">
      <c r="A35" s="1115">
        <v>30</v>
      </c>
      <c r="B35" s="1124" t="s">
        <v>97</v>
      </c>
      <c r="C35" s="1119">
        <v>398711.666666667</v>
      </c>
      <c r="D35" s="1118">
        <v>12</v>
      </c>
      <c r="E35" s="1119">
        <f t="shared" si="0"/>
        <v>4784540</v>
      </c>
      <c r="F35" s="1119">
        <v>200000</v>
      </c>
      <c r="G35" s="1119">
        <v>65320.0250000001</v>
      </c>
      <c r="H35" s="1125">
        <v>325163.2</v>
      </c>
      <c r="I35" s="1119"/>
      <c r="J35" s="1119">
        <f t="shared" si="1"/>
        <v>590483.225</v>
      </c>
      <c r="K35" s="1119">
        <f t="shared" si="2"/>
        <v>4194056.775</v>
      </c>
      <c r="L35" s="1119">
        <f t="shared" si="3"/>
        <v>544930.219500001</v>
      </c>
      <c r="M35" s="1120">
        <v>12</v>
      </c>
      <c r="N35" s="1119">
        <f t="shared" si="4"/>
        <v>45410.851625</v>
      </c>
      <c r="O35" s="1119">
        <v>48410.851625</v>
      </c>
      <c r="P35" s="1121">
        <f t="shared" si="5"/>
        <v>-2999.99999999996</v>
      </c>
      <c r="Q35" s="1122"/>
      <c r="R35" s="1123"/>
      <c r="S35" s="1123"/>
    </row>
    <row r="36" s="289" customFormat="1" ht="15.5" spans="1:19">
      <c r="A36" s="1126">
        <v>31</v>
      </c>
      <c r="B36" s="1127" t="s">
        <v>100</v>
      </c>
      <c r="C36" s="1111">
        <v>398711.666666667</v>
      </c>
      <c r="D36" s="1128">
        <v>12</v>
      </c>
      <c r="E36" s="1111">
        <f t="shared" si="0"/>
        <v>4784540</v>
      </c>
      <c r="F36" s="1111">
        <v>360000</v>
      </c>
      <c r="G36" s="1111">
        <v>65320.0250000001</v>
      </c>
      <c r="H36" s="1129">
        <v>325163.2</v>
      </c>
      <c r="I36" s="1111"/>
      <c r="J36" s="1111">
        <f t="shared" si="1"/>
        <v>750483.225</v>
      </c>
      <c r="K36" s="1111">
        <f t="shared" si="2"/>
        <v>4034056.775</v>
      </c>
      <c r="L36" s="1111">
        <f t="shared" si="3"/>
        <v>516130.219500001</v>
      </c>
      <c r="M36" s="1130">
        <v>12</v>
      </c>
      <c r="N36" s="1111">
        <f t="shared" si="4"/>
        <v>43010.8516250001</v>
      </c>
      <c r="O36" s="1131">
        <v>48410.851625</v>
      </c>
      <c r="P36" s="1131">
        <f t="shared" si="5"/>
        <v>-5399.99999999995</v>
      </c>
      <c r="Q36" s="1132"/>
      <c r="R36" s="1133"/>
      <c r="S36" s="1133"/>
    </row>
    <row r="37" ht="15.5" spans="1:19">
      <c r="A37" s="467">
        <v>32</v>
      </c>
      <c r="B37" s="351" t="s">
        <v>101</v>
      </c>
      <c r="C37" s="1078">
        <v>398711.666666667</v>
      </c>
      <c r="D37" s="1108">
        <v>12</v>
      </c>
      <c r="E37" s="1078">
        <f t="shared" ref="E37:E100" si="6">C37*D37</f>
        <v>4784540</v>
      </c>
      <c r="F37" s="1078"/>
      <c r="G37" s="1078">
        <v>0</v>
      </c>
      <c r="H37" s="1082">
        <v>325163.2</v>
      </c>
      <c r="I37" s="1078"/>
      <c r="J37" s="1078">
        <f t="shared" si="1"/>
        <v>325163.2</v>
      </c>
      <c r="K37" s="1078">
        <f t="shared" si="2"/>
        <v>4459376.8</v>
      </c>
      <c r="L37" s="1078">
        <f t="shared" si="3"/>
        <v>592687.824000001</v>
      </c>
      <c r="M37" s="471">
        <v>12</v>
      </c>
      <c r="N37" s="1111">
        <f t="shared" si="4"/>
        <v>49390.6520000001</v>
      </c>
      <c r="O37" s="806">
        <v>49390.6520000001</v>
      </c>
      <c r="P37" s="806">
        <f t="shared" si="5"/>
        <v>0</v>
      </c>
      <c r="Q37" s="807"/>
      <c r="R37" s="473"/>
      <c r="S37" s="473"/>
    </row>
    <row r="38" ht="15.5" spans="1:19">
      <c r="A38" s="467">
        <v>33</v>
      </c>
      <c r="B38" s="351" t="s">
        <v>102</v>
      </c>
      <c r="C38" s="1078">
        <v>398711.666666667</v>
      </c>
      <c r="D38" s="1108">
        <v>12</v>
      </c>
      <c r="E38" s="1078">
        <f t="shared" si="6"/>
        <v>4784540</v>
      </c>
      <c r="F38" s="1078"/>
      <c r="G38" s="1078">
        <v>65320.0250000001</v>
      </c>
      <c r="H38" s="1082">
        <v>325163.2</v>
      </c>
      <c r="I38" s="1078"/>
      <c r="J38" s="1078">
        <f t="shared" si="1"/>
        <v>390483.225</v>
      </c>
      <c r="K38" s="1078">
        <f t="shared" si="2"/>
        <v>4394056.775</v>
      </c>
      <c r="L38" s="1078">
        <f t="shared" si="3"/>
        <v>580930.219500001</v>
      </c>
      <c r="M38" s="471">
        <v>12</v>
      </c>
      <c r="N38" s="1111">
        <f t="shared" si="4"/>
        <v>48410.8516250001</v>
      </c>
      <c r="O38" s="806">
        <v>48410.8516250001</v>
      </c>
      <c r="P38" s="806">
        <f t="shared" si="5"/>
        <v>0</v>
      </c>
      <c r="Q38" s="807"/>
      <c r="R38" s="473"/>
      <c r="S38" s="473"/>
    </row>
    <row r="39" ht="15.5" spans="1:19">
      <c r="A39" s="467">
        <v>34</v>
      </c>
      <c r="B39" s="351" t="s">
        <v>103</v>
      </c>
      <c r="C39" s="1078">
        <v>358920.666666667</v>
      </c>
      <c r="D39" s="1108">
        <v>12</v>
      </c>
      <c r="E39" s="1078">
        <f t="shared" si="6"/>
        <v>4307048</v>
      </c>
      <c r="F39" s="1078"/>
      <c r="G39" s="1078">
        <v>60164.8250000001</v>
      </c>
      <c r="H39" s="1082">
        <v>296563.84</v>
      </c>
      <c r="I39" s="1078"/>
      <c r="J39" s="1078">
        <f t="shared" si="1"/>
        <v>356728.665</v>
      </c>
      <c r="K39" s="1078">
        <f t="shared" si="2"/>
        <v>3950319.335</v>
      </c>
      <c r="L39" s="1078">
        <f t="shared" si="3"/>
        <v>501057.480300001</v>
      </c>
      <c r="M39" s="471">
        <v>12</v>
      </c>
      <c r="N39" s="1111">
        <f t="shared" si="4"/>
        <v>41754.7900250001</v>
      </c>
      <c r="O39" s="806">
        <v>41754.7900250001</v>
      </c>
      <c r="P39" s="806">
        <f t="shared" si="5"/>
        <v>0</v>
      </c>
      <c r="Q39" s="807"/>
      <c r="R39" s="473"/>
      <c r="S39" s="473"/>
    </row>
    <row r="40" ht="31" spans="1:19">
      <c r="A40" s="467">
        <v>35</v>
      </c>
      <c r="B40" s="351" t="s">
        <v>106</v>
      </c>
      <c r="C40" s="1078">
        <v>351910.75</v>
      </c>
      <c r="D40" s="1108">
        <v>12</v>
      </c>
      <c r="E40" s="1078">
        <f t="shared" si="6"/>
        <v>4222929</v>
      </c>
      <c r="F40" s="1078"/>
      <c r="G40" s="1078">
        <v>58909.3250000001</v>
      </c>
      <c r="H40" s="1082">
        <v>289834.32</v>
      </c>
      <c r="I40" s="1078"/>
      <c r="J40" s="1078">
        <f t="shared" si="1"/>
        <v>348743.645</v>
      </c>
      <c r="K40" s="1078">
        <f t="shared" si="2"/>
        <v>3874185.355</v>
      </c>
      <c r="L40" s="1078">
        <f t="shared" si="3"/>
        <v>487353.3639</v>
      </c>
      <c r="M40" s="471">
        <v>12</v>
      </c>
      <c r="N40" s="1111">
        <f t="shared" si="4"/>
        <v>40612.780325</v>
      </c>
      <c r="O40" s="806">
        <v>40612.780325</v>
      </c>
      <c r="P40" s="806">
        <f t="shared" si="5"/>
        <v>0</v>
      </c>
      <c r="Q40" s="807"/>
      <c r="R40" s="473"/>
      <c r="S40" s="473"/>
    </row>
    <row r="41" ht="15.5" spans="1:19">
      <c r="A41" s="467">
        <v>36</v>
      </c>
      <c r="B41" s="351" t="s">
        <v>109</v>
      </c>
      <c r="C41" s="1078">
        <v>344900.833333334</v>
      </c>
      <c r="D41" s="1108">
        <v>12</v>
      </c>
      <c r="E41" s="1078">
        <f t="shared" si="6"/>
        <v>4138810.00000001</v>
      </c>
      <c r="F41" s="1078"/>
      <c r="G41" s="1078">
        <v>57653.8250000001</v>
      </c>
      <c r="H41" s="1082">
        <v>283104.800000001</v>
      </c>
      <c r="I41" s="1078"/>
      <c r="J41" s="1078">
        <f t="shared" si="1"/>
        <v>340758.625000001</v>
      </c>
      <c r="K41" s="1078">
        <f t="shared" si="2"/>
        <v>3798051.37500001</v>
      </c>
      <c r="L41" s="1078">
        <f t="shared" si="3"/>
        <v>473649.247500001</v>
      </c>
      <c r="M41" s="471">
        <v>12</v>
      </c>
      <c r="N41" s="1111">
        <f t="shared" si="4"/>
        <v>39470.7706250001</v>
      </c>
      <c r="O41" s="806">
        <v>39470.7706250001</v>
      </c>
      <c r="P41" s="806">
        <f t="shared" si="5"/>
        <v>0</v>
      </c>
      <c r="Q41" s="807"/>
      <c r="R41" s="473"/>
      <c r="S41" s="473"/>
    </row>
    <row r="42" ht="15.5" spans="1:19">
      <c r="A42" s="467">
        <v>37</v>
      </c>
      <c r="B42" s="351" t="s">
        <v>112</v>
      </c>
      <c r="C42" s="1078">
        <v>344900.833333334</v>
      </c>
      <c r="D42" s="1108">
        <v>12</v>
      </c>
      <c r="E42" s="1078">
        <f t="shared" si="6"/>
        <v>4138810.00000001</v>
      </c>
      <c r="F42" s="1078"/>
      <c r="G42" s="1078">
        <v>0</v>
      </c>
      <c r="H42" s="1082">
        <v>283104.800000001</v>
      </c>
      <c r="I42" s="1078"/>
      <c r="J42" s="1078">
        <f t="shared" si="1"/>
        <v>283104.800000001</v>
      </c>
      <c r="K42" s="1078">
        <f t="shared" si="2"/>
        <v>3855705.20000001</v>
      </c>
      <c r="L42" s="1078">
        <f t="shared" si="3"/>
        <v>484026.936000001</v>
      </c>
      <c r="M42" s="471">
        <v>12</v>
      </c>
      <c r="N42" s="1111">
        <f t="shared" si="4"/>
        <v>40335.5780000001</v>
      </c>
      <c r="O42" s="806">
        <v>40335.5780000001</v>
      </c>
      <c r="P42" s="806">
        <f t="shared" si="5"/>
        <v>0</v>
      </c>
      <c r="Q42" s="807"/>
      <c r="R42" s="473"/>
      <c r="S42" s="473"/>
    </row>
    <row r="43" ht="15.5" spans="1:19">
      <c r="A43" s="467">
        <v>38</v>
      </c>
      <c r="B43" s="351" t="s">
        <v>114</v>
      </c>
      <c r="C43" s="1078">
        <v>344900.833333334</v>
      </c>
      <c r="D43" s="1108">
        <v>12</v>
      </c>
      <c r="E43" s="1078">
        <f t="shared" si="6"/>
        <v>4138810.00000001</v>
      </c>
      <c r="F43" s="1078"/>
      <c r="G43" s="1078">
        <v>0</v>
      </c>
      <c r="H43" s="1082">
        <v>283104.800000001</v>
      </c>
      <c r="I43" s="1078"/>
      <c r="J43" s="1078">
        <f t="shared" si="1"/>
        <v>283104.800000001</v>
      </c>
      <c r="K43" s="1078">
        <f t="shared" si="2"/>
        <v>3855705.20000001</v>
      </c>
      <c r="L43" s="1078">
        <f t="shared" si="3"/>
        <v>484026.936000001</v>
      </c>
      <c r="M43" s="471">
        <v>12</v>
      </c>
      <c r="N43" s="1111">
        <f t="shared" si="4"/>
        <v>40335.5780000001</v>
      </c>
      <c r="O43" s="806">
        <v>40335.5780000001</v>
      </c>
      <c r="P43" s="806">
        <f t="shared" si="5"/>
        <v>0</v>
      </c>
      <c r="Q43" s="807"/>
      <c r="R43" s="473"/>
      <c r="S43" s="473"/>
    </row>
    <row r="44" ht="15.5" spans="1:19">
      <c r="A44" s="467">
        <v>39</v>
      </c>
      <c r="B44" s="351" t="s">
        <v>115</v>
      </c>
      <c r="C44" s="1078">
        <v>344900.833333334</v>
      </c>
      <c r="D44" s="1108">
        <v>12</v>
      </c>
      <c r="E44" s="1078">
        <f t="shared" si="6"/>
        <v>4138810.00000001</v>
      </c>
      <c r="F44" s="1078"/>
      <c r="G44" s="1078">
        <v>0</v>
      </c>
      <c r="H44" s="1082">
        <v>283104.800000001</v>
      </c>
      <c r="I44" s="1078"/>
      <c r="J44" s="1078">
        <f t="shared" si="1"/>
        <v>283104.800000001</v>
      </c>
      <c r="K44" s="1078">
        <f t="shared" si="2"/>
        <v>3855705.20000001</v>
      </c>
      <c r="L44" s="1078">
        <f t="shared" si="3"/>
        <v>484026.936000001</v>
      </c>
      <c r="M44" s="471">
        <v>12</v>
      </c>
      <c r="N44" s="1111">
        <f t="shared" si="4"/>
        <v>40335.5780000001</v>
      </c>
      <c r="O44" s="806">
        <v>40335.5780000001</v>
      </c>
      <c r="P44" s="806">
        <f t="shared" si="5"/>
        <v>0</v>
      </c>
      <c r="Q44" s="807"/>
      <c r="R44" s="473"/>
      <c r="S44" s="473"/>
    </row>
    <row r="45" ht="15.5" spans="1:19">
      <c r="A45" s="467">
        <v>40</v>
      </c>
      <c r="B45" s="351" t="s">
        <v>117</v>
      </c>
      <c r="C45" s="1078">
        <v>344900.833333334</v>
      </c>
      <c r="D45" s="1108">
        <v>12</v>
      </c>
      <c r="E45" s="1078">
        <f t="shared" si="6"/>
        <v>4138810.00000001</v>
      </c>
      <c r="F45" s="1078"/>
      <c r="G45" s="1078">
        <v>0</v>
      </c>
      <c r="H45" s="1082">
        <v>283104.800000001</v>
      </c>
      <c r="I45" s="1078"/>
      <c r="J45" s="1078">
        <f t="shared" si="1"/>
        <v>283104.800000001</v>
      </c>
      <c r="K45" s="1078">
        <f t="shared" si="2"/>
        <v>3855705.20000001</v>
      </c>
      <c r="L45" s="1078">
        <f t="shared" si="3"/>
        <v>484026.936000001</v>
      </c>
      <c r="M45" s="471">
        <v>12</v>
      </c>
      <c r="N45" s="1111">
        <f t="shared" si="4"/>
        <v>40335.5780000001</v>
      </c>
      <c r="O45" s="806">
        <v>40335.5780000001</v>
      </c>
      <c r="P45" s="806">
        <f t="shared" si="5"/>
        <v>0</v>
      </c>
      <c r="Q45" s="807"/>
      <c r="R45" s="473"/>
      <c r="S45" s="473"/>
    </row>
    <row r="46" ht="15.5" spans="1:19">
      <c r="A46" s="467">
        <v>41</v>
      </c>
      <c r="B46" s="351" t="s">
        <v>118</v>
      </c>
      <c r="C46" s="1078">
        <v>344900.833333334</v>
      </c>
      <c r="D46" s="1108">
        <v>12</v>
      </c>
      <c r="E46" s="1078">
        <f t="shared" si="6"/>
        <v>4138810.00000001</v>
      </c>
      <c r="F46" s="1078"/>
      <c r="G46" s="1078">
        <v>0</v>
      </c>
      <c r="H46" s="1082">
        <v>283104.800000001</v>
      </c>
      <c r="I46" s="1078"/>
      <c r="J46" s="1078">
        <f t="shared" si="1"/>
        <v>283104.800000001</v>
      </c>
      <c r="K46" s="1078">
        <f t="shared" si="2"/>
        <v>3855705.20000001</v>
      </c>
      <c r="L46" s="1078">
        <f t="shared" si="3"/>
        <v>484026.936000001</v>
      </c>
      <c r="M46" s="471">
        <v>12</v>
      </c>
      <c r="N46" s="1111">
        <f t="shared" si="4"/>
        <v>40335.5780000001</v>
      </c>
      <c r="O46" s="806">
        <v>40335.5780000001</v>
      </c>
      <c r="P46" s="806">
        <f t="shared" si="5"/>
        <v>0</v>
      </c>
      <c r="Q46" s="807"/>
      <c r="R46" s="473"/>
      <c r="S46" s="473"/>
    </row>
    <row r="47" ht="15.5" spans="1:19">
      <c r="A47" s="467"/>
      <c r="B47" s="351" t="s">
        <v>120</v>
      </c>
      <c r="C47" s="1134">
        <f>SUM(C6:C46)</f>
        <v>25974147.8333333</v>
      </c>
      <c r="D47" s="1135"/>
      <c r="E47" s="1134">
        <f t="shared" ref="D47:P47" si="7">SUM(E6:E46)</f>
        <v>311689774</v>
      </c>
      <c r="F47" s="1134">
        <f t="shared" si="7"/>
        <v>1060000</v>
      </c>
      <c r="G47" s="1134">
        <f t="shared" si="7"/>
        <v>1778670.725</v>
      </c>
      <c r="H47" s="1134">
        <f t="shared" si="7"/>
        <v>16947334.72</v>
      </c>
      <c r="I47" s="1134">
        <f t="shared" si="7"/>
        <v>0</v>
      </c>
      <c r="J47" s="1134">
        <f t="shared" si="7"/>
        <v>19786005.445</v>
      </c>
      <c r="K47" s="1134">
        <f t="shared" si="7"/>
        <v>291903768.555</v>
      </c>
      <c r="L47" s="1134">
        <f t="shared" si="7"/>
        <v>44757089.3034</v>
      </c>
      <c r="M47" s="1134">
        <f t="shared" si="7"/>
        <v>492</v>
      </c>
      <c r="N47" s="1136">
        <f t="shared" si="7"/>
        <v>3729757.44195</v>
      </c>
      <c r="O47" s="1134">
        <v>3744038.28195</v>
      </c>
      <c r="P47" s="1134">
        <f t="shared" si="7"/>
        <v>-14280.8400000002</v>
      </c>
      <c r="Q47" s="807"/>
      <c r="R47" s="473"/>
      <c r="S47" s="473"/>
    </row>
    <row r="48" ht="15" spans="1:19">
      <c r="A48" s="467"/>
      <c r="B48" s="866"/>
      <c r="C48" s="1078"/>
      <c r="D48" s="1108"/>
      <c r="E48" s="1078"/>
      <c r="F48" s="1078"/>
      <c r="G48" s="1078"/>
      <c r="H48" s="1082"/>
      <c r="I48" s="1078"/>
      <c r="J48" s="1078"/>
      <c r="K48" s="1078"/>
      <c r="L48" s="1078"/>
      <c r="M48" s="471"/>
      <c r="N48" s="1111"/>
      <c r="O48" s="806"/>
      <c r="P48" s="806"/>
      <c r="Q48" s="807"/>
      <c r="R48" s="473"/>
      <c r="S48" s="473"/>
    </row>
    <row r="49" ht="15" spans="1:20">
      <c r="A49" s="467"/>
      <c r="B49" s="869" t="s">
        <v>121</v>
      </c>
      <c r="C49" s="1078"/>
      <c r="D49" s="1108"/>
      <c r="E49" s="1078"/>
      <c r="F49" s="1078"/>
      <c r="G49" s="1078"/>
      <c r="H49" s="1078"/>
      <c r="I49" s="1078"/>
      <c r="J49" s="1078"/>
      <c r="K49" s="1078"/>
      <c r="L49" s="1078"/>
      <c r="M49" s="471"/>
      <c r="N49" s="1111"/>
      <c r="O49" s="806"/>
      <c r="P49" s="806"/>
      <c r="Q49" s="807"/>
      <c r="R49" s="473"/>
      <c r="S49" s="473"/>
    </row>
    <row r="50" ht="15.5" spans="1:20">
      <c r="A50" s="467">
        <v>1</v>
      </c>
      <c r="B50" s="351" t="s">
        <v>122</v>
      </c>
      <c r="C50" s="1078">
        <v>1847106.41666666</v>
      </c>
      <c r="D50" s="1108">
        <v>12</v>
      </c>
      <c r="E50" s="1078">
        <f t="shared" si="6"/>
        <v>22165276.9999999</v>
      </c>
      <c r="F50" s="1078"/>
      <c r="G50" s="1078">
        <v>0</v>
      </c>
      <c r="H50" s="1078">
        <v>1677222.15999999</v>
      </c>
      <c r="I50" s="1078"/>
      <c r="J50" s="1078">
        <f t="shared" si="1"/>
        <v>1677222.15999999</v>
      </c>
      <c r="K50" s="1078">
        <f t="shared" si="2"/>
        <v>20488054.8399999</v>
      </c>
      <c r="L50" s="1078">
        <f t="shared" si="3"/>
        <v>3732491.51639999</v>
      </c>
      <c r="M50" s="471">
        <v>12</v>
      </c>
      <c r="N50" s="1111">
        <f t="shared" si="4"/>
        <v>311040.959699999</v>
      </c>
      <c r="O50" s="806">
        <v>311040.959699999</v>
      </c>
      <c r="P50" s="806">
        <f t="shared" si="5"/>
        <v>0</v>
      </c>
      <c r="Q50" s="807"/>
      <c r="R50" s="473"/>
      <c r="S50" s="473"/>
      <c r="T50" s="473"/>
    </row>
    <row r="51" ht="15.5" spans="1:20">
      <c r="A51" s="467">
        <v>2</v>
      </c>
      <c r="B51" s="651" t="s">
        <v>125</v>
      </c>
      <c r="C51" s="1078">
        <v>802595.5</v>
      </c>
      <c r="D51" s="1108">
        <v>12</v>
      </c>
      <c r="E51" s="1078">
        <f t="shared" si="6"/>
        <v>9631146</v>
      </c>
      <c r="F51" s="1078"/>
      <c r="G51" s="1078">
        <v>0</v>
      </c>
      <c r="H51" s="1078">
        <v>693691.68</v>
      </c>
      <c r="I51" s="1078"/>
      <c r="J51" s="1078">
        <f t="shared" si="1"/>
        <v>693691.68</v>
      </c>
      <c r="K51" s="1078">
        <f t="shared" si="2"/>
        <v>8937454.32</v>
      </c>
      <c r="L51" s="1078">
        <f t="shared" si="3"/>
        <v>1398741.7776</v>
      </c>
      <c r="M51" s="471">
        <v>12</v>
      </c>
      <c r="N51" s="1111">
        <f t="shared" si="4"/>
        <v>116561.8148</v>
      </c>
      <c r="O51" s="806">
        <v>116561.8148</v>
      </c>
      <c r="P51" s="806">
        <f t="shared" si="5"/>
        <v>0</v>
      </c>
      <c r="Q51" s="807"/>
      <c r="R51" s="473"/>
      <c r="S51" s="473"/>
    </row>
    <row r="52" ht="15.5" spans="1:20">
      <c r="A52" s="467">
        <v>3</v>
      </c>
      <c r="B52" s="651" t="s">
        <v>127</v>
      </c>
      <c r="C52" s="1078">
        <v>450135.833333334</v>
      </c>
      <c r="D52" s="1108">
        <v>12</v>
      </c>
      <c r="E52" s="1078">
        <f t="shared" si="6"/>
        <v>5401630.00000001</v>
      </c>
      <c r="F52" s="1078"/>
      <c r="G52" s="1078">
        <v>73851.3500000001</v>
      </c>
      <c r="H52" s="1082">
        <v>374530.400000001</v>
      </c>
      <c r="I52" s="1078"/>
      <c r="J52" s="1078">
        <f t="shared" si="1"/>
        <v>448381.750000001</v>
      </c>
      <c r="K52" s="1078">
        <f t="shared" si="2"/>
        <v>4953248.25000001</v>
      </c>
      <c r="L52" s="1078">
        <f t="shared" si="3"/>
        <v>681584.685000001</v>
      </c>
      <c r="M52" s="471">
        <v>12</v>
      </c>
      <c r="N52" s="1111">
        <f t="shared" si="4"/>
        <v>56798.7237500001</v>
      </c>
      <c r="O52" s="806">
        <v>56798.7237500001</v>
      </c>
      <c r="P52" s="806">
        <f t="shared" si="5"/>
        <v>0</v>
      </c>
      <c r="Q52" s="807"/>
      <c r="R52" s="473"/>
      <c r="S52" s="473"/>
    </row>
    <row r="53" ht="15.5" spans="1:20">
      <c r="A53" s="467">
        <v>4</v>
      </c>
      <c r="B53" s="651" t="s">
        <v>129</v>
      </c>
      <c r="C53" s="1078">
        <v>514993.583333333</v>
      </c>
      <c r="D53" s="1108">
        <v>12</v>
      </c>
      <c r="E53" s="1078">
        <f t="shared" si="6"/>
        <v>6179923</v>
      </c>
      <c r="F53" s="1078"/>
      <c r="G53" s="1078">
        <v>0</v>
      </c>
      <c r="H53" s="1082">
        <v>436793.84</v>
      </c>
      <c r="I53" s="1078"/>
      <c r="J53" s="1078">
        <f t="shared" si="1"/>
        <v>436793.84</v>
      </c>
      <c r="K53" s="1078">
        <f t="shared" si="2"/>
        <v>5743129.16</v>
      </c>
      <c r="L53" s="1078">
        <f t="shared" si="3"/>
        <v>823763.248799999</v>
      </c>
      <c r="M53" s="471">
        <v>12</v>
      </c>
      <c r="N53" s="1111">
        <f t="shared" si="4"/>
        <v>68646.9374</v>
      </c>
      <c r="O53" s="806">
        <v>68646.9374</v>
      </c>
      <c r="P53" s="806">
        <f t="shared" si="5"/>
        <v>0</v>
      </c>
      <c r="Q53" s="807"/>
      <c r="R53" s="473"/>
      <c r="S53" s="473"/>
    </row>
    <row r="54" s="289" customFormat="1" ht="15.5" spans="1:20">
      <c r="A54" s="1126">
        <v>5</v>
      </c>
      <c r="B54" s="1137" t="s">
        <v>132</v>
      </c>
      <c r="C54" s="1111">
        <v>398711.666666667</v>
      </c>
      <c r="D54" s="1128">
        <v>12</v>
      </c>
      <c r="E54" s="1111">
        <f t="shared" si="6"/>
        <v>4784540</v>
      </c>
      <c r="F54" s="1111">
        <v>240000</v>
      </c>
      <c r="G54" s="1111">
        <v>65320.0250000001</v>
      </c>
      <c r="H54" s="1129">
        <v>325163.2</v>
      </c>
      <c r="I54" s="1111"/>
      <c r="J54" s="1111">
        <f t="shared" si="1"/>
        <v>630483.225</v>
      </c>
      <c r="K54" s="1111">
        <f t="shared" si="2"/>
        <v>4154056.775</v>
      </c>
      <c r="L54" s="1111">
        <f t="shared" si="3"/>
        <v>537730.219500001</v>
      </c>
      <c r="M54" s="1130">
        <v>12</v>
      </c>
      <c r="N54" s="1111">
        <f t="shared" si="4"/>
        <v>44810.851625</v>
      </c>
      <c r="O54" s="1131">
        <v>48410.8516250001</v>
      </c>
      <c r="P54" s="1131">
        <f t="shared" si="5"/>
        <v>-3600.00000000005</v>
      </c>
      <c r="Q54" s="1132"/>
      <c r="R54" s="1133"/>
      <c r="S54" s="1133"/>
    </row>
    <row r="55" ht="15.5" spans="1:20">
      <c r="A55" s="467">
        <v>6</v>
      </c>
      <c r="B55" s="651" t="s">
        <v>133</v>
      </c>
      <c r="C55" s="1078">
        <v>407016.166666666</v>
      </c>
      <c r="D55" s="1108">
        <v>12</v>
      </c>
      <c r="E55" s="1078">
        <f t="shared" si="6"/>
        <v>4884193.99999999</v>
      </c>
      <c r="F55" s="1078"/>
      <c r="G55" s="1078">
        <v>66802.3749999999</v>
      </c>
      <c r="H55" s="1082">
        <v>333135.519999999</v>
      </c>
      <c r="I55" s="1078"/>
      <c r="J55" s="1078">
        <f t="shared" si="1"/>
        <v>399937.894999999</v>
      </c>
      <c r="K55" s="1078">
        <f t="shared" si="2"/>
        <v>4484256.10499999</v>
      </c>
      <c r="L55" s="1078">
        <f t="shared" si="3"/>
        <v>597166.098899999</v>
      </c>
      <c r="M55" s="471">
        <v>12</v>
      </c>
      <c r="N55" s="1111">
        <f t="shared" si="4"/>
        <v>49763.8415749999</v>
      </c>
      <c r="O55" s="806">
        <v>49763.8415749999</v>
      </c>
      <c r="P55" s="806">
        <f t="shared" si="5"/>
        <v>0</v>
      </c>
      <c r="Q55" s="807"/>
      <c r="R55" s="473"/>
      <c r="S55" s="473"/>
    </row>
    <row r="56" s="926" customFormat="1" ht="15.5" spans="1:20">
      <c r="A56" s="1115">
        <v>7</v>
      </c>
      <c r="B56" s="1116" t="s">
        <v>135</v>
      </c>
      <c r="C56" s="1119">
        <v>344900.833333334</v>
      </c>
      <c r="D56" s="1118">
        <v>12</v>
      </c>
      <c r="E56" s="1119">
        <f t="shared" si="6"/>
        <v>4138810.00000001</v>
      </c>
      <c r="F56" s="1119">
        <v>110000</v>
      </c>
      <c r="G56" s="1119">
        <v>0</v>
      </c>
      <c r="H56" s="1125">
        <v>283104.800000001</v>
      </c>
      <c r="I56" s="1119"/>
      <c r="J56" s="1119">
        <f t="shared" si="1"/>
        <v>393104.800000001</v>
      </c>
      <c r="K56" s="1119">
        <f t="shared" si="2"/>
        <v>3745705.20000001</v>
      </c>
      <c r="L56" s="1119">
        <f t="shared" si="3"/>
        <v>464226.936000001</v>
      </c>
      <c r="M56" s="1120">
        <v>12</v>
      </c>
      <c r="N56" s="1119">
        <f t="shared" si="4"/>
        <v>38685.5780000001</v>
      </c>
      <c r="O56" s="1121">
        <v>40335.5780000001</v>
      </c>
      <c r="P56" s="1121">
        <f t="shared" si="5"/>
        <v>-1649.99999999999</v>
      </c>
      <c r="Q56" s="1122"/>
      <c r="R56" s="1123"/>
      <c r="S56" s="1123"/>
    </row>
    <row r="57" ht="15.5" spans="1:20">
      <c r="A57" s="467"/>
      <c r="B57" s="651"/>
      <c r="C57" s="1134">
        <f>SUM(C50:C56)</f>
        <v>4765459.99999999</v>
      </c>
      <c r="D57" s="1135"/>
      <c r="E57" s="1134">
        <f t="shared" ref="D57:P57" si="8">SUM(E50:E56)</f>
        <v>57185519.9999999</v>
      </c>
      <c r="F57" s="1134"/>
      <c r="G57" s="1134">
        <f t="shared" si="8"/>
        <v>205973.75</v>
      </c>
      <c r="H57" s="1134">
        <f t="shared" si="8"/>
        <v>4123641.59999999</v>
      </c>
      <c r="I57" s="1134"/>
      <c r="J57" s="1134">
        <f t="shared" si="8"/>
        <v>4679615.34999999</v>
      </c>
      <c r="K57" s="1134">
        <f t="shared" si="8"/>
        <v>52505904.6499999</v>
      </c>
      <c r="L57" s="1134">
        <f t="shared" si="8"/>
        <v>8235704.48219999</v>
      </c>
      <c r="M57" s="1134"/>
      <c r="N57" s="1136">
        <f t="shared" si="8"/>
        <v>686308.706849999</v>
      </c>
      <c r="O57" s="1134">
        <v>691558.706849999</v>
      </c>
      <c r="P57" s="1134">
        <f t="shared" si="8"/>
        <v>-5250.00000000004</v>
      </c>
      <c r="Q57" s="807"/>
      <c r="R57" s="473"/>
      <c r="S57" s="473"/>
    </row>
    <row r="58" ht="15" spans="1:20">
      <c r="A58" s="467"/>
      <c r="B58" s="871"/>
      <c r="C58" s="1078"/>
      <c r="D58" s="1108"/>
      <c r="E58" s="1078"/>
      <c r="F58" s="1078"/>
      <c r="G58" s="938"/>
      <c r="H58" s="938"/>
      <c r="I58" s="938"/>
      <c r="J58" s="1078"/>
      <c r="K58" s="1078"/>
      <c r="L58" s="1078"/>
      <c r="M58" s="471"/>
      <c r="N58" s="1111"/>
      <c r="O58" s="806"/>
      <c r="P58" s="806"/>
      <c r="Q58" s="807"/>
      <c r="R58" s="473"/>
      <c r="S58" s="473"/>
    </row>
    <row r="59" ht="15" spans="1:20">
      <c r="A59" s="467"/>
      <c r="B59" s="866" t="s">
        <v>137</v>
      </c>
      <c r="C59" s="1110"/>
      <c r="D59" s="1108"/>
      <c r="E59" s="1078"/>
      <c r="F59" s="1078"/>
      <c r="G59" s="1078"/>
      <c r="H59" s="1082"/>
      <c r="I59" s="1078"/>
      <c r="J59" s="1078"/>
      <c r="K59" s="1078"/>
      <c r="L59" s="1078"/>
      <c r="M59" s="471"/>
      <c r="N59" s="1111"/>
      <c r="O59" s="806"/>
      <c r="P59" s="806"/>
      <c r="Q59" s="807"/>
      <c r="R59" s="473"/>
      <c r="S59" s="473"/>
    </row>
    <row r="60" ht="15.5" spans="1:20">
      <c r="A60" s="467">
        <v>1</v>
      </c>
      <c r="B60" s="651" t="s">
        <v>138</v>
      </c>
      <c r="C60" s="1078">
        <v>1897359.33333333</v>
      </c>
      <c r="D60" s="1108">
        <v>12</v>
      </c>
      <c r="E60" s="1078">
        <f t="shared" si="6"/>
        <v>22768312</v>
      </c>
      <c r="F60" s="1078"/>
      <c r="G60" s="938">
        <v>0</v>
      </c>
      <c r="H60" s="1082">
        <v>1629464.96</v>
      </c>
      <c r="I60" s="938"/>
      <c r="J60" s="1078">
        <f t="shared" si="1"/>
        <v>1629464.96</v>
      </c>
      <c r="K60" s="1078">
        <f t="shared" si="2"/>
        <v>21138847.04</v>
      </c>
      <c r="L60" s="1078">
        <f t="shared" si="3"/>
        <v>3869157.87839999</v>
      </c>
      <c r="M60" s="471">
        <v>12</v>
      </c>
      <c r="N60" s="1111">
        <f t="shared" si="4"/>
        <v>322429.823199999</v>
      </c>
      <c r="O60" s="806">
        <v>322429.823199999</v>
      </c>
      <c r="P60" s="806">
        <f t="shared" si="5"/>
        <v>0</v>
      </c>
      <c r="Q60" s="807"/>
      <c r="R60" s="473"/>
      <c r="S60" s="473"/>
    </row>
    <row r="61" ht="15.5" spans="1:20">
      <c r="A61" s="467">
        <v>2</v>
      </c>
      <c r="B61" s="651" t="s">
        <v>141</v>
      </c>
      <c r="C61" s="1078">
        <v>1032711.083333</v>
      </c>
      <c r="D61" s="1108">
        <v>12</v>
      </c>
      <c r="E61" s="1078">
        <f t="shared" si="6"/>
        <v>12392532.999996</v>
      </c>
      <c r="F61" s="1078"/>
      <c r="G61" s="938">
        <v>0</v>
      </c>
      <c r="H61" s="1082">
        <v>714697.92</v>
      </c>
      <c r="I61" s="938"/>
      <c r="J61" s="1078">
        <f t="shared" si="1"/>
        <v>714697.92</v>
      </c>
      <c r="K61" s="1078">
        <f t="shared" si="2"/>
        <v>11677835.079996</v>
      </c>
      <c r="L61" s="1078">
        <f t="shared" si="3"/>
        <v>1892010.31439928</v>
      </c>
      <c r="M61" s="471">
        <v>12</v>
      </c>
      <c r="N61" s="1111">
        <f t="shared" si="4"/>
        <v>157667.52619994</v>
      </c>
      <c r="O61" s="806">
        <v>134585.3912</v>
      </c>
      <c r="P61" s="806">
        <f t="shared" si="5"/>
        <v>23082.13499994</v>
      </c>
      <c r="Q61" s="807"/>
      <c r="R61" s="473"/>
      <c r="S61" s="473"/>
    </row>
    <row r="62" ht="15.5" spans="1:20">
      <c r="A62" s="467">
        <v>3</v>
      </c>
      <c r="B62" s="651" t="s">
        <v>144</v>
      </c>
      <c r="C62" s="1078">
        <v>904477</v>
      </c>
      <c r="D62" s="1108">
        <v>12</v>
      </c>
      <c r="E62" s="1078">
        <f t="shared" si="6"/>
        <v>10853724</v>
      </c>
      <c r="F62" s="1078"/>
      <c r="G62" s="938">
        <v>137703.15</v>
      </c>
      <c r="H62" s="1082">
        <v>714697.92</v>
      </c>
      <c r="I62" s="938"/>
      <c r="J62" s="1078">
        <f t="shared" si="1"/>
        <v>852401.07</v>
      </c>
      <c r="K62" s="1078">
        <f t="shared" si="2"/>
        <v>10001322.93</v>
      </c>
      <c r="L62" s="1078">
        <f t="shared" si="3"/>
        <v>1590238.1274</v>
      </c>
      <c r="M62" s="471">
        <v>12</v>
      </c>
      <c r="N62" s="1111">
        <f t="shared" si="4"/>
        <v>132519.84395</v>
      </c>
      <c r="O62" s="806">
        <v>132519.84395</v>
      </c>
      <c r="P62" s="806">
        <f t="shared" si="5"/>
        <v>0</v>
      </c>
      <c r="Q62" s="807"/>
      <c r="R62" s="473"/>
      <c r="S62" s="473"/>
    </row>
    <row r="63" ht="15.5" spans="1:20">
      <c r="A63" s="467">
        <v>4</v>
      </c>
      <c r="B63" s="651" t="s">
        <v>146</v>
      </c>
      <c r="C63" s="1078">
        <v>904477</v>
      </c>
      <c r="D63" s="1108">
        <v>12</v>
      </c>
      <c r="E63" s="1078">
        <f t="shared" si="6"/>
        <v>10853724</v>
      </c>
      <c r="F63" s="1078"/>
      <c r="G63" s="1078">
        <v>0</v>
      </c>
      <c r="H63" s="1082">
        <v>714697.92</v>
      </c>
      <c r="I63" s="938"/>
      <c r="J63" s="1078">
        <f t="shared" si="1"/>
        <v>714697.92</v>
      </c>
      <c r="K63" s="1078">
        <f t="shared" si="2"/>
        <v>10139026.08</v>
      </c>
      <c r="L63" s="1078">
        <f t="shared" si="3"/>
        <v>1615024.6944</v>
      </c>
      <c r="M63" s="471">
        <v>12</v>
      </c>
      <c r="N63" s="1111">
        <f t="shared" si="4"/>
        <v>134585.3912</v>
      </c>
      <c r="O63" s="806">
        <v>134585.3912</v>
      </c>
      <c r="P63" s="806">
        <f t="shared" si="5"/>
        <v>0</v>
      </c>
      <c r="Q63" s="807"/>
      <c r="R63" s="473"/>
      <c r="S63" s="473"/>
    </row>
    <row r="64" ht="15.5" spans="1:20">
      <c r="A64" s="467">
        <v>5</v>
      </c>
      <c r="B64" s="651" t="s">
        <v>147</v>
      </c>
      <c r="C64" s="1078">
        <v>882595.5</v>
      </c>
      <c r="D64" s="1108">
        <v>12</v>
      </c>
      <c r="E64" s="1078">
        <f t="shared" si="6"/>
        <v>10591146</v>
      </c>
      <c r="F64" s="1078"/>
      <c r="G64" s="1078">
        <v>0</v>
      </c>
      <c r="H64" s="1082">
        <v>693691.68</v>
      </c>
      <c r="I64" s="938"/>
      <c r="J64" s="1078">
        <f t="shared" si="1"/>
        <v>693691.68</v>
      </c>
      <c r="K64" s="1078">
        <f t="shared" si="2"/>
        <v>9897454.32</v>
      </c>
      <c r="L64" s="1078">
        <f t="shared" si="3"/>
        <v>1571541.7776</v>
      </c>
      <c r="M64" s="471">
        <v>12</v>
      </c>
      <c r="N64" s="1111">
        <f t="shared" si="4"/>
        <v>130961.8148</v>
      </c>
      <c r="O64" s="806">
        <v>130961.8148</v>
      </c>
      <c r="P64" s="806">
        <f t="shared" si="5"/>
        <v>0</v>
      </c>
      <c r="Q64" s="807"/>
      <c r="R64" s="473"/>
      <c r="S64" s="473"/>
    </row>
    <row r="65" ht="15.5" spans="1:19">
      <c r="A65" s="467">
        <v>6</v>
      </c>
      <c r="B65" s="643" t="s">
        <v>148</v>
      </c>
      <c r="C65" s="1078">
        <v>882595.5</v>
      </c>
      <c r="D65" s="1108">
        <v>12</v>
      </c>
      <c r="E65" s="1078">
        <f t="shared" si="6"/>
        <v>10591146</v>
      </c>
      <c r="F65" s="1078"/>
      <c r="G65" s="1078">
        <v>0</v>
      </c>
      <c r="H65" s="1082">
        <v>693691.68</v>
      </c>
      <c r="I65" s="938"/>
      <c r="J65" s="1078">
        <f t="shared" si="1"/>
        <v>693691.68</v>
      </c>
      <c r="K65" s="1078">
        <f t="shared" si="2"/>
        <v>9897454.32</v>
      </c>
      <c r="L65" s="1078">
        <f t="shared" si="3"/>
        <v>1571541.7776</v>
      </c>
      <c r="M65" s="471">
        <v>12</v>
      </c>
      <c r="N65" s="1111">
        <f t="shared" si="4"/>
        <v>130961.8148</v>
      </c>
      <c r="O65" s="806">
        <v>130961.8148</v>
      </c>
      <c r="P65" s="806">
        <f t="shared" si="5"/>
        <v>0</v>
      </c>
      <c r="Q65" s="807"/>
      <c r="R65" s="473"/>
      <c r="S65" s="473"/>
    </row>
    <row r="66" ht="15.5" spans="1:19">
      <c r="A66" s="467">
        <v>7</v>
      </c>
      <c r="B66" s="651" t="s">
        <v>149</v>
      </c>
      <c r="C66" s="1078">
        <v>564993.583333333</v>
      </c>
      <c r="D66" s="1108">
        <v>12</v>
      </c>
      <c r="E66" s="1078">
        <f t="shared" si="6"/>
        <v>6779923</v>
      </c>
      <c r="F66" s="1078"/>
      <c r="G66" s="1078">
        <v>0</v>
      </c>
      <c r="H66" s="1082">
        <v>436793.84</v>
      </c>
      <c r="I66" s="938"/>
      <c r="J66" s="1078">
        <f t="shared" si="1"/>
        <v>436793.84</v>
      </c>
      <c r="K66" s="1078">
        <f t="shared" si="2"/>
        <v>6343129.16</v>
      </c>
      <c r="L66" s="1078">
        <f t="shared" si="3"/>
        <v>931763.248799999</v>
      </c>
      <c r="M66" s="471">
        <v>12</v>
      </c>
      <c r="N66" s="1111">
        <f t="shared" si="4"/>
        <v>77646.9374</v>
      </c>
      <c r="O66" s="806">
        <v>77646.9374</v>
      </c>
      <c r="P66" s="806">
        <f t="shared" si="5"/>
        <v>0</v>
      </c>
      <c r="Q66" s="807"/>
      <c r="R66" s="473"/>
      <c r="S66" s="473"/>
    </row>
    <row r="67" ht="15.5" spans="1:19">
      <c r="A67" s="467">
        <v>8</v>
      </c>
      <c r="B67" s="651" t="s">
        <v>151</v>
      </c>
      <c r="C67" s="1078">
        <v>499131.166666667</v>
      </c>
      <c r="D67" s="1108">
        <v>12</v>
      </c>
      <c r="E67" s="1078">
        <f t="shared" si="6"/>
        <v>5989574</v>
      </c>
      <c r="F67" s="1078"/>
      <c r="G67" s="1078">
        <v>0</v>
      </c>
      <c r="H67" s="1082">
        <v>383165.92</v>
      </c>
      <c r="I67" s="938"/>
      <c r="J67" s="1078">
        <f t="shared" si="1"/>
        <v>383165.92</v>
      </c>
      <c r="K67" s="1078">
        <f t="shared" si="2"/>
        <v>5606408.08</v>
      </c>
      <c r="L67" s="1078">
        <f t="shared" si="3"/>
        <v>799153.454400001</v>
      </c>
      <c r="M67" s="471">
        <v>12</v>
      </c>
      <c r="N67" s="1111">
        <f t="shared" si="4"/>
        <v>66596.1212000001</v>
      </c>
      <c r="O67" s="806">
        <v>66596.1212000001</v>
      </c>
      <c r="P67" s="806">
        <f t="shared" si="5"/>
        <v>0</v>
      </c>
      <c r="Q67" s="807"/>
      <c r="R67" s="473"/>
      <c r="S67" s="473"/>
    </row>
    <row r="68" ht="15.5" spans="1:19">
      <c r="A68" s="467">
        <v>9</v>
      </c>
      <c r="B68" s="651" t="s">
        <v>154</v>
      </c>
      <c r="C68" s="1078">
        <v>481140.666666666</v>
      </c>
      <c r="D68" s="1108">
        <v>12</v>
      </c>
      <c r="E68" s="1078">
        <f t="shared" si="6"/>
        <v>5773687.99999999</v>
      </c>
      <c r="F68" s="1078"/>
      <c r="G68" s="1078">
        <v>0</v>
      </c>
      <c r="H68" s="1082">
        <v>365895.039999999</v>
      </c>
      <c r="I68" s="938"/>
      <c r="J68" s="1078">
        <f t="shared" si="1"/>
        <v>365895.039999999</v>
      </c>
      <c r="K68" s="1078">
        <f t="shared" si="2"/>
        <v>5407792.95999999</v>
      </c>
      <c r="L68" s="1078">
        <f t="shared" si="3"/>
        <v>763402.732799999</v>
      </c>
      <c r="M68" s="471">
        <v>12</v>
      </c>
      <c r="N68" s="1111">
        <f t="shared" si="4"/>
        <v>63616.8943999999</v>
      </c>
      <c r="O68" s="806">
        <v>63616.8943999999</v>
      </c>
      <c r="P68" s="806">
        <f t="shared" si="5"/>
        <v>0</v>
      </c>
      <c r="Q68" s="807"/>
      <c r="R68" s="473"/>
      <c r="S68" s="473"/>
    </row>
    <row r="69" ht="15.5" spans="1:19">
      <c r="A69" s="467">
        <v>10</v>
      </c>
      <c r="B69" s="651" t="s">
        <v>155</v>
      </c>
      <c r="C69" s="1078">
        <v>455320.666666667</v>
      </c>
      <c r="D69" s="1108">
        <v>12</v>
      </c>
      <c r="E69" s="1078">
        <f t="shared" si="6"/>
        <v>5463848</v>
      </c>
      <c r="F69" s="1078"/>
      <c r="G69" s="1078">
        <v>0</v>
      </c>
      <c r="H69" s="1082">
        <v>341107.84</v>
      </c>
      <c r="I69" s="938"/>
      <c r="J69" s="1078">
        <f t="shared" si="1"/>
        <v>341107.84</v>
      </c>
      <c r="K69" s="1078">
        <f t="shared" si="2"/>
        <v>5122740.16</v>
      </c>
      <c r="L69" s="1078">
        <f t="shared" si="3"/>
        <v>712093.228800001</v>
      </c>
      <c r="M69" s="471">
        <v>12</v>
      </c>
      <c r="N69" s="1111">
        <f t="shared" si="4"/>
        <v>59341.1024000001</v>
      </c>
      <c r="O69" s="806">
        <v>59341.1024000001</v>
      </c>
      <c r="P69" s="806">
        <f t="shared" si="5"/>
        <v>0</v>
      </c>
      <c r="Q69" s="807"/>
      <c r="R69" s="473"/>
      <c r="S69" s="473"/>
    </row>
    <row r="70" ht="15.5" spans="1:19">
      <c r="A70" s="467">
        <v>11</v>
      </c>
      <c r="B70" s="651" t="s">
        <v>157</v>
      </c>
      <c r="C70" s="1078">
        <v>455320.666666667</v>
      </c>
      <c r="D70" s="1108">
        <v>12</v>
      </c>
      <c r="E70" s="1078">
        <f t="shared" si="6"/>
        <v>5463848</v>
      </c>
      <c r="F70" s="1078"/>
      <c r="G70" s="1078">
        <v>0</v>
      </c>
      <c r="H70" s="1082">
        <v>341107.84</v>
      </c>
      <c r="I70" s="938"/>
      <c r="J70" s="1078">
        <f t="shared" si="1"/>
        <v>341107.84</v>
      </c>
      <c r="K70" s="1078">
        <f t="shared" si="2"/>
        <v>5122740.16</v>
      </c>
      <c r="L70" s="1078">
        <f t="shared" si="3"/>
        <v>712093.228800001</v>
      </c>
      <c r="M70" s="471">
        <v>12</v>
      </c>
      <c r="N70" s="1111">
        <f t="shared" si="4"/>
        <v>59341.1024000001</v>
      </c>
      <c r="O70" s="806">
        <v>59341.1024000001</v>
      </c>
      <c r="P70" s="806">
        <f t="shared" si="5"/>
        <v>0</v>
      </c>
      <c r="Q70" s="807"/>
      <c r="R70" s="473"/>
      <c r="S70" s="473"/>
    </row>
    <row r="71" ht="15.5" spans="1:19">
      <c r="A71" s="467">
        <v>12</v>
      </c>
      <c r="B71" s="651" t="s">
        <v>158</v>
      </c>
      <c r="C71" s="1078">
        <v>438711.666666667</v>
      </c>
      <c r="D71" s="1108">
        <v>12</v>
      </c>
      <c r="E71" s="1078">
        <f t="shared" si="6"/>
        <v>5264540</v>
      </c>
      <c r="F71" s="1078"/>
      <c r="G71" s="1078">
        <v>0</v>
      </c>
      <c r="H71" s="1082">
        <v>325163.2</v>
      </c>
      <c r="I71" s="938"/>
      <c r="J71" s="1078">
        <f t="shared" ref="J71:J134" si="9">F71+G71+H71</f>
        <v>325163.2</v>
      </c>
      <c r="K71" s="1078">
        <f t="shared" ref="K71:K134" si="10">E71-J71</f>
        <v>4939376.8</v>
      </c>
      <c r="L71" s="1078">
        <f t="shared" ref="L71:L134" si="11">IF(K71&lt;=800000,0,IF(K71&lt;=3000000,(K71-800000)*15%,IF(K71&lt;=12000000,330000+(K71-3000000)*18%,IF(K71&lt;=25000000,1950000+(K71-12000000)*21%,IF(K71&lt;=50000000,4680000+(K71-25000000)*23%,10430000+(K71-50000000)*25%)))))</f>
        <v>679087.824000001</v>
      </c>
      <c r="M71" s="471">
        <v>12</v>
      </c>
      <c r="N71" s="1111">
        <f t="shared" ref="N71:N134" si="12">L71/M71</f>
        <v>56590.6520000001</v>
      </c>
      <c r="O71" s="806">
        <v>56590.6520000001</v>
      </c>
      <c r="P71" s="806">
        <f t="shared" ref="P71:P134" si="13">N71-O71</f>
        <v>0</v>
      </c>
      <c r="Q71" s="807"/>
      <c r="R71" s="473"/>
      <c r="S71" s="473"/>
    </row>
    <row r="72" ht="15" spans="1:19">
      <c r="A72" s="467"/>
      <c r="B72" s="869" t="s">
        <v>120</v>
      </c>
      <c r="C72" s="1138">
        <f>SUM(C60:C71)</f>
        <v>9398833.833333</v>
      </c>
      <c r="D72" s="1139"/>
      <c r="E72" s="1138">
        <f t="shared" ref="D72:P72" si="14">SUM(E60:E71)</f>
        <v>112786005.999996</v>
      </c>
      <c r="F72" s="1138"/>
      <c r="G72" s="1138">
        <f t="shared" si="14"/>
        <v>137703.15</v>
      </c>
      <c r="H72" s="1138">
        <f t="shared" si="14"/>
        <v>7354175.76</v>
      </c>
      <c r="I72" s="1138"/>
      <c r="J72" s="1138">
        <f t="shared" si="14"/>
        <v>7491878.91</v>
      </c>
      <c r="K72" s="1138">
        <f t="shared" si="14"/>
        <v>105294127.089996</v>
      </c>
      <c r="L72" s="1138">
        <f t="shared" si="14"/>
        <v>16707108.2873993</v>
      </c>
      <c r="M72" s="1138"/>
      <c r="N72" s="1140">
        <f t="shared" si="14"/>
        <v>1392259.02394994</v>
      </c>
      <c r="O72" s="1138">
        <v>1369176.88895</v>
      </c>
      <c r="P72" s="1138">
        <f t="shared" si="14"/>
        <v>23082.13499994</v>
      </c>
      <c r="Q72" s="807"/>
      <c r="R72" s="473"/>
      <c r="S72" s="473"/>
    </row>
    <row r="73" ht="15" spans="1:19">
      <c r="A73" s="467"/>
      <c r="B73" s="866"/>
      <c r="C73" s="1078"/>
      <c r="D73" s="1108"/>
      <c r="E73" s="1078"/>
      <c r="F73" s="1078"/>
      <c r="G73" s="1078"/>
      <c r="H73" s="938"/>
      <c r="I73" s="938"/>
      <c r="J73" s="1078"/>
      <c r="K73" s="1078"/>
      <c r="L73" s="1078"/>
      <c r="M73" s="471"/>
      <c r="N73" s="1111"/>
      <c r="O73" s="806"/>
      <c r="P73" s="806"/>
      <c r="Q73" s="807"/>
      <c r="R73" s="473"/>
      <c r="S73" s="473"/>
    </row>
    <row r="74" ht="15" spans="1:19">
      <c r="A74" s="467"/>
      <c r="B74" s="866" t="s">
        <v>159</v>
      </c>
      <c r="C74" s="1078"/>
      <c r="D74" s="1108"/>
      <c r="E74" s="1078"/>
      <c r="F74" s="1078"/>
      <c r="G74" s="1078"/>
      <c r="H74" s="1082"/>
      <c r="I74" s="938"/>
      <c r="J74" s="1078"/>
      <c r="K74" s="1078"/>
      <c r="L74" s="1078"/>
      <c r="M74" s="471"/>
      <c r="N74" s="1111"/>
      <c r="O74" s="806"/>
      <c r="P74" s="806"/>
      <c r="Q74" s="807"/>
      <c r="R74" s="473"/>
      <c r="S74" s="473"/>
    </row>
    <row r="75" ht="15.5" spans="1:19">
      <c r="A75" s="467">
        <v>1</v>
      </c>
      <c r="B75" s="651" t="s">
        <v>160</v>
      </c>
      <c r="C75" s="1078">
        <v>1947106.41666666</v>
      </c>
      <c r="D75" s="1108">
        <v>12</v>
      </c>
      <c r="E75" s="1078">
        <f t="shared" si="6"/>
        <v>23365276.9999999</v>
      </c>
      <c r="F75" s="1078"/>
      <c r="G75" s="1078">
        <v>0</v>
      </c>
      <c r="H75" s="1078">
        <v>1677222.16</v>
      </c>
      <c r="I75" s="938"/>
      <c r="J75" s="1078">
        <f t="shared" si="9"/>
        <v>1677222.16</v>
      </c>
      <c r="K75" s="1078">
        <f t="shared" si="10"/>
        <v>21688054.8399999</v>
      </c>
      <c r="L75" s="1078">
        <f t="shared" si="11"/>
        <v>3984491.51639998</v>
      </c>
      <c r="M75" s="471">
        <v>12</v>
      </c>
      <c r="N75" s="1111">
        <f t="shared" si="12"/>
        <v>332040.959699999</v>
      </c>
      <c r="O75" s="806">
        <v>332040.959699999</v>
      </c>
      <c r="P75" s="806">
        <f t="shared" si="13"/>
        <v>-4.65661287307739e-10</v>
      </c>
      <c r="Q75" s="807"/>
      <c r="R75" s="473"/>
      <c r="S75" s="473"/>
    </row>
    <row r="76" ht="15.5" spans="1:19">
      <c r="A76" s="467">
        <v>2</v>
      </c>
      <c r="B76" s="651" t="s">
        <v>162</v>
      </c>
      <c r="C76" s="1078">
        <v>942711.083333</v>
      </c>
      <c r="D76" s="1108">
        <v>12</v>
      </c>
      <c r="E76" s="1078">
        <f t="shared" si="6"/>
        <v>11312532.999996</v>
      </c>
      <c r="F76" s="1078"/>
      <c r="G76" s="1078">
        <v>0</v>
      </c>
      <c r="H76" s="938">
        <v>714697.92</v>
      </c>
      <c r="I76" s="938"/>
      <c r="J76" s="1078">
        <f t="shared" si="9"/>
        <v>714697.92</v>
      </c>
      <c r="K76" s="1078">
        <f t="shared" si="10"/>
        <v>10597835.079996</v>
      </c>
      <c r="L76" s="1078">
        <f t="shared" si="11"/>
        <v>1697610.31439928</v>
      </c>
      <c r="M76" s="471">
        <v>12</v>
      </c>
      <c r="N76" s="1111">
        <f t="shared" si="12"/>
        <v>141467.52619994</v>
      </c>
      <c r="O76" s="806">
        <v>120185.3912</v>
      </c>
      <c r="P76" s="806">
        <f t="shared" si="13"/>
        <v>21282.13499994</v>
      </c>
      <c r="Q76" s="807"/>
      <c r="R76" s="473"/>
      <c r="S76" s="473"/>
    </row>
    <row r="77" ht="15" spans="1:19">
      <c r="A77" s="467"/>
      <c r="B77" s="866"/>
      <c r="C77" s="1134">
        <f>SUM(C75:C76)</f>
        <v>2889817.49999966</v>
      </c>
      <c r="D77" s="1135"/>
      <c r="E77" s="1134">
        <f t="shared" ref="D77:P77" si="15">SUM(E75:E76)</f>
        <v>34677809.9999959</v>
      </c>
      <c r="F77" s="1134"/>
      <c r="G77" s="1134">
        <f t="shared" si="15"/>
        <v>0</v>
      </c>
      <c r="H77" s="1134">
        <f t="shared" si="15"/>
        <v>2391920.08</v>
      </c>
      <c r="I77" s="1134"/>
      <c r="J77" s="1134">
        <f t="shared" si="15"/>
        <v>2391920.08</v>
      </c>
      <c r="K77" s="1134">
        <f t="shared" si="15"/>
        <v>32285889.9199959</v>
      </c>
      <c r="L77" s="1134">
        <f t="shared" si="15"/>
        <v>5682101.83079926</v>
      </c>
      <c r="M77" s="1134"/>
      <c r="N77" s="1136">
        <f t="shared" si="15"/>
        <v>473508.485899939</v>
      </c>
      <c r="O77" s="1134">
        <v>452226.350899999</v>
      </c>
      <c r="P77" s="1134">
        <f t="shared" si="15"/>
        <v>21282.1349999395</v>
      </c>
      <c r="Q77" s="807"/>
      <c r="R77" s="473"/>
      <c r="S77" s="473"/>
    </row>
    <row r="78" ht="15.5" spans="1:19">
      <c r="A78" s="467"/>
      <c r="B78" s="651"/>
      <c r="C78" s="1078"/>
      <c r="D78" s="1108"/>
      <c r="E78" s="1078"/>
      <c r="F78" s="1078"/>
      <c r="G78" s="1078"/>
      <c r="H78" s="1082"/>
      <c r="I78" s="938"/>
      <c r="J78" s="1078"/>
      <c r="K78" s="1078"/>
      <c r="L78" s="1078"/>
      <c r="M78" s="471"/>
      <c r="N78" s="1111"/>
      <c r="O78" s="806"/>
      <c r="P78" s="806"/>
      <c r="Q78" s="807"/>
      <c r="R78" s="473"/>
      <c r="S78" s="473"/>
    </row>
    <row r="79" ht="23.25" customHeight="1" spans="1:19">
      <c r="A79" s="467"/>
      <c r="B79" s="869" t="s">
        <v>164</v>
      </c>
      <c r="C79" s="1078"/>
      <c r="D79" s="1108"/>
      <c r="E79" s="1078"/>
      <c r="F79" s="1078"/>
      <c r="G79" s="1078"/>
      <c r="H79" s="766"/>
      <c r="I79" s="938"/>
      <c r="J79" s="1078"/>
      <c r="K79" s="1078"/>
      <c r="L79" s="1078"/>
      <c r="M79" s="471"/>
      <c r="N79" s="1111"/>
      <c r="O79" s="806"/>
      <c r="P79" s="806"/>
      <c r="Q79" s="807"/>
      <c r="R79" s="473"/>
      <c r="S79" s="473"/>
    </row>
    <row r="80" ht="15.5" spans="1:19">
      <c r="A80" s="467">
        <v>1</v>
      </c>
      <c r="B80" s="651" t="s">
        <v>165</v>
      </c>
      <c r="C80" s="1078">
        <v>1085306.75</v>
      </c>
      <c r="D80" s="1108">
        <v>12</v>
      </c>
      <c r="E80" s="1078">
        <f t="shared" si="6"/>
        <v>13023681</v>
      </c>
      <c r="F80" s="1078"/>
      <c r="G80" s="1078">
        <v>166400.85</v>
      </c>
      <c r="H80" s="1082">
        <v>869094.48</v>
      </c>
      <c r="I80" s="938"/>
      <c r="J80" s="1078">
        <f t="shared" si="9"/>
        <v>1035495.33</v>
      </c>
      <c r="K80" s="1078">
        <f t="shared" si="10"/>
        <v>11988185.67</v>
      </c>
      <c r="L80" s="1078">
        <f t="shared" si="11"/>
        <v>1947873.4206</v>
      </c>
      <c r="M80" s="471">
        <v>12</v>
      </c>
      <c r="N80" s="1111">
        <f t="shared" si="12"/>
        <v>162322.78505</v>
      </c>
      <c r="O80" s="806">
        <v>162322.78505</v>
      </c>
      <c r="P80" s="806">
        <f t="shared" si="13"/>
        <v>0</v>
      </c>
      <c r="Q80" s="807"/>
      <c r="R80" s="473"/>
      <c r="S80" s="473"/>
    </row>
    <row r="81" ht="15.5" spans="1:19">
      <c r="A81" s="467">
        <v>2</v>
      </c>
      <c r="B81" s="351" t="s">
        <v>167</v>
      </c>
      <c r="C81" s="1078">
        <v>713911.083333334</v>
      </c>
      <c r="D81" s="1108">
        <v>12</v>
      </c>
      <c r="E81" s="1078">
        <f t="shared" si="6"/>
        <v>8566933.00000001</v>
      </c>
      <c r="F81" s="1078"/>
      <c r="G81" s="1078">
        <v>0</v>
      </c>
      <c r="H81" s="1082">
        <v>550954.640000001</v>
      </c>
      <c r="I81" s="938"/>
      <c r="J81" s="1078">
        <f t="shared" si="9"/>
        <v>550954.640000001</v>
      </c>
      <c r="K81" s="1078">
        <f t="shared" si="10"/>
        <v>8015978.36000001</v>
      </c>
      <c r="L81" s="1078">
        <f t="shared" si="11"/>
        <v>1232876.1048</v>
      </c>
      <c r="M81" s="471">
        <v>12</v>
      </c>
      <c r="N81" s="1111">
        <f t="shared" si="12"/>
        <v>102739.6754</v>
      </c>
      <c r="O81" s="806">
        <v>102739.6754</v>
      </c>
      <c r="P81" s="806">
        <f t="shared" si="13"/>
        <v>1.16415321826935e-10</v>
      </c>
      <c r="Q81" s="807"/>
      <c r="R81" s="473"/>
      <c r="S81" s="473"/>
    </row>
    <row r="82" ht="15.5" spans="1:19">
      <c r="A82" s="467">
        <v>3</v>
      </c>
      <c r="B82" s="643" t="s">
        <v>168</v>
      </c>
      <c r="C82" s="1078">
        <v>617472.75</v>
      </c>
      <c r="D82" s="1108">
        <v>12</v>
      </c>
      <c r="E82" s="1078">
        <f t="shared" si="6"/>
        <v>7409673</v>
      </c>
      <c r="F82" s="1078"/>
      <c r="G82" s="1078">
        <v>93501.975</v>
      </c>
      <c r="H82" s="1082">
        <v>477573.84</v>
      </c>
      <c r="I82" s="938"/>
      <c r="J82" s="1078">
        <f t="shared" si="9"/>
        <v>571075.815</v>
      </c>
      <c r="K82" s="1078">
        <f t="shared" si="10"/>
        <v>6838597.185</v>
      </c>
      <c r="L82" s="1078">
        <f t="shared" si="11"/>
        <v>1020947.4933</v>
      </c>
      <c r="M82" s="471">
        <v>12</v>
      </c>
      <c r="N82" s="1111">
        <f t="shared" si="12"/>
        <v>85078.957775</v>
      </c>
      <c r="O82" s="806">
        <v>85078.957775</v>
      </c>
      <c r="P82" s="806">
        <f t="shared" si="13"/>
        <v>0</v>
      </c>
      <c r="Q82" s="807"/>
      <c r="R82" s="473"/>
      <c r="S82" s="473"/>
    </row>
    <row r="83" ht="15.5" spans="1:19">
      <c r="A83" s="467">
        <v>4</v>
      </c>
      <c r="B83" s="651" t="s">
        <v>170</v>
      </c>
      <c r="C83" s="1078">
        <v>617472.75</v>
      </c>
      <c r="D83" s="1108">
        <v>12</v>
      </c>
      <c r="E83" s="1078">
        <f t="shared" si="6"/>
        <v>7409673</v>
      </c>
      <c r="F83" s="1078"/>
      <c r="G83" s="1078">
        <v>93501.975</v>
      </c>
      <c r="H83" s="1082">
        <v>477573.84</v>
      </c>
      <c r="I83" s="938"/>
      <c r="J83" s="1078">
        <f t="shared" si="9"/>
        <v>571075.815</v>
      </c>
      <c r="K83" s="1078">
        <f t="shared" si="10"/>
        <v>6838597.185</v>
      </c>
      <c r="L83" s="1078">
        <f t="shared" si="11"/>
        <v>1020947.4933</v>
      </c>
      <c r="M83" s="471">
        <v>12</v>
      </c>
      <c r="N83" s="1111">
        <f t="shared" si="12"/>
        <v>85078.957775</v>
      </c>
      <c r="O83" s="806">
        <v>85078.957775</v>
      </c>
      <c r="P83" s="806">
        <f t="shared" si="13"/>
        <v>0</v>
      </c>
      <c r="Q83" s="807"/>
      <c r="R83" s="473"/>
      <c r="S83" s="473"/>
    </row>
    <row r="84" ht="15.5" spans="1:19">
      <c r="A84" s="467">
        <v>5</v>
      </c>
      <c r="B84" s="651" t="s">
        <v>171</v>
      </c>
      <c r="C84" s="1078">
        <v>616972.661290322</v>
      </c>
      <c r="D84" s="1108">
        <v>12</v>
      </c>
      <c r="E84" s="1078">
        <f t="shared" si="6"/>
        <v>7403671.93548386</v>
      </c>
      <c r="F84" s="1078"/>
      <c r="G84" s="1078">
        <v>90863.6000000001</v>
      </c>
      <c r="H84" s="1082">
        <v>463356.16</v>
      </c>
      <c r="I84" s="938"/>
      <c r="J84" s="1078">
        <f t="shared" si="9"/>
        <v>554219.76</v>
      </c>
      <c r="K84" s="1078">
        <f t="shared" si="10"/>
        <v>6849452.17548386</v>
      </c>
      <c r="L84" s="1078">
        <f t="shared" si="11"/>
        <v>1022901.3915871</v>
      </c>
      <c r="M84" s="471">
        <v>12</v>
      </c>
      <c r="N84" s="1111">
        <f t="shared" si="12"/>
        <v>85241.7826322579</v>
      </c>
      <c r="O84" s="806">
        <v>85241.7826322579</v>
      </c>
      <c r="P84" s="806">
        <f t="shared" si="13"/>
        <v>0</v>
      </c>
      <c r="Q84" s="807"/>
      <c r="R84" s="473"/>
      <c r="S84" s="473"/>
    </row>
    <row r="85" ht="15.5" spans="1:19">
      <c r="A85" s="467">
        <v>6</v>
      </c>
      <c r="B85" s="651" t="s">
        <v>172</v>
      </c>
      <c r="C85" s="1078">
        <v>592662.666666667</v>
      </c>
      <c r="D85" s="1108">
        <v>12</v>
      </c>
      <c r="E85" s="1078">
        <f t="shared" si="6"/>
        <v>7111952</v>
      </c>
      <c r="F85" s="1078"/>
      <c r="G85" s="1078">
        <v>0</v>
      </c>
      <c r="H85" s="1082">
        <v>463356.16</v>
      </c>
      <c r="I85" s="938"/>
      <c r="J85" s="1078">
        <f t="shared" si="9"/>
        <v>463356.16</v>
      </c>
      <c r="K85" s="1078">
        <f t="shared" si="10"/>
        <v>6648595.84</v>
      </c>
      <c r="L85" s="1078">
        <f t="shared" si="11"/>
        <v>986747.251200001</v>
      </c>
      <c r="M85" s="471">
        <v>12</v>
      </c>
      <c r="N85" s="1111">
        <f t="shared" si="12"/>
        <v>82228.9376</v>
      </c>
      <c r="O85" s="806">
        <v>82228.9376</v>
      </c>
      <c r="P85" s="806">
        <f t="shared" si="13"/>
        <v>0</v>
      </c>
      <c r="Q85" s="807"/>
      <c r="R85" s="473"/>
      <c r="S85" s="473"/>
    </row>
    <row r="86" ht="15.5" spans="1:19">
      <c r="A86" s="467">
        <v>7</v>
      </c>
      <c r="B86" s="651" t="s">
        <v>174</v>
      </c>
      <c r="C86" s="1078">
        <v>592662.666666667</v>
      </c>
      <c r="D86" s="1108">
        <v>12</v>
      </c>
      <c r="E86" s="1078">
        <f t="shared" si="6"/>
        <v>7111952</v>
      </c>
      <c r="F86" s="1078"/>
      <c r="G86" s="1078">
        <v>0</v>
      </c>
      <c r="H86" s="1082">
        <v>463356.16</v>
      </c>
      <c r="I86" s="938"/>
      <c r="J86" s="1078">
        <f t="shared" si="9"/>
        <v>463356.16</v>
      </c>
      <c r="K86" s="1078">
        <f t="shared" si="10"/>
        <v>6648595.84</v>
      </c>
      <c r="L86" s="1078">
        <f t="shared" si="11"/>
        <v>986747.251200001</v>
      </c>
      <c r="M86" s="471">
        <v>12</v>
      </c>
      <c r="N86" s="1111">
        <f t="shared" si="12"/>
        <v>82228.9376</v>
      </c>
      <c r="O86" s="806">
        <v>82228.9376</v>
      </c>
      <c r="P86" s="806">
        <f t="shared" si="13"/>
        <v>0</v>
      </c>
      <c r="Q86" s="807"/>
      <c r="R86" s="473"/>
      <c r="S86" s="473"/>
    </row>
    <row r="87" ht="15.5" spans="1:19">
      <c r="A87" s="467">
        <v>8</v>
      </c>
      <c r="B87" s="651" t="s">
        <v>175</v>
      </c>
      <c r="C87" s="1078">
        <v>602846.583333333</v>
      </c>
      <c r="D87" s="1108">
        <v>12</v>
      </c>
      <c r="E87" s="1078">
        <f t="shared" si="6"/>
        <v>7234159</v>
      </c>
      <c r="F87" s="1078"/>
      <c r="G87" s="1078">
        <v>0</v>
      </c>
      <c r="H87" s="1082">
        <v>463532.72</v>
      </c>
      <c r="I87" s="938"/>
      <c r="J87" s="1078">
        <f t="shared" si="9"/>
        <v>463532.72</v>
      </c>
      <c r="K87" s="1078">
        <f t="shared" si="10"/>
        <v>6770626.28</v>
      </c>
      <c r="L87" s="1078">
        <f t="shared" si="11"/>
        <v>1008712.7304</v>
      </c>
      <c r="M87" s="471">
        <v>12</v>
      </c>
      <c r="N87" s="1111">
        <f t="shared" si="12"/>
        <v>84059.3941999999</v>
      </c>
      <c r="O87" s="806">
        <v>84059.3941999999</v>
      </c>
      <c r="P87" s="806">
        <f t="shared" si="13"/>
        <v>0</v>
      </c>
      <c r="Q87" s="807"/>
      <c r="R87" s="473"/>
      <c r="S87" s="473"/>
    </row>
    <row r="88" s="289" customFormat="1" ht="15.5" spans="1:19">
      <c r="A88" s="1126">
        <v>9</v>
      </c>
      <c r="B88" s="1137" t="s">
        <v>177</v>
      </c>
      <c r="C88" s="1111">
        <v>564993.583333333</v>
      </c>
      <c r="D88" s="1128">
        <v>12</v>
      </c>
      <c r="E88" s="1111">
        <f t="shared" si="6"/>
        <v>6779923</v>
      </c>
      <c r="F88" s="1111">
        <v>240000</v>
      </c>
      <c r="G88" s="1111">
        <v>85934.1249999999</v>
      </c>
      <c r="H88" s="1129">
        <v>436793.84</v>
      </c>
      <c r="I88" s="1141"/>
      <c r="J88" s="1111">
        <f t="shared" si="9"/>
        <v>762727.965</v>
      </c>
      <c r="K88" s="1111">
        <f t="shared" si="10"/>
        <v>6017195.035</v>
      </c>
      <c r="L88" s="1111">
        <f t="shared" si="11"/>
        <v>873095.106299999</v>
      </c>
      <c r="M88" s="1130">
        <v>12</v>
      </c>
      <c r="N88" s="1111">
        <f t="shared" si="12"/>
        <v>72757.9255249999</v>
      </c>
      <c r="O88" s="1131">
        <v>76357.9255249999</v>
      </c>
      <c r="P88" s="1131">
        <f t="shared" si="13"/>
        <v>-3599.99999999996</v>
      </c>
      <c r="Q88" s="1132"/>
      <c r="R88" s="1133"/>
      <c r="S88" s="1133"/>
    </row>
    <row r="89" s="926" customFormat="1" ht="15.5" spans="1:19">
      <c r="A89" s="1115">
        <v>10</v>
      </c>
      <c r="B89" s="1116" t="s">
        <v>179</v>
      </c>
      <c r="C89" s="1119">
        <v>551159</v>
      </c>
      <c r="D89" s="1118">
        <v>12</v>
      </c>
      <c r="E89" s="1119">
        <f t="shared" si="6"/>
        <v>6613908</v>
      </c>
      <c r="F89" s="1119">
        <v>500000</v>
      </c>
      <c r="G89" s="1119">
        <v>75440.3750000001</v>
      </c>
      <c r="H89" s="1125">
        <v>383165.92</v>
      </c>
      <c r="I89" s="1142"/>
      <c r="J89" s="1119">
        <f t="shared" si="9"/>
        <v>958606.295</v>
      </c>
      <c r="K89" s="1119">
        <f t="shared" si="10"/>
        <v>5655301.705</v>
      </c>
      <c r="L89" s="1119">
        <f t="shared" si="11"/>
        <v>807954.3069</v>
      </c>
      <c r="M89" s="1120">
        <v>12</v>
      </c>
      <c r="N89" s="1119">
        <f t="shared" si="12"/>
        <v>67329.525575</v>
      </c>
      <c r="O89" s="1121">
        <v>270358.198670832</v>
      </c>
      <c r="P89" s="1121">
        <f t="shared" si="13"/>
        <v>-203028.673095832</v>
      </c>
      <c r="Q89" s="1122"/>
      <c r="R89" s="1123"/>
      <c r="S89" s="1123"/>
    </row>
    <row r="90" ht="20" customHeight="1" spans="1:19">
      <c r="A90" s="467">
        <v>11</v>
      </c>
      <c r="B90" s="651" t="s">
        <v>181</v>
      </c>
      <c r="C90" s="1078">
        <v>438711.666666667</v>
      </c>
      <c r="D90" s="1108">
        <v>12</v>
      </c>
      <c r="E90" s="1078">
        <f t="shared" si="6"/>
        <v>5264540</v>
      </c>
      <c r="F90" s="1078"/>
      <c r="G90" s="1078">
        <v>0</v>
      </c>
      <c r="H90" s="938">
        <v>325163.2</v>
      </c>
      <c r="I90" s="938"/>
      <c r="J90" s="1078">
        <f t="shared" si="9"/>
        <v>325163.2</v>
      </c>
      <c r="K90" s="1078">
        <f t="shared" si="10"/>
        <v>4939376.8</v>
      </c>
      <c r="L90" s="1078">
        <f t="shared" si="11"/>
        <v>679087.824000001</v>
      </c>
      <c r="M90" s="471">
        <v>12</v>
      </c>
      <c r="N90" s="1111">
        <f t="shared" si="12"/>
        <v>56590.6520000001</v>
      </c>
      <c r="O90" s="806">
        <v>56590.6520000001</v>
      </c>
      <c r="P90" s="806">
        <f t="shared" si="13"/>
        <v>0</v>
      </c>
      <c r="Q90" s="807"/>
      <c r="R90" s="473"/>
      <c r="S90" s="473"/>
    </row>
    <row r="91" ht="15" spans="1:19">
      <c r="A91" s="467"/>
      <c r="B91" s="866"/>
      <c r="C91" s="1134">
        <f>SUM(C80:C90)</f>
        <v>6994172.16129032</v>
      </c>
      <c r="D91" s="1135"/>
      <c r="E91" s="1134">
        <f t="shared" ref="D91:P91" si="16">SUM(E80:E90)</f>
        <v>83930065.9354839</v>
      </c>
      <c r="F91" s="1134"/>
      <c r="G91" s="1134">
        <f t="shared" si="16"/>
        <v>605642.9</v>
      </c>
      <c r="H91" s="1134">
        <f t="shared" si="16"/>
        <v>5373920.96</v>
      </c>
      <c r="I91" s="1134"/>
      <c r="J91" s="1134">
        <f t="shared" si="16"/>
        <v>6719563.86</v>
      </c>
      <c r="K91" s="1134">
        <f t="shared" si="16"/>
        <v>77210502.0754839</v>
      </c>
      <c r="L91" s="1134">
        <f t="shared" si="16"/>
        <v>11587890.3735871</v>
      </c>
      <c r="M91" s="1134"/>
      <c r="N91" s="1136">
        <f t="shared" si="16"/>
        <v>965657.531132258</v>
      </c>
      <c r="O91" s="1134">
        <v>1172286.20422809</v>
      </c>
      <c r="P91" s="1134">
        <f t="shared" si="16"/>
        <v>-206628.673095832</v>
      </c>
      <c r="Q91" s="807"/>
      <c r="R91" s="473"/>
      <c r="S91" s="473"/>
    </row>
    <row r="92" ht="15.5" spans="1:19">
      <c r="A92" s="467"/>
      <c r="B92" s="651"/>
      <c r="C92" s="1078"/>
      <c r="D92" s="1108"/>
      <c r="E92" s="1078"/>
      <c r="F92" s="1078"/>
      <c r="G92" s="1078"/>
      <c r="H92" s="1082"/>
      <c r="I92" s="938"/>
      <c r="J92" s="1078"/>
      <c r="K92" s="1078"/>
      <c r="L92" s="1078"/>
      <c r="M92" s="471"/>
      <c r="N92" s="1111"/>
      <c r="O92" s="806"/>
      <c r="P92" s="806"/>
      <c r="Q92" s="807"/>
      <c r="R92" s="473"/>
      <c r="S92" s="473"/>
    </row>
    <row r="93" ht="15" spans="1:19">
      <c r="A93" s="467"/>
      <c r="B93" s="866" t="s">
        <v>183</v>
      </c>
      <c r="C93" s="1078"/>
      <c r="D93" s="1108"/>
      <c r="E93" s="1078"/>
      <c r="F93" s="1078"/>
      <c r="G93" s="1078"/>
      <c r="H93" s="1082"/>
      <c r="I93" s="938"/>
      <c r="J93" s="1078"/>
      <c r="K93" s="1078"/>
      <c r="L93" s="1078"/>
      <c r="M93" s="471"/>
      <c r="N93" s="1111"/>
      <c r="O93" s="806"/>
      <c r="P93" s="806"/>
      <c r="Q93" s="807"/>
      <c r="R93" s="473"/>
      <c r="S93" s="473"/>
    </row>
    <row r="94" ht="15.5" spans="1:19">
      <c r="A94" s="467">
        <v>1</v>
      </c>
      <c r="B94" s="651" t="s">
        <v>184</v>
      </c>
      <c r="C94" s="1078">
        <v>1947106.41666666</v>
      </c>
      <c r="D94" s="1108">
        <v>12</v>
      </c>
      <c r="E94" s="1078">
        <f t="shared" si="6"/>
        <v>23365276.9999999</v>
      </c>
      <c r="F94" s="1078"/>
      <c r="G94" s="1078">
        <v>0</v>
      </c>
      <c r="H94" s="1082">
        <v>1677222.15999999</v>
      </c>
      <c r="I94" s="938"/>
      <c r="J94" s="1078">
        <f t="shared" si="9"/>
        <v>1677222.15999999</v>
      </c>
      <c r="K94" s="1078">
        <f t="shared" si="10"/>
        <v>21688054.8399999</v>
      </c>
      <c r="L94" s="1078">
        <f t="shared" si="11"/>
        <v>3984491.51639999</v>
      </c>
      <c r="M94" s="471">
        <v>12</v>
      </c>
      <c r="N94" s="1111">
        <f t="shared" si="12"/>
        <v>332040.959699999</v>
      </c>
      <c r="O94" s="806">
        <v>332040.959699999</v>
      </c>
      <c r="P94" s="806">
        <f t="shared" si="13"/>
        <v>0</v>
      </c>
      <c r="Q94" s="807"/>
      <c r="R94" s="473"/>
      <c r="S94" s="473"/>
    </row>
    <row r="95" ht="15.5" spans="1:19">
      <c r="A95" s="467">
        <v>2</v>
      </c>
      <c r="B95" s="651" t="s">
        <v>186</v>
      </c>
      <c r="C95" s="1078">
        <v>882595.5</v>
      </c>
      <c r="D95" s="1108">
        <v>12</v>
      </c>
      <c r="E95" s="1078">
        <f t="shared" si="6"/>
        <v>10591146</v>
      </c>
      <c r="F95" s="1078"/>
      <c r="G95" s="1078">
        <v>0</v>
      </c>
      <c r="H95" s="1082">
        <v>693691.68</v>
      </c>
      <c r="I95" s="938"/>
      <c r="J95" s="1078">
        <f t="shared" si="9"/>
        <v>693691.68</v>
      </c>
      <c r="K95" s="1078">
        <f t="shared" si="10"/>
        <v>9897454.32</v>
      </c>
      <c r="L95" s="1078">
        <f t="shared" si="11"/>
        <v>1571541.7776</v>
      </c>
      <c r="M95" s="471">
        <v>12</v>
      </c>
      <c r="N95" s="1111">
        <f t="shared" si="12"/>
        <v>130961.8148</v>
      </c>
      <c r="O95" s="806">
        <v>130961.8148</v>
      </c>
      <c r="P95" s="806">
        <f t="shared" si="13"/>
        <v>0</v>
      </c>
      <c r="Q95" s="807"/>
      <c r="R95" s="473"/>
      <c r="S95" s="473"/>
    </row>
    <row r="96" ht="15.5" spans="1:19">
      <c r="A96" s="467">
        <v>3</v>
      </c>
      <c r="B96" s="651" t="s">
        <v>188</v>
      </c>
      <c r="C96" s="1078">
        <v>882595.5</v>
      </c>
      <c r="D96" s="1108">
        <v>12</v>
      </c>
      <c r="E96" s="1078">
        <f t="shared" si="6"/>
        <v>10591146</v>
      </c>
      <c r="F96" s="1078"/>
      <c r="G96" s="1078">
        <v>0</v>
      </c>
      <c r="H96" s="1082">
        <v>693691.68</v>
      </c>
      <c r="I96" s="938"/>
      <c r="J96" s="1078">
        <f t="shared" si="9"/>
        <v>693691.68</v>
      </c>
      <c r="K96" s="1078">
        <f t="shared" si="10"/>
        <v>9897454.32</v>
      </c>
      <c r="L96" s="1078">
        <f t="shared" si="11"/>
        <v>1571541.7776</v>
      </c>
      <c r="M96" s="471">
        <v>12</v>
      </c>
      <c r="N96" s="1111">
        <f t="shared" si="12"/>
        <v>130961.8148</v>
      </c>
      <c r="O96" s="806">
        <v>130961.8148</v>
      </c>
      <c r="P96" s="806">
        <f t="shared" si="13"/>
        <v>0</v>
      </c>
      <c r="Q96" s="807"/>
      <c r="R96" s="473"/>
      <c r="S96" s="473"/>
    </row>
    <row r="97" ht="20" customHeight="1" spans="1:19">
      <c r="A97" s="467">
        <v>4</v>
      </c>
      <c r="B97" s="651" t="s">
        <v>190</v>
      </c>
      <c r="C97" s="1078">
        <v>729657</v>
      </c>
      <c r="D97" s="1108">
        <v>12</v>
      </c>
      <c r="E97" s="1078">
        <f t="shared" si="6"/>
        <v>8755884</v>
      </c>
      <c r="F97" s="1078"/>
      <c r="G97" s="1078">
        <v>109925.25</v>
      </c>
      <c r="H97" s="1082">
        <v>566070.72</v>
      </c>
      <c r="I97" s="938"/>
      <c r="J97" s="1078">
        <f t="shared" si="9"/>
        <v>675995.97</v>
      </c>
      <c r="K97" s="1078">
        <f t="shared" si="10"/>
        <v>8079888.03</v>
      </c>
      <c r="L97" s="1078">
        <f t="shared" si="11"/>
        <v>1244379.8454</v>
      </c>
      <c r="M97" s="471">
        <v>12</v>
      </c>
      <c r="N97" s="1111">
        <f t="shared" si="12"/>
        <v>103698.32045</v>
      </c>
      <c r="O97" s="806">
        <v>103698.32045</v>
      </c>
      <c r="P97" s="806">
        <f t="shared" si="13"/>
        <v>0</v>
      </c>
      <c r="Q97" s="807"/>
      <c r="R97" s="473"/>
      <c r="S97" s="473"/>
    </row>
    <row r="98" ht="20" customHeight="1" spans="1:19">
      <c r="A98" s="467">
        <v>5</v>
      </c>
      <c r="B98" s="651" t="s">
        <v>193</v>
      </c>
      <c r="C98" s="1078">
        <v>617472.75</v>
      </c>
      <c r="D98" s="1108">
        <v>12</v>
      </c>
      <c r="E98" s="1078">
        <f t="shared" si="6"/>
        <v>7409673</v>
      </c>
      <c r="F98" s="1078"/>
      <c r="G98" s="1078">
        <v>93501.975</v>
      </c>
      <c r="H98" s="1082">
        <v>477573.84</v>
      </c>
      <c r="I98" s="938"/>
      <c r="J98" s="1078">
        <f t="shared" si="9"/>
        <v>571075.815</v>
      </c>
      <c r="K98" s="1078">
        <f t="shared" si="10"/>
        <v>6838597.185</v>
      </c>
      <c r="L98" s="1078">
        <f t="shared" si="11"/>
        <v>1020947.4933</v>
      </c>
      <c r="M98" s="471">
        <v>12</v>
      </c>
      <c r="N98" s="1111">
        <f t="shared" si="12"/>
        <v>85078.957775</v>
      </c>
      <c r="O98" s="806">
        <v>85078.957775</v>
      </c>
      <c r="P98" s="806">
        <f t="shared" si="13"/>
        <v>0</v>
      </c>
      <c r="Q98" s="807"/>
      <c r="R98" s="473"/>
      <c r="S98" s="473"/>
    </row>
    <row r="99" ht="20" customHeight="1" spans="1:19">
      <c r="A99" s="467">
        <v>6</v>
      </c>
      <c r="B99" s="651" t="s">
        <v>195</v>
      </c>
      <c r="C99" s="1078">
        <v>617472.75</v>
      </c>
      <c r="D99" s="1108">
        <v>12</v>
      </c>
      <c r="E99" s="1078">
        <f t="shared" si="6"/>
        <v>7409673</v>
      </c>
      <c r="F99" s="1078">
        <v>260000</v>
      </c>
      <c r="G99" s="1078">
        <v>0</v>
      </c>
      <c r="H99" s="1082">
        <v>477573.84</v>
      </c>
      <c r="I99" s="938"/>
      <c r="J99" s="1078">
        <f t="shared" si="9"/>
        <v>737573.84</v>
      </c>
      <c r="K99" s="1078">
        <f t="shared" si="10"/>
        <v>6672099.16</v>
      </c>
      <c r="L99" s="1078">
        <f t="shared" si="11"/>
        <v>990977.8488</v>
      </c>
      <c r="M99" s="471">
        <v>12</v>
      </c>
      <c r="N99" s="1111">
        <f t="shared" si="12"/>
        <v>82581.4874</v>
      </c>
      <c r="O99" s="806">
        <v>86481.4874</v>
      </c>
      <c r="P99" s="806">
        <f t="shared" si="13"/>
        <v>-3900</v>
      </c>
      <c r="Q99" s="807"/>
      <c r="R99" s="473"/>
      <c r="S99" s="473"/>
    </row>
    <row r="100" ht="20" customHeight="1" spans="1:19">
      <c r="A100" s="467">
        <v>7</v>
      </c>
      <c r="B100" s="651" t="s">
        <v>197</v>
      </c>
      <c r="C100" s="1078">
        <v>578828.166666667</v>
      </c>
      <c r="D100" s="1108">
        <v>12</v>
      </c>
      <c r="E100" s="1078">
        <f t="shared" si="6"/>
        <v>6945938</v>
      </c>
      <c r="F100" s="1078"/>
      <c r="G100" s="1078">
        <v>88398.8750000001</v>
      </c>
      <c r="H100" s="1082">
        <v>450075.04</v>
      </c>
      <c r="I100" s="938"/>
      <c r="J100" s="1078">
        <f t="shared" si="9"/>
        <v>538473.915</v>
      </c>
      <c r="K100" s="1078">
        <f t="shared" si="10"/>
        <v>6407464.085</v>
      </c>
      <c r="L100" s="1078">
        <f t="shared" si="11"/>
        <v>943343.535300001</v>
      </c>
      <c r="M100" s="471">
        <v>12</v>
      </c>
      <c r="N100" s="1111">
        <f t="shared" si="12"/>
        <v>78611.9612750001</v>
      </c>
      <c r="O100" s="806">
        <v>78611.9612750001</v>
      </c>
      <c r="P100" s="806">
        <f t="shared" si="13"/>
        <v>0</v>
      </c>
      <c r="Q100" s="807"/>
      <c r="R100" s="473"/>
      <c r="S100" s="473"/>
    </row>
    <row r="101" ht="20" customHeight="1" spans="1:19">
      <c r="A101" s="467">
        <v>8</v>
      </c>
      <c r="B101" s="651" t="s">
        <v>199</v>
      </c>
      <c r="C101" s="1078">
        <v>481140.666666666</v>
      </c>
      <c r="D101" s="1108">
        <v>12</v>
      </c>
      <c r="E101" s="1078">
        <f t="shared" ref="E101:E164" si="17">C101*D101</f>
        <v>5773687.99999999</v>
      </c>
      <c r="F101" s="1078"/>
      <c r="G101" s="1078">
        <v>0</v>
      </c>
      <c r="H101" s="1082">
        <v>365895.039999999</v>
      </c>
      <c r="I101" s="938"/>
      <c r="J101" s="1078">
        <f t="shared" si="9"/>
        <v>365895.039999999</v>
      </c>
      <c r="K101" s="1078">
        <f t="shared" si="10"/>
        <v>5407792.95999999</v>
      </c>
      <c r="L101" s="1078">
        <f t="shared" si="11"/>
        <v>763402.732799999</v>
      </c>
      <c r="M101" s="471">
        <v>12</v>
      </c>
      <c r="N101" s="1111">
        <f t="shared" si="12"/>
        <v>63616.8943999999</v>
      </c>
      <c r="O101" s="806">
        <v>63616.8943999999</v>
      </c>
      <c r="P101" s="806">
        <f t="shared" si="13"/>
        <v>0</v>
      </c>
      <c r="Q101" s="807"/>
      <c r="R101" s="473"/>
      <c r="S101" s="473"/>
    </row>
    <row r="102" ht="20" customHeight="1" spans="1:19">
      <c r="A102" s="467">
        <v>9</v>
      </c>
      <c r="B102" s="651" t="s">
        <v>201</v>
      </c>
      <c r="C102" s="1078">
        <v>447016.166666666</v>
      </c>
      <c r="D102" s="1108">
        <v>12</v>
      </c>
      <c r="E102" s="1078">
        <f t="shared" si="17"/>
        <v>5364193.99999999</v>
      </c>
      <c r="F102" s="1078"/>
      <c r="G102" s="1078">
        <v>66802.3749999999</v>
      </c>
      <c r="H102" s="1082">
        <v>333135.519999999</v>
      </c>
      <c r="I102" s="938"/>
      <c r="J102" s="1078">
        <f t="shared" si="9"/>
        <v>399937.894999999</v>
      </c>
      <c r="K102" s="1078">
        <f t="shared" si="10"/>
        <v>4964256.10499999</v>
      </c>
      <c r="L102" s="1078">
        <f t="shared" si="11"/>
        <v>683566.098899999</v>
      </c>
      <c r="M102" s="471">
        <v>12</v>
      </c>
      <c r="N102" s="1111">
        <f t="shared" si="12"/>
        <v>56963.8415749999</v>
      </c>
      <c r="O102" s="806">
        <v>56963.8415749999</v>
      </c>
      <c r="P102" s="806">
        <f t="shared" si="13"/>
        <v>0</v>
      </c>
      <c r="Q102" s="807"/>
      <c r="R102" s="473"/>
      <c r="S102" s="473"/>
    </row>
    <row r="103" ht="15.5" spans="1:19">
      <c r="A103" s="467">
        <v>10</v>
      </c>
      <c r="B103" s="651" t="s">
        <v>202</v>
      </c>
      <c r="C103" s="1078">
        <v>438711.666666667</v>
      </c>
      <c r="D103" s="1108">
        <v>12</v>
      </c>
      <c r="E103" s="1078">
        <f t="shared" si="17"/>
        <v>5264540</v>
      </c>
      <c r="F103" s="1078"/>
      <c r="G103" s="1078">
        <v>0</v>
      </c>
      <c r="H103" s="938">
        <v>325163.2</v>
      </c>
      <c r="I103" s="938"/>
      <c r="J103" s="1078">
        <f t="shared" si="9"/>
        <v>325163.2</v>
      </c>
      <c r="K103" s="1078">
        <f t="shared" si="10"/>
        <v>4939376.8</v>
      </c>
      <c r="L103" s="1078">
        <f t="shared" si="11"/>
        <v>679087.824000001</v>
      </c>
      <c r="M103" s="471">
        <v>12</v>
      </c>
      <c r="N103" s="1111">
        <f t="shared" si="12"/>
        <v>56590.6520000001</v>
      </c>
      <c r="O103" s="806">
        <v>56590.6520000001</v>
      </c>
      <c r="P103" s="806">
        <f t="shared" si="13"/>
        <v>0</v>
      </c>
      <c r="Q103" s="807"/>
      <c r="R103" s="473"/>
      <c r="S103" s="473"/>
    </row>
    <row r="104" ht="15.5" spans="1:19">
      <c r="A104" s="467">
        <v>11</v>
      </c>
      <c r="B104" s="651" t="s">
        <v>203</v>
      </c>
      <c r="C104" s="1078">
        <v>408920.666666667</v>
      </c>
      <c r="D104" s="1108">
        <v>12</v>
      </c>
      <c r="E104" s="1078">
        <f t="shared" si="17"/>
        <v>4907048</v>
      </c>
      <c r="F104" s="807"/>
      <c r="G104" s="807">
        <v>0</v>
      </c>
      <c r="H104" s="807">
        <v>296563.84</v>
      </c>
      <c r="I104" s="807"/>
      <c r="J104" s="1078">
        <f t="shared" si="9"/>
        <v>296563.84</v>
      </c>
      <c r="K104" s="1078">
        <f t="shared" si="10"/>
        <v>4610484.16</v>
      </c>
      <c r="L104" s="1078">
        <f t="shared" si="11"/>
        <v>619887.148800001</v>
      </c>
      <c r="M104" s="471">
        <v>12</v>
      </c>
      <c r="N104" s="1111">
        <f t="shared" si="12"/>
        <v>51657.2624000001</v>
      </c>
      <c r="O104" s="806">
        <v>51657.2624000001</v>
      </c>
      <c r="P104" s="806">
        <f t="shared" si="13"/>
        <v>0</v>
      </c>
      <c r="Q104" s="807"/>
      <c r="R104" s="473"/>
      <c r="S104" s="473"/>
    </row>
    <row r="105" ht="15.5" spans="1:19">
      <c r="A105" s="467"/>
      <c r="B105" s="651" t="s">
        <v>120</v>
      </c>
      <c r="C105" s="1134">
        <f>SUM(C94:C104)</f>
        <v>8031517.24999999</v>
      </c>
      <c r="D105" s="1135"/>
      <c r="E105" s="1134">
        <f t="shared" ref="D105:P105" si="18">SUM(E94:E104)</f>
        <v>96378206.9999999</v>
      </c>
      <c r="F105" s="1134"/>
      <c r="G105" s="1134">
        <f t="shared" si="18"/>
        <v>358628.475</v>
      </c>
      <c r="H105" s="1134">
        <f t="shared" si="18"/>
        <v>6356656.55999999</v>
      </c>
      <c r="I105" s="1134"/>
      <c r="J105" s="1134">
        <f t="shared" si="18"/>
        <v>6975285.03499999</v>
      </c>
      <c r="K105" s="1134">
        <f t="shared" si="18"/>
        <v>89402921.9649999</v>
      </c>
      <c r="L105" s="1134">
        <f t="shared" si="18"/>
        <v>14073167.5989</v>
      </c>
      <c r="M105" s="1134"/>
      <c r="N105" s="1136">
        <f t="shared" si="18"/>
        <v>1172763.966575</v>
      </c>
      <c r="O105" s="1134">
        <v>1176663.966575</v>
      </c>
      <c r="P105" s="1134">
        <f t="shared" si="18"/>
        <v>-3900</v>
      </c>
      <c r="Q105" s="807"/>
      <c r="R105" s="473"/>
      <c r="S105" s="473"/>
    </row>
    <row r="106" ht="15.5" spans="1:19">
      <c r="A106" s="467"/>
      <c r="B106" s="651"/>
      <c r="C106" s="1078"/>
      <c r="D106" s="1108"/>
      <c r="E106" s="1078"/>
      <c r="F106" s="1078"/>
      <c r="G106" s="1078"/>
      <c r="H106" s="1082"/>
      <c r="I106" s="938"/>
      <c r="J106" s="1078"/>
      <c r="K106" s="1078"/>
      <c r="L106" s="1078"/>
      <c r="M106" s="471"/>
      <c r="N106" s="1111"/>
      <c r="O106" s="1078"/>
      <c r="P106" s="806"/>
      <c r="Q106" s="807"/>
      <c r="R106" s="473"/>
      <c r="S106" s="473"/>
    </row>
    <row r="107" ht="15" spans="1:19">
      <c r="A107" s="467"/>
      <c r="B107" s="866" t="s">
        <v>205</v>
      </c>
      <c r="C107" s="1078"/>
      <c r="D107" s="1108"/>
      <c r="E107" s="1078"/>
      <c r="F107" s="1078"/>
      <c r="G107" s="1078"/>
      <c r="H107" s="1082"/>
      <c r="I107" s="938"/>
      <c r="J107" s="1078"/>
      <c r="K107" s="1078"/>
      <c r="L107" s="1078"/>
      <c r="M107" s="471"/>
      <c r="N107" s="1111"/>
      <c r="O107" s="1078"/>
      <c r="P107" s="806"/>
      <c r="Q107" s="807"/>
      <c r="R107" s="473"/>
      <c r="S107" s="473"/>
    </row>
    <row r="108" ht="15.5" spans="1:19">
      <c r="A108" s="467">
        <v>1</v>
      </c>
      <c r="B108" s="651" t="s">
        <v>206</v>
      </c>
      <c r="C108" s="1078">
        <v>1897359.33333333</v>
      </c>
      <c r="D108" s="1108">
        <v>12</v>
      </c>
      <c r="E108" s="1078">
        <f t="shared" si="17"/>
        <v>22768312</v>
      </c>
      <c r="F108" s="1078"/>
      <c r="G108" s="1078">
        <v>316881.849999999</v>
      </c>
      <c r="H108" s="1082">
        <v>1629464.96</v>
      </c>
      <c r="I108" s="938"/>
      <c r="J108" s="1078">
        <f t="shared" si="9"/>
        <v>1946346.81</v>
      </c>
      <c r="K108" s="1078">
        <f t="shared" si="10"/>
        <v>20821965.19</v>
      </c>
      <c r="L108" s="1078">
        <f t="shared" si="11"/>
        <v>3802612.68989999</v>
      </c>
      <c r="M108" s="471">
        <v>12</v>
      </c>
      <c r="N108" s="1111">
        <f t="shared" si="12"/>
        <v>316884.390824999</v>
      </c>
      <c r="O108" s="1078">
        <v>316884.390824999</v>
      </c>
      <c r="P108" s="806">
        <f t="shared" si="13"/>
        <v>0</v>
      </c>
      <c r="Q108" s="807"/>
      <c r="R108" s="473"/>
      <c r="S108" s="473"/>
    </row>
    <row r="109" ht="15.5" spans="1:19">
      <c r="A109" s="467">
        <v>2</v>
      </c>
      <c r="B109" s="651" t="s">
        <v>208</v>
      </c>
      <c r="C109" s="1078">
        <v>1259008.91666667</v>
      </c>
      <c r="D109" s="1108">
        <v>12</v>
      </c>
      <c r="E109" s="1078">
        <f t="shared" si="17"/>
        <v>15108107</v>
      </c>
      <c r="F109" s="1078"/>
      <c r="G109" s="1078">
        <v>0</v>
      </c>
      <c r="H109" s="1082">
        <v>843848.56</v>
      </c>
      <c r="I109" s="938"/>
      <c r="J109" s="1078">
        <f t="shared" si="9"/>
        <v>843848.56</v>
      </c>
      <c r="K109" s="1078">
        <f t="shared" si="10"/>
        <v>14264258.44</v>
      </c>
      <c r="L109" s="1078">
        <f t="shared" si="11"/>
        <v>2425494.27240001</v>
      </c>
      <c r="M109" s="471">
        <v>12</v>
      </c>
      <c r="N109" s="1111">
        <f t="shared" si="12"/>
        <v>202124.522700001</v>
      </c>
      <c r="O109" s="1078">
        <v>202124.522700001</v>
      </c>
      <c r="P109" s="806">
        <f t="shared" si="13"/>
        <v>-2.91038304567337e-10</v>
      </c>
      <c r="Q109" s="807"/>
      <c r="R109" s="473"/>
      <c r="S109" s="473"/>
    </row>
    <row r="110" ht="25" customHeight="1" spans="1:19">
      <c r="A110" s="467">
        <v>3</v>
      </c>
      <c r="B110" s="651" t="s">
        <v>479</v>
      </c>
      <c r="C110" s="1078">
        <v>904477</v>
      </c>
      <c r="D110" s="1108">
        <v>12</v>
      </c>
      <c r="E110" s="1078">
        <f t="shared" si="17"/>
        <v>10853724</v>
      </c>
      <c r="F110" s="1078"/>
      <c r="G110" s="1078">
        <v>0</v>
      </c>
      <c r="H110" s="1082">
        <v>714697.92</v>
      </c>
      <c r="I110" s="938"/>
      <c r="J110" s="1078">
        <f t="shared" si="9"/>
        <v>714697.92</v>
      </c>
      <c r="K110" s="1078">
        <f t="shared" si="10"/>
        <v>10139026.08</v>
      </c>
      <c r="L110" s="1078">
        <f t="shared" si="11"/>
        <v>1615024.6944</v>
      </c>
      <c r="M110" s="471">
        <v>12</v>
      </c>
      <c r="N110" s="1111">
        <f t="shared" si="12"/>
        <v>134585.3912</v>
      </c>
      <c r="O110" s="1078">
        <v>134585.3912</v>
      </c>
      <c r="P110" s="806">
        <f t="shared" si="13"/>
        <v>0</v>
      </c>
      <c r="Q110" s="807"/>
      <c r="R110" s="473"/>
      <c r="S110" s="473"/>
    </row>
    <row r="111" ht="15.5" spans="1:19">
      <c r="A111" s="467">
        <v>4</v>
      </c>
      <c r="B111" s="651" t="s">
        <v>211</v>
      </c>
      <c r="C111" s="1078">
        <v>713911.083333334</v>
      </c>
      <c r="D111" s="1108">
        <v>12</v>
      </c>
      <c r="E111" s="1078">
        <f t="shared" si="17"/>
        <v>8566933.00000001</v>
      </c>
      <c r="F111" s="1078"/>
      <c r="G111" s="1078">
        <v>107120</v>
      </c>
      <c r="H111" s="766">
        <v>550954.640000001</v>
      </c>
      <c r="I111" s="938"/>
      <c r="J111" s="1078">
        <f t="shared" si="9"/>
        <v>658074.640000001</v>
      </c>
      <c r="K111" s="1078">
        <f t="shared" si="10"/>
        <v>7908858.36000001</v>
      </c>
      <c r="L111" s="1078">
        <f t="shared" si="11"/>
        <v>1213594.5048</v>
      </c>
      <c r="M111" s="471">
        <v>12</v>
      </c>
      <c r="N111" s="1111">
        <f t="shared" si="12"/>
        <v>101132.8754</v>
      </c>
      <c r="O111" s="1078">
        <v>101132.8754</v>
      </c>
      <c r="P111" s="806">
        <f t="shared" si="13"/>
        <v>0</v>
      </c>
      <c r="Q111" s="807"/>
      <c r="R111" s="473"/>
      <c r="S111" s="473"/>
    </row>
    <row r="112" ht="24" customHeight="1" spans="1:19">
      <c r="A112" s="467">
        <v>5</v>
      </c>
      <c r="B112" s="651" t="s">
        <v>212</v>
      </c>
      <c r="C112" s="1078">
        <v>713911.083333334</v>
      </c>
      <c r="D112" s="1108">
        <v>12</v>
      </c>
      <c r="E112" s="1078">
        <f t="shared" si="17"/>
        <v>8566933.00000001</v>
      </c>
      <c r="F112" s="1078"/>
      <c r="G112" s="1078">
        <v>107120</v>
      </c>
      <c r="H112" s="1082">
        <v>550954.640000001</v>
      </c>
      <c r="I112" s="938"/>
      <c r="J112" s="1078">
        <f t="shared" si="9"/>
        <v>658074.640000001</v>
      </c>
      <c r="K112" s="1078">
        <f t="shared" si="10"/>
        <v>7908858.36000001</v>
      </c>
      <c r="L112" s="1078">
        <f t="shared" si="11"/>
        <v>1213594.5048</v>
      </c>
      <c r="M112" s="471">
        <v>12</v>
      </c>
      <c r="N112" s="1111">
        <f t="shared" si="12"/>
        <v>101132.8754</v>
      </c>
      <c r="O112" s="1078">
        <v>101132.8754</v>
      </c>
      <c r="P112" s="806">
        <f t="shared" si="13"/>
        <v>0</v>
      </c>
      <c r="Q112" s="807"/>
      <c r="R112" s="473"/>
      <c r="S112" s="473"/>
    </row>
    <row r="113" ht="31" spans="1:19">
      <c r="A113" s="467">
        <v>6</v>
      </c>
      <c r="B113" s="651" t="s">
        <v>213</v>
      </c>
      <c r="C113" s="1078">
        <v>698166.25</v>
      </c>
      <c r="D113" s="1108">
        <v>12</v>
      </c>
      <c r="E113" s="1078">
        <f t="shared" si="17"/>
        <v>8377995</v>
      </c>
      <c r="F113" s="1078"/>
      <c r="G113" s="1078">
        <v>0</v>
      </c>
      <c r="H113" s="1082">
        <v>535839.6</v>
      </c>
      <c r="I113" s="938"/>
      <c r="J113" s="1078">
        <f t="shared" si="9"/>
        <v>535839.6</v>
      </c>
      <c r="K113" s="1078">
        <f t="shared" si="10"/>
        <v>7842155.4</v>
      </c>
      <c r="L113" s="1078">
        <f t="shared" si="11"/>
        <v>1201587.972</v>
      </c>
      <c r="M113" s="471">
        <v>12</v>
      </c>
      <c r="N113" s="1111">
        <f t="shared" si="12"/>
        <v>100132.331</v>
      </c>
      <c r="O113" s="1078">
        <v>100132.331</v>
      </c>
      <c r="P113" s="806">
        <f t="shared" si="13"/>
        <v>0</v>
      </c>
      <c r="Q113" s="807"/>
      <c r="R113" s="473"/>
      <c r="S113" s="473"/>
    </row>
    <row r="114" ht="15.5" spans="1:19">
      <c r="A114" s="467">
        <v>7</v>
      </c>
      <c r="B114" s="651" t="s">
        <v>215</v>
      </c>
      <c r="C114" s="1078">
        <v>592662.666666667</v>
      </c>
      <c r="D114" s="1108">
        <v>12</v>
      </c>
      <c r="E114" s="1078">
        <f t="shared" si="17"/>
        <v>7111952</v>
      </c>
      <c r="F114" s="1078"/>
      <c r="G114" s="1078">
        <v>0</v>
      </c>
      <c r="H114" s="1082">
        <v>463356.16</v>
      </c>
      <c r="I114" s="938"/>
      <c r="J114" s="1078">
        <f t="shared" si="9"/>
        <v>463356.16</v>
      </c>
      <c r="K114" s="1078">
        <f t="shared" si="10"/>
        <v>6648595.84</v>
      </c>
      <c r="L114" s="1078">
        <f t="shared" si="11"/>
        <v>986747.251200001</v>
      </c>
      <c r="M114" s="471">
        <v>12</v>
      </c>
      <c r="N114" s="1111">
        <f t="shared" si="12"/>
        <v>82228.9376</v>
      </c>
      <c r="O114" s="1078">
        <v>82228.9376</v>
      </c>
      <c r="P114" s="806">
        <f t="shared" si="13"/>
        <v>0</v>
      </c>
      <c r="Q114" s="807"/>
      <c r="R114" s="473"/>
      <c r="S114" s="473"/>
    </row>
    <row r="115" ht="15.5" spans="1:19">
      <c r="A115" s="467">
        <v>8</v>
      </c>
      <c r="B115" s="651" t="s">
        <v>216</v>
      </c>
      <c r="C115" s="1078">
        <v>632098.916666667</v>
      </c>
      <c r="D115" s="1108">
        <v>12</v>
      </c>
      <c r="E115" s="1078">
        <f t="shared" si="17"/>
        <v>7585187</v>
      </c>
      <c r="F115" s="1078"/>
      <c r="G115" s="1078">
        <v>96107.725</v>
      </c>
      <c r="H115" s="1082">
        <v>491614.96</v>
      </c>
      <c r="I115" s="938"/>
      <c r="J115" s="1078">
        <f t="shared" si="9"/>
        <v>587722.685</v>
      </c>
      <c r="K115" s="1078">
        <f t="shared" si="10"/>
        <v>6997464.315</v>
      </c>
      <c r="L115" s="1078">
        <f t="shared" si="11"/>
        <v>1049543.5767</v>
      </c>
      <c r="M115" s="471">
        <v>12</v>
      </c>
      <c r="N115" s="1111">
        <f t="shared" si="12"/>
        <v>87461.964725</v>
      </c>
      <c r="O115" s="1078">
        <v>87461.964725</v>
      </c>
      <c r="P115" s="806">
        <f t="shared" si="13"/>
        <v>0</v>
      </c>
      <c r="Q115" s="807"/>
      <c r="R115" s="473"/>
      <c r="S115" s="473"/>
    </row>
    <row r="116" s="926" customFormat="1" ht="15.5" spans="1:19">
      <c r="A116" s="1115">
        <v>9</v>
      </c>
      <c r="B116" s="1116" t="s">
        <v>219</v>
      </c>
      <c r="C116" s="1119">
        <v>564993.583333333</v>
      </c>
      <c r="D116" s="1118">
        <v>12</v>
      </c>
      <c r="E116" s="1119">
        <f t="shared" si="17"/>
        <v>6779923</v>
      </c>
      <c r="F116" s="1119">
        <v>240000</v>
      </c>
      <c r="G116" s="1119">
        <v>0</v>
      </c>
      <c r="H116" s="1125">
        <v>436793.84</v>
      </c>
      <c r="I116" s="1142"/>
      <c r="J116" s="1119">
        <f t="shared" si="9"/>
        <v>676793.84</v>
      </c>
      <c r="K116" s="1119">
        <f t="shared" si="10"/>
        <v>6103129.16</v>
      </c>
      <c r="L116" s="1119">
        <f t="shared" si="11"/>
        <v>888563.248799999</v>
      </c>
      <c r="M116" s="1120">
        <v>12</v>
      </c>
      <c r="N116" s="1119">
        <f t="shared" si="12"/>
        <v>74046.9374</v>
      </c>
      <c r="O116" s="1119">
        <v>77646.9374</v>
      </c>
      <c r="P116" s="1121">
        <f t="shared" si="13"/>
        <v>-3600.00000000004</v>
      </c>
      <c r="Q116" s="1122"/>
      <c r="R116" s="1123"/>
      <c r="S116" s="1123"/>
    </row>
    <row r="117" ht="15.5" spans="1:19">
      <c r="A117" s="467">
        <v>10</v>
      </c>
      <c r="B117" s="651" t="s">
        <v>220</v>
      </c>
      <c r="C117" s="1078">
        <v>499131.166666667</v>
      </c>
      <c r="D117" s="1108">
        <v>12</v>
      </c>
      <c r="E117" s="1078">
        <f t="shared" si="17"/>
        <v>5989574</v>
      </c>
      <c r="F117" s="1078"/>
      <c r="G117" s="1078">
        <v>0</v>
      </c>
      <c r="H117" s="1082">
        <v>383165.92</v>
      </c>
      <c r="I117" s="938"/>
      <c r="J117" s="1078">
        <f t="shared" si="9"/>
        <v>383165.92</v>
      </c>
      <c r="K117" s="1078">
        <f t="shared" si="10"/>
        <v>5606408.08</v>
      </c>
      <c r="L117" s="1078">
        <f t="shared" si="11"/>
        <v>799153.454400001</v>
      </c>
      <c r="M117" s="471">
        <v>12</v>
      </c>
      <c r="N117" s="1111">
        <f t="shared" si="12"/>
        <v>66596.1212000001</v>
      </c>
      <c r="O117" s="1078">
        <v>66596.1212000001</v>
      </c>
      <c r="P117" s="806">
        <f t="shared" si="13"/>
        <v>0</v>
      </c>
      <c r="Q117" s="807"/>
      <c r="R117" s="473"/>
      <c r="S117" s="473"/>
    </row>
    <row r="118" ht="31" spans="1:19">
      <c r="A118" s="467">
        <v>11</v>
      </c>
      <c r="B118" s="651" t="s">
        <v>222</v>
      </c>
      <c r="C118" s="1078">
        <v>438711.666666667</v>
      </c>
      <c r="D118" s="1108">
        <v>12</v>
      </c>
      <c r="E118" s="1078">
        <f t="shared" si="17"/>
        <v>5264540</v>
      </c>
      <c r="F118" s="1078"/>
      <c r="G118" s="1078">
        <v>0</v>
      </c>
      <c r="H118" s="938">
        <v>325163.2</v>
      </c>
      <c r="I118" s="938"/>
      <c r="J118" s="1078">
        <f t="shared" si="9"/>
        <v>325163.2</v>
      </c>
      <c r="K118" s="1078">
        <f t="shared" si="10"/>
        <v>4939376.8</v>
      </c>
      <c r="L118" s="1078">
        <f t="shared" si="11"/>
        <v>679087.824000001</v>
      </c>
      <c r="M118" s="471">
        <v>12</v>
      </c>
      <c r="N118" s="1111">
        <f t="shared" si="12"/>
        <v>56590.6520000001</v>
      </c>
      <c r="O118" s="806">
        <v>56590.6520000001</v>
      </c>
      <c r="P118" s="806">
        <f t="shared" si="13"/>
        <v>0</v>
      </c>
      <c r="Q118" s="807"/>
      <c r="R118" s="473"/>
      <c r="S118" s="473"/>
    </row>
    <row r="119" ht="15.5" spans="1:19">
      <c r="A119" s="467">
        <v>12</v>
      </c>
      <c r="B119" s="351" t="s">
        <v>223</v>
      </c>
      <c r="C119" s="1078">
        <v>438711.666666667</v>
      </c>
      <c r="D119" s="1108">
        <v>12</v>
      </c>
      <c r="E119" s="1078">
        <f t="shared" si="17"/>
        <v>5264540</v>
      </c>
      <c r="F119" s="1078"/>
      <c r="G119" s="1078">
        <v>0</v>
      </c>
      <c r="H119" s="1143">
        <v>325163.2</v>
      </c>
      <c r="I119" s="938"/>
      <c r="J119" s="1078">
        <f t="shared" si="9"/>
        <v>325163.2</v>
      </c>
      <c r="K119" s="1078">
        <f t="shared" si="10"/>
        <v>4939376.8</v>
      </c>
      <c r="L119" s="1078">
        <f t="shared" si="11"/>
        <v>679087.824000001</v>
      </c>
      <c r="M119" s="471">
        <v>12</v>
      </c>
      <c r="N119" s="1111">
        <f t="shared" si="12"/>
        <v>56590.6520000001</v>
      </c>
      <c r="O119" s="806">
        <v>56590.6520000001</v>
      </c>
      <c r="P119" s="806">
        <f t="shared" si="13"/>
        <v>0</v>
      </c>
      <c r="Q119" s="807"/>
      <c r="R119" s="473"/>
      <c r="S119" s="473"/>
    </row>
    <row r="120" ht="15.5" spans="1:19">
      <c r="A120" s="467">
        <v>13</v>
      </c>
      <c r="B120" s="651" t="s">
        <v>224</v>
      </c>
      <c r="C120" s="1078">
        <v>546228.083333333</v>
      </c>
      <c r="D120" s="1108">
        <v>12</v>
      </c>
      <c r="E120" s="1078">
        <f t="shared" si="17"/>
        <v>6554737</v>
      </c>
      <c r="F120" s="806"/>
      <c r="G120" s="806">
        <v>61420.325</v>
      </c>
      <c r="H120" s="807">
        <v>303293.36</v>
      </c>
      <c r="I120" s="807"/>
      <c r="J120" s="1078">
        <f t="shared" si="9"/>
        <v>364713.685</v>
      </c>
      <c r="K120" s="1078">
        <f t="shared" si="10"/>
        <v>6190023.315</v>
      </c>
      <c r="L120" s="1078">
        <f t="shared" si="11"/>
        <v>904204.196699999</v>
      </c>
      <c r="M120" s="471">
        <v>12</v>
      </c>
      <c r="N120" s="1111">
        <f t="shared" si="12"/>
        <v>75350.3497249999</v>
      </c>
      <c r="O120" s="806">
        <v>75350.3497249999</v>
      </c>
      <c r="P120" s="806">
        <f t="shared" si="13"/>
        <v>0</v>
      </c>
      <c r="Q120" s="807"/>
      <c r="R120" s="473"/>
      <c r="S120" s="473"/>
    </row>
    <row r="121" ht="15.5" spans="1:19">
      <c r="A121" s="467"/>
      <c r="B121" s="643" t="s">
        <v>120</v>
      </c>
      <c r="C121" s="1134">
        <f>SUM(C108:C120)</f>
        <v>9899371.41666667</v>
      </c>
      <c r="D121" s="1134"/>
      <c r="E121" s="1134">
        <f t="shared" ref="D121:P121" si="19">SUM(E108:E120)</f>
        <v>118792457</v>
      </c>
      <c r="F121" s="1134"/>
      <c r="G121" s="1134">
        <f t="shared" si="19"/>
        <v>688649.899999999</v>
      </c>
      <c r="H121" s="1144">
        <f t="shared" si="19"/>
        <v>7554310.96</v>
      </c>
      <c r="I121" s="1134"/>
      <c r="J121" s="1134">
        <f t="shared" si="19"/>
        <v>8482960.86</v>
      </c>
      <c r="K121" s="1134">
        <f t="shared" si="19"/>
        <v>110309496.14</v>
      </c>
      <c r="L121" s="1134">
        <f t="shared" si="19"/>
        <v>17458296.0141</v>
      </c>
      <c r="M121" s="1134"/>
      <c r="N121" s="1136">
        <f t="shared" si="19"/>
        <v>1454858.001175</v>
      </c>
      <c r="O121" s="1134">
        <v>1458458.001175</v>
      </c>
      <c r="P121" s="1134">
        <f t="shared" si="19"/>
        <v>-3600.00000000033</v>
      </c>
      <c r="Q121" s="807"/>
      <c r="R121" s="473"/>
      <c r="S121" s="473"/>
    </row>
    <row r="122" ht="15.5" spans="1:19">
      <c r="A122" s="467"/>
      <c r="B122" s="651"/>
      <c r="C122" s="1145"/>
      <c r="D122" s="1108"/>
      <c r="E122" s="1078"/>
      <c r="F122" s="1078"/>
      <c r="G122" s="1078"/>
      <c r="H122" s="1146"/>
      <c r="I122" s="938"/>
      <c r="J122" s="1078"/>
      <c r="K122" s="1078"/>
      <c r="L122" s="1078"/>
      <c r="M122" s="471"/>
      <c r="N122" s="1111"/>
      <c r="O122" s="806"/>
      <c r="P122" s="806"/>
      <c r="Q122" s="807"/>
      <c r="R122" s="473"/>
      <c r="S122" s="473"/>
    </row>
    <row r="123" ht="15" spans="1:19">
      <c r="A123" s="467"/>
      <c r="B123" s="866" t="s">
        <v>226</v>
      </c>
      <c r="C123" s="1078"/>
      <c r="D123" s="1108"/>
      <c r="E123" s="1078"/>
      <c r="F123" s="1078"/>
      <c r="G123" s="1078"/>
      <c r="H123" s="1146"/>
      <c r="I123" s="938"/>
      <c r="J123" s="1078"/>
      <c r="K123" s="1078"/>
      <c r="L123" s="1078"/>
      <c r="M123" s="471"/>
      <c r="N123" s="1111"/>
      <c r="O123" s="806"/>
      <c r="P123" s="806"/>
      <c r="Q123" s="807"/>
      <c r="R123" s="473"/>
      <c r="S123" s="473"/>
    </row>
    <row r="124" ht="15.5" spans="1:19">
      <c r="A124" s="467">
        <v>1</v>
      </c>
      <c r="B124" s="651" t="s">
        <v>227</v>
      </c>
      <c r="C124" s="1078">
        <v>1847106.41666666</v>
      </c>
      <c r="D124" s="1108">
        <v>12</v>
      </c>
      <c r="E124" s="1078">
        <f t="shared" si="17"/>
        <v>22165276.9999999</v>
      </c>
      <c r="F124" s="1078"/>
      <c r="G124" s="1078">
        <v>326033.124999999</v>
      </c>
      <c r="H124" s="1146">
        <v>1677222.15999999</v>
      </c>
      <c r="I124" s="938"/>
      <c r="J124" s="1078">
        <f t="shared" si="9"/>
        <v>2003255.28499999</v>
      </c>
      <c r="K124" s="1078">
        <f t="shared" si="10"/>
        <v>20162021.7149999</v>
      </c>
      <c r="L124" s="1078">
        <f t="shared" si="11"/>
        <v>3664024.56014999</v>
      </c>
      <c r="M124" s="471">
        <v>12</v>
      </c>
      <c r="N124" s="1111">
        <f t="shared" si="12"/>
        <v>305335.380012499</v>
      </c>
      <c r="O124" s="806">
        <v>305335.380012499</v>
      </c>
      <c r="P124" s="806">
        <f t="shared" si="13"/>
        <v>0</v>
      </c>
      <c r="Q124" s="807"/>
      <c r="R124" s="473"/>
      <c r="S124" s="473"/>
    </row>
    <row r="125" ht="15.5" spans="1:19">
      <c r="A125" s="467">
        <v>2</v>
      </c>
      <c r="B125" s="651" t="s">
        <v>229</v>
      </c>
      <c r="C125" s="1078">
        <v>659657</v>
      </c>
      <c r="D125" s="1108">
        <v>12</v>
      </c>
      <c r="E125" s="1078">
        <f t="shared" si="17"/>
        <v>7915884</v>
      </c>
      <c r="F125" s="1078"/>
      <c r="G125" s="1078">
        <v>0</v>
      </c>
      <c r="H125" s="1146">
        <v>566070.72</v>
      </c>
      <c r="I125" s="938"/>
      <c r="J125" s="1078">
        <f t="shared" si="9"/>
        <v>566070.72</v>
      </c>
      <c r="K125" s="1078">
        <f t="shared" si="10"/>
        <v>7349813.28</v>
      </c>
      <c r="L125" s="1078">
        <f t="shared" si="11"/>
        <v>1112966.3904</v>
      </c>
      <c r="M125" s="471">
        <v>12</v>
      </c>
      <c r="N125" s="1111">
        <f t="shared" si="12"/>
        <v>92747.1992</v>
      </c>
      <c r="O125" s="806">
        <v>92747.1992</v>
      </c>
      <c r="P125" s="806">
        <f t="shared" si="13"/>
        <v>0</v>
      </c>
      <c r="Q125" s="807"/>
      <c r="R125" s="473"/>
      <c r="S125" s="473"/>
    </row>
    <row r="126" ht="15.5" spans="1:19">
      <c r="A126" s="467">
        <v>3</v>
      </c>
      <c r="B126" s="651" t="s">
        <v>231</v>
      </c>
      <c r="C126" s="1078">
        <v>582098.916666667</v>
      </c>
      <c r="D126" s="1108">
        <v>12</v>
      </c>
      <c r="E126" s="1078">
        <f t="shared" si="17"/>
        <v>6985187</v>
      </c>
      <c r="F126" s="1078"/>
      <c r="G126" s="1078">
        <v>96107.725</v>
      </c>
      <c r="H126" s="1147">
        <v>491614.96</v>
      </c>
      <c r="I126" s="483"/>
      <c r="J126" s="1078">
        <f t="shared" si="9"/>
        <v>587722.685</v>
      </c>
      <c r="K126" s="1078">
        <f t="shared" si="10"/>
        <v>6397464.315</v>
      </c>
      <c r="L126" s="1078">
        <f t="shared" si="11"/>
        <v>941543.576700001</v>
      </c>
      <c r="M126" s="471">
        <v>12</v>
      </c>
      <c r="N126" s="1111">
        <f t="shared" si="12"/>
        <v>78461.964725</v>
      </c>
      <c r="O126" s="806">
        <v>78461.964725</v>
      </c>
      <c r="P126" s="806">
        <f t="shared" si="13"/>
        <v>0</v>
      </c>
      <c r="Q126" s="807"/>
      <c r="R126" s="473"/>
      <c r="S126" s="473"/>
    </row>
    <row r="127" ht="15.5" spans="1:19">
      <c r="A127" s="467">
        <v>4</v>
      </c>
      <c r="B127" s="651" t="s">
        <v>233</v>
      </c>
      <c r="C127" s="1078">
        <v>567472.75</v>
      </c>
      <c r="D127" s="1108">
        <v>12</v>
      </c>
      <c r="E127" s="1078">
        <f t="shared" si="17"/>
        <v>6809673</v>
      </c>
      <c r="F127" s="1078"/>
      <c r="G127" s="1078">
        <v>93501.975</v>
      </c>
      <c r="H127" s="1147">
        <v>477573.84</v>
      </c>
      <c r="I127" s="483"/>
      <c r="J127" s="1078">
        <f t="shared" si="9"/>
        <v>571075.815</v>
      </c>
      <c r="K127" s="1078">
        <f t="shared" si="10"/>
        <v>6238597.185</v>
      </c>
      <c r="L127" s="1078">
        <f t="shared" si="11"/>
        <v>912947.4933</v>
      </c>
      <c r="M127" s="471">
        <v>12</v>
      </c>
      <c r="N127" s="1111">
        <f t="shared" si="12"/>
        <v>76078.957775</v>
      </c>
      <c r="O127" s="806">
        <v>76078.957775</v>
      </c>
      <c r="P127" s="806">
        <f t="shared" si="13"/>
        <v>0</v>
      </c>
      <c r="Q127" s="807"/>
      <c r="R127" s="473"/>
      <c r="S127" s="473"/>
    </row>
    <row r="128" ht="15.5" spans="1:19">
      <c r="A128" s="467">
        <v>5</v>
      </c>
      <c r="B128" s="651" t="s">
        <v>235</v>
      </c>
      <c r="C128" s="1078">
        <v>567472.75</v>
      </c>
      <c r="D128" s="1108">
        <v>12</v>
      </c>
      <c r="E128" s="1078">
        <f t="shared" si="17"/>
        <v>6809673</v>
      </c>
      <c r="F128" s="1078"/>
      <c r="G128" s="1078">
        <v>0</v>
      </c>
      <c r="H128" s="1147">
        <v>477573.84</v>
      </c>
      <c r="I128" s="483"/>
      <c r="J128" s="1078">
        <f t="shared" si="9"/>
        <v>477573.84</v>
      </c>
      <c r="K128" s="1078">
        <f t="shared" si="10"/>
        <v>6332099.16</v>
      </c>
      <c r="L128" s="1078">
        <f t="shared" si="11"/>
        <v>929777.8488</v>
      </c>
      <c r="M128" s="471">
        <v>12</v>
      </c>
      <c r="N128" s="1111">
        <f t="shared" si="12"/>
        <v>77481.4874</v>
      </c>
      <c r="O128" s="806">
        <v>77481.4874</v>
      </c>
      <c r="P128" s="806">
        <f t="shared" si="13"/>
        <v>0</v>
      </c>
      <c r="Q128" s="807"/>
      <c r="R128" s="473"/>
      <c r="S128" s="473"/>
    </row>
    <row r="129" ht="15.5" spans="1:19">
      <c r="A129" s="467">
        <v>6</v>
      </c>
      <c r="B129" s="351" t="s">
        <v>236</v>
      </c>
      <c r="C129" s="1078">
        <v>459131.166666667</v>
      </c>
      <c r="D129" s="1108">
        <v>12</v>
      </c>
      <c r="E129" s="1078">
        <f t="shared" si="17"/>
        <v>5509574</v>
      </c>
      <c r="F129" s="806"/>
      <c r="G129" s="806">
        <v>0</v>
      </c>
      <c r="H129" s="807">
        <v>383165.92</v>
      </c>
      <c r="I129" s="807"/>
      <c r="J129" s="1078">
        <f t="shared" si="9"/>
        <v>383165.92</v>
      </c>
      <c r="K129" s="1078">
        <f t="shared" si="10"/>
        <v>5126408.08</v>
      </c>
      <c r="L129" s="1078">
        <f t="shared" si="11"/>
        <v>712753.454400001</v>
      </c>
      <c r="M129" s="471">
        <v>12</v>
      </c>
      <c r="N129" s="1111">
        <f t="shared" si="12"/>
        <v>59396.1212000001</v>
      </c>
      <c r="O129" s="806">
        <v>59396.1212000001</v>
      </c>
      <c r="P129" s="806">
        <f t="shared" si="13"/>
        <v>0</v>
      </c>
      <c r="Q129" s="807"/>
      <c r="R129" s="473"/>
      <c r="S129" s="473"/>
    </row>
    <row r="130" ht="15.5" spans="1:19">
      <c r="A130" s="467">
        <v>7</v>
      </c>
      <c r="B130" s="651" t="s">
        <v>237</v>
      </c>
      <c r="C130" s="1078">
        <v>441140.666666666</v>
      </c>
      <c r="D130" s="1108">
        <v>12</v>
      </c>
      <c r="E130" s="1078">
        <f t="shared" si="17"/>
        <v>5293687.99999999</v>
      </c>
      <c r="F130" s="806"/>
      <c r="G130" s="806">
        <v>0</v>
      </c>
      <c r="H130" s="807">
        <v>365895.039999999</v>
      </c>
      <c r="I130" s="807"/>
      <c r="J130" s="1078">
        <f t="shared" si="9"/>
        <v>365895.039999999</v>
      </c>
      <c r="K130" s="1078">
        <f t="shared" si="10"/>
        <v>4927792.95999999</v>
      </c>
      <c r="L130" s="1078">
        <f t="shared" si="11"/>
        <v>677002.732799999</v>
      </c>
      <c r="M130" s="471">
        <v>12</v>
      </c>
      <c r="N130" s="1111">
        <f t="shared" si="12"/>
        <v>56416.8943999999</v>
      </c>
      <c r="O130" s="806">
        <v>56416.8943999999</v>
      </c>
      <c r="P130" s="806">
        <f t="shared" si="13"/>
        <v>0</v>
      </c>
      <c r="Q130" s="807"/>
      <c r="R130" s="473"/>
      <c r="S130" s="473"/>
    </row>
    <row r="131" ht="15.5" spans="1:19">
      <c r="A131" s="467"/>
      <c r="B131" s="651" t="s">
        <v>120</v>
      </c>
      <c r="C131" s="1148">
        <f>SUM(C124:C130)</f>
        <v>5124079.66666666</v>
      </c>
      <c r="D131" s="1149"/>
      <c r="E131" s="1148">
        <f t="shared" ref="D131:P131" si="20">SUM(E124:E130)</f>
        <v>61488955.9999999</v>
      </c>
      <c r="F131" s="1148"/>
      <c r="G131" s="1148">
        <f t="shared" si="20"/>
        <v>515642.824999999</v>
      </c>
      <c r="H131" s="1148">
        <f t="shared" si="20"/>
        <v>4439116.47999999</v>
      </c>
      <c r="I131" s="1148"/>
      <c r="J131" s="1148">
        <f t="shared" si="20"/>
        <v>4954759.30499999</v>
      </c>
      <c r="K131" s="1148">
        <f t="shared" si="20"/>
        <v>56534196.6949999</v>
      </c>
      <c r="L131" s="1148">
        <f t="shared" si="20"/>
        <v>8951016.05654999</v>
      </c>
      <c r="M131" s="1148"/>
      <c r="N131" s="1150">
        <f t="shared" si="20"/>
        <v>745918.004712499</v>
      </c>
      <c r="O131" s="1148">
        <v>745918.004712499</v>
      </c>
      <c r="P131" s="1148">
        <f t="shared" si="20"/>
        <v>0</v>
      </c>
      <c r="Q131" s="807"/>
      <c r="R131" s="473"/>
      <c r="S131" s="473"/>
    </row>
    <row r="132" ht="15.5" spans="1:19">
      <c r="A132" s="467"/>
      <c r="B132" s="651"/>
      <c r="C132" s="1078"/>
      <c r="D132" s="1108"/>
      <c r="E132" s="1078"/>
      <c r="F132" s="1078"/>
      <c r="G132" s="1078"/>
      <c r="H132" s="1082"/>
      <c r="I132" s="938"/>
      <c r="J132" s="1078"/>
      <c r="K132" s="1078"/>
      <c r="L132" s="1078"/>
      <c r="M132" s="471"/>
      <c r="N132" s="1111"/>
      <c r="O132" s="806"/>
      <c r="P132" s="806"/>
      <c r="Q132" s="807"/>
      <c r="R132" s="473"/>
      <c r="S132" s="473"/>
    </row>
    <row r="133" ht="15" spans="1:19">
      <c r="A133" s="467"/>
      <c r="B133" s="866" t="s">
        <v>239</v>
      </c>
      <c r="C133" s="1078"/>
      <c r="D133" s="1108"/>
      <c r="E133" s="1078"/>
      <c r="F133" s="1078"/>
      <c r="G133" s="1078"/>
      <c r="H133" s="1082"/>
      <c r="I133" s="938"/>
      <c r="J133" s="1078"/>
      <c r="K133" s="1078"/>
      <c r="L133" s="1078"/>
      <c r="M133" s="471"/>
      <c r="N133" s="1111"/>
      <c r="O133" s="806"/>
      <c r="P133" s="806"/>
      <c r="Q133" s="807"/>
      <c r="R133" s="473"/>
      <c r="S133" s="473"/>
    </row>
    <row r="134" ht="15.5" spans="1:19">
      <c r="A134" s="467">
        <v>1</v>
      </c>
      <c r="B134" s="651" t="s">
        <v>240</v>
      </c>
      <c r="C134" s="1078">
        <v>454324.830555554</v>
      </c>
      <c r="D134" s="1108">
        <v>12</v>
      </c>
      <c r="E134" s="1078">
        <f t="shared" si="17"/>
        <v>5451897.96666665</v>
      </c>
      <c r="F134" s="1078"/>
      <c r="G134" s="1078">
        <v>0</v>
      </c>
      <c r="H134" s="1082">
        <v>1677222.15999999</v>
      </c>
      <c r="I134" s="938"/>
      <c r="J134" s="1078">
        <f t="shared" si="9"/>
        <v>1677222.15999999</v>
      </c>
      <c r="K134" s="1078">
        <f t="shared" si="10"/>
        <v>3774675.80666666</v>
      </c>
      <c r="L134" s="1078">
        <f t="shared" si="11"/>
        <v>469441.645199999</v>
      </c>
      <c r="M134" s="471">
        <v>12</v>
      </c>
      <c r="N134" s="1111">
        <f t="shared" si="12"/>
        <v>39120.1370999999</v>
      </c>
      <c r="O134" s="806">
        <v>332040.959699999</v>
      </c>
      <c r="P134" s="806">
        <f t="shared" si="13"/>
        <v>-292920.822599999</v>
      </c>
      <c r="Q134" s="807"/>
      <c r="R134" s="473"/>
      <c r="S134" s="473"/>
    </row>
    <row r="135" ht="15.5" spans="1:19">
      <c r="A135" s="467">
        <v>2</v>
      </c>
      <c r="B135" s="651" t="s">
        <v>242</v>
      </c>
      <c r="C135" s="1078">
        <v>1085306.75</v>
      </c>
      <c r="D135" s="1108">
        <v>12</v>
      </c>
      <c r="E135" s="1078">
        <f t="shared" si="17"/>
        <v>13023681</v>
      </c>
      <c r="F135" s="1078"/>
      <c r="G135" s="1078">
        <v>166400.85</v>
      </c>
      <c r="H135" s="1082">
        <v>869094.48</v>
      </c>
      <c r="I135" s="938"/>
      <c r="J135" s="1078">
        <f t="shared" ref="J135:J198" si="21">F135+G135+H135</f>
        <v>1035495.33</v>
      </c>
      <c r="K135" s="1078">
        <f t="shared" ref="K135:K198" si="22">E135-J135</f>
        <v>11988185.67</v>
      </c>
      <c r="L135" s="1078">
        <f t="shared" ref="L135:L198" si="23">IF(K135&lt;=800000,0,IF(K135&lt;=3000000,(K135-800000)*15%,IF(K135&lt;=12000000,330000+(K135-3000000)*18%,IF(K135&lt;=25000000,1950000+(K135-12000000)*21%,IF(K135&lt;=50000000,4680000+(K135-25000000)*23%,10430000+(K135-50000000)*25%)))))</f>
        <v>1947873.4206</v>
      </c>
      <c r="M135" s="471">
        <v>12</v>
      </c>
      <c r="N135" s="1111">
        <f t="shared" ref="N135:N198" si="24">L135/M135</f>
        <v>162322.78505</v>
      </c>
      <c r="O135" s="806">
        <v>162322.78505</v>
      </c>
      <c r="P135" s="806">
        <f t="shared" ref="P135:P198" si="25">N135-O135</f>
        <v>0</v>
      </c>
      <c r="Q135" s="807"/>
      <c r="R135" s="473"/>
      <c r="S135" s="473"/>
    </row>
    <row r="136" ht="15.5" spans="1:19">
      <c r="A136" s="467">
        <v>3</v>
      </c>
      <c r="B136" s="351" t="s">
        <v>244</v>
      </c>
      <c r="C136" s="1078">
        <v>757831.395</v>
      </c>
      <c r="D136" s="1108">
        <v>12</v>
      </c>
      <c r="E136" s="1078">
        <f t="shared" si="17"/>
        <v>9093976.74</v>
      </c>
      <c r="F136" s="1078"/>
      <c r="G136" s="1078">
        <v>104314.775</v>
      </c>
      <c r="H136" s="1082">
        <v>535838.64</v>
      </c>
      <c r="I136" s="938"/>
      <c r="J136" s="1078">
        <f t="shared" si="21"/>
        <v>640153.415</v>
      </c>
      <c r="K136" s="1078">
        <f t="shared" si="22"/>
        <v>8453823.325</v>
      </c>
      <c r="L136" s="1078">
        <f t="shared" si="23"/>
        <v>1311688.1985</v>
      </c>
      <c r="M136" s="471">
        <v>12</v>
      </c>
      <c r="N136" s="1111">
        <f t="shared" si="24"/>
        <v>109307.349875</v>
      </c>
      <c r="O136" s="806">
        <v>109307.349875</v>
      </c>
      <c r="P136" s="806">
        <f t="shared" si="25"/>
        <v>0</v>
      </c>
      <c r="Q136" s="807"/>
      <c r="R136" s="473"/>
      <c r="S136" s="473"/>
    </row>
    <row r="137" ht="15.5" spans="1:19">
      <c r="A137" s="467">
        <v>4</v>
      </c>
      <c r="B137" s="351" t="s">
        <v>246</v>
      </c>
      <c r="C137" s="1078">
        <v>757831.395</v>
      </c>
      <c r="D137" s="1108">
        <v>12</v>
      </c>
      <c r="E137" s="1078">
        <f t="shared" si="17"/>
        <v>9093976.74</v>
      </c>
      <c r="F137" s="1151"/>
      <c r="G137" s="807">
        <v>0</v>
      </c>
      <c r="H137" s="1082">
        <v>535838.64</v>
      </c>
      <c r="I137" s="938"/>
      <c r="J137" s="1078">
        <f t="shared" si="21"/>
        <v>535838.64</v>
      </c>
      <c r="K137" s="1078">
        <f t="shared" si="22"/>
        <v>8558138.1</v>
      </c>
      <c r="L137" s="1078">
        <f t="shared" si="23"/>
        <v>1330464.858</v>
      </c>
      <c r="M137" s="471">
        <v>12</v>
      </c>
      <c r="N137" s="1111">
        <f t="shared" si="24"/>
        <v>110872.0715</v>
      </c>
      <c r="O137" s="806">
        <v>110872.0715</v>
      </c>
      <c r="P137" s="806">
        <f t="shared" si="25"/>
        <v>0</v>
      </c>
      <c r="Q137" s="807"/>
      <c r="R137" s="473"/>
      <c r="S137" s="473"/>
    </row>
    <row r="138" ht="15.5" spans="1:19">
      <c r="A138" s="467">
        <v>5</v>
      </c>
      <c r="B138" s="351" t="s">
        <v>247</v>
      </c>
      <c r="C138" s="1078">
        <v>613521.073333333</v>
      </c>
      <c r="D138" s="1108">
        <v>12</v>
      </c>
      <c r="E138" s="1078">
        <f t="shared" si="17"/>
        <v>7362252.88</v>
      </c>
      <c r="F138" s="1151"/>
      <c r="G138" s="807">
        <v>0</v>
      </c>
      <c r="H138" s="1082">
        <v>436793.84</v>
      </c>
      <c r="I138" s="483"/>
      <c r="J138" s="1078">
        <f t="shared" si="21"/>
        <v>436793.84</v>
      </c>
      <c r="K138" s="1078">
        <f t="shared" si="22"/>
        <v>6925459.04</v>
      </c>
      <c r="L138" s="1078">
        <f t="shared" si="23"/>
        <v>1036582.6272</v>
      </c>
      <c r="M138" s="471">
        <v>12</v>
      </c>
      <c r="N138" s="1111">
        <f t="shared" si="24"/>
        <v>86381.8855999999</v>
      </c>
      <c r="O138" s="806">
        <v>86381.8855999999</v>
      </c>
      <c r="P138" s="806">
        <f t="shared" si="25"/>
        <v>0</v>
      </c>
      <c r="Q138" s="807"/>
      <c r="R138" s="473"/>
      <c r="S138" s="473"/>
    </row>
    <row r="139" ht="15.5" spans="1:19">
      <c r="A139" s="467">
        <v>6</v>
      </c>
      <c r="B139" s="351" t="s">
        <v>249</v>
      </c>
      <c r="C139" s="1078">
        <v>473254.7125</v>
      </c>
      <c r="D139" s="1108">
        <v>12</v>
      </c>
      <c r="E139" s="1078">
        <f t="shared" si="17"/>
        <v>5679056.55</v>
      </c>
      <c r="F139" s="1151"/>
      <c r="G139" s="807">
        <v>0</v>
      </c>
      <c r="H139" s="1082">
        <v>323481.76</v>
      </c>
      <c r="I139" s="483"/>
      <c r="J139" s="1078">
        <f t="shared" si="21"/>
        <v>323481.76</v>
      </c>
      <c r="K139" s="1078">
        <f t="shared" si="22"/>
        <v>5355574.79</v>
      </c>
      <c r="L139" s="1078">
        <f t="shared" si="23"/>
        <v>754003.4622</v>
      </c>
      <c r="M139" s="471">
        <v>12</v>
      </c>
      <c r="N139" s="1111">
        <f t="shared" si="24"/>
        <v>62833.62185</v>
      </c>
      <c r="O139" s="806">
        <v>62833.62185</v>
      </c>
      <c r="P139" s="806">
        <f t="shared" si="25"/>
        <v>0</v>
      </c>
      <c r="Q139" s="807"/>
      <c r="R139" s="473"/>
      <c r="S139" s="473"/>
    </row>
    <row r="140" ht="31" spans="1:19">
      <c r="A140" s="467">
        <v>7</v>
      </c>
      <c r="B140" s="351" t="s">
        <v>252</v>
      </c>
      <c r="C140" s="1078">
        <v>475056.445833334</v>
      </c>
      <c r="D140" s="1108">
        <v>12</v>
      </c>
      <c r="E140" s="1078">
        <f t="shared" si="17"/>
        <v>5700677.35000001</v>
      </c>
      <c r="F140" s="1151"/>
      <c r="G140" s="807">
        <v>0</v>
      </c>
      <c r="H140" s="1082">
        <v>325163.2</v>
      </c>
      <c r="I140" s="483"/>
      <c r="J140" s="1078">
        <f t="shared" si="21"/>
        <v>325163.2</v>
      </c>
      <c r="K140" s="1078">
        <f t="shared" si="22"/>
        <v>5375514.15000001</v>
      </c>
      <c r="L140" s="1078">
        <f t="shared" si="23"/>
        <v>757592.547000001</v>
      </c>
      <c r="M140" s="471">
        <v>12</v>
      </c>
      <c r="N140" s="1111">
        <f t="shared" si="24"/>
        <v>63132.7122500001</v>
      </c>
      <c r="O140" s="806">
        <v>63132.7122500001</v>
      </c>
      <c r="P140" s="806">
        <f t="shared" si="25"/>
        <v>0</v>
      </c>
      <c r="Q140" s="807"/>
      <c r="R140" s="473"/>
      <c r="S140" s="473"/>
    </row>
    <row r="141" ht="15.5" spans="1:19">
      <c r="A141" s="467">
        <v>8</v>
      </c>
      <c r="B141" s="351" t="s">
        <v>253</v>
      </c>
      <c r="C141" s="1078">
        <v>442901.94</v>
      </c>
      <c r="D141" s="1108">
        <v>12</v>
      </c>
      <c r="E141" s="1078">
        <f t="shared" si="17"/>
        <v>5314823.28</v>
      </c>
      <c r="F141" s="1151"/>
      <c r="G141" s="807">
        <v>61420.325</v>
      </c>
      <c r="H141" s="1082">
        <v>303293.36</v>
      </c>
      <c r="I141" s="483"/>
      <c r="J141" s="1078">
        <f t="shared" si="21"/>
        <v>364713.685</v>
      </c>
      <c r="K141" s="1078">
        <f t="shared" si="22"/>
        <v>4950109.595</v>
      </c>
      <c r="L141" s="1078">
        <f t="shared" si="23"/>
        <v>681019.7271</v>
      </c>
      <c r="M141" s="471">
        <v>12</v>
      </c>
      <c r="N141" s="1111">
        <f t="shared" si="24"/>
        <v>56751.643925</v>
      </c>
      <c r="O141" s="806">
        <v>56751.6439250001</v>
      </c>
      <c r="P141" s="806">
        <f t="shared" si="25"/>
        <v>-8.73114913702011e-11</v>
      </c>
      <c r="Q141" s="807"/>
      <c r="R141" s="473"/>
      <c r="S141" s="473"/>
    </row>
    <row r="142" ht="15.5" spans="1:19">
      <c r="A142" s="467">
        <v>9</v>
      </c>
      <c r="B142" s="351" t="s">
        <v>254</v>
      </c>
      <c r="C142" s="1078">
        <v>426568.833333334</v>
      </c>
      <c r="D142" s="1108">
        <v>12</v>
      </c>
      <c r="E142" s="1078">
        <f t="shared" si="17"/>
        <v>5118826.00000001</v>
      </c>
      <c r="F142" s="1151"/>
      <c r="G142" s="807">
        <v>0</v>
      </c>
      <c r="H142" s="1082">
        <v>283104.800000001</v>
      </c>
      <c r="I142" s="483"/>
      <c r="J142" s="1078">
        <f t="shared" si="21"/>
        <v>283104.800000001</v>
      </c>
      <c r="K142" s="1078">
        <f t="shared" si="22"/>
        <v>4835721.20000001</v>
      </c>
      <c r="L142" s="1078">
        <f t="shared" si="23"/>
        <v>660429.816000001</v>
      </c>
      <c r="M142" s="471">
        <v>12</v>
      </c>
      <c r="N142" s="1111">
        <f t="shared" si="24"/>
        <v>55035.8180000001</v>
      </c>
      <c r="O142" s="806">
        <v>55035.8180000001</v>
      </c>
      <c r="P142" s="806">
        <f t="shared" si="25"/>
        <v>0</v>
      </c>
      <c r="Q142" s="807"/>
      <c r="R142" s="473"/>
      <c r="S142" s="473"/>
    </row>
    <row r="143" ht="15.5" spans="1:19">
      <c r="A143" s="467">
        <v>10</v>
      </c>
      <c r="B143" s="651" t="s">
        <v>255</v>
      </c>
      <c r="C143" s="1078">
        <v>426568.833333334</v>
      </c>
      <c r="D143" s="1108">
        <v>12</v>
      </c>
      <c r="E143" s="1078">
        <f t="shared" si="17"/>
        <v>5118826.00000001</v>
      </c>
      <c r="F143" s="807"/>
      <c r="G143" s="807">
        <v>0</v>
      </c>
      <c r="H143" s="1082">
        <v>283104.800000001</v>
      </c>
      <c r="I143" s="807"/>
      <c r="J143" s="1078">
        <f t="shared" si="21"/>
        <v>283104.800000001</v>
      </c>
      <c r="K143" s="1078">
        <f t="shared" si="22"/>
        <v>4835721.20000001</v>
      </c>
      <c r="L143" s="1078">
        <f t="shared" si="23"/>
        <v>660429.816000001</v>
      </c>
      <c r="M143" s="471">
        <v>12</v>
      </c>
      <c r="N143" s="1111">
        <f t="shared" si="24"/>
        <v>55035.8180000001</v>
      </c>
      <c r="O143" s="806">
        <v>55035.8180000001</v>
      </c>
      <c r="P143" s="806">
        <f t="shared" si="25"/>
        <v>0</v>
      </c>
      <c r="Q143" s="807"/>
      <c r="R143" s="473"/>
      <c r="S143" s="473"/>
    </row>
    <row r="144" ht="17" customHeight="1" spans="1:19">
      <c r="A144" s="467">
        <v>11</v>
      </c>
      <c r="B144" s="651" t="s">
        <v>256</v>
      </c>
      <c r="C144" s="1078">
        <v>426568.833333334</v>
      </c>
      <c r="D144" s="1108">
        <v>12</v>
      </c>
      <c r="E144" s="1078">
        <f t="shared" si="17"/>
        <v>5118826.00000001</v>
      </c>
      <c r="F144" s="807"/>
      <c r="G144" s="807">
        <v>0</v>
      </c>
      <c r="H144" s="1082">
        <v>283104.800000001</v>
      </c>
      <c r="I144" s="807"/>
      <c r="J144" s="1078">
        <f t="shared" si="21"/>
        <v>283104.800000001</v>
      </c>
      <c r="K144" s="1078">
        <f t="shared" si="22"/>
        <v>4835721.20000001</v>
      </c>
      <c r="L144" s="1078">
        <f t="shared" si="23"/>
        <v>660429.816000001</v>
      </c>
      <c r="M144" s="471">
        <v>12</v>
      </c>
      <c r="N144" s="1111">
        <f t="shared" si="24"/>
        <v>55035.8180000001</v>
      </c>
      <c r="O144" s="806">
        <v>55035.8180000001</v>
      </c>
      <c r="P144" s="806">
        <f t="shared" si="25"/>
        <v>0</v>
      </c>
      <c r="Q144" s="807"/>
      <c r="R144" s="473"/>
      <c r="S144" s="473"/>
    </row>
    <row r="145" ht="15.5" spans="1:19">
      <c r="A145" s="467"/>
      <c r="B145" s="651" t="s">
        <v>120</v>
      </c>
      <c r="C145" s="1134">
        <f>SUM(C134:C144)</f>
        <v>6339735.04222222</v>
      </c>
      <c r="D145" s="1135"/>
      <c r="E145" s="1134">
        <f t="shared" ref="D145:P145" si="26">SUM(E134:E144)</f>
        <v>76076820.5066667</v>
      </c>
      <c r="F145" s="1134"/>
      <c r="G145" s="1134">
        <f t="shared" si="26"/>
        <v>332135.95</v>
      </c>
      <c r="H145" s="1134">
        <f t="shared" si="26"/>
        <v>5856040.47999999</v>
      </c>
      <c r="I145" s="1134"/>
      <c r="J145" s="1134">
        <f t="shared" si="26"/>
        <v>6188176.42999999</v>
      </c>
      <c r="K145" s="1134">
        <f t="shared" si="26"/>
        <v>69888644.0766667</v>
      </c>
      <c r="L145" s="1134">
        <f t="shared" si="26"/>
        <v>10269955.9338</v>
      </c>
      <c r="M145" s="1134"/>
      <c r="N145" s="1136">
        <f t="shared" si="26"/>
        <v>855829.66115</v>
      </c>
      <c r="O145" s="1134">
        <v>1148750.48375</v>
      </c>
      <c r="P145" s="1134">
        <f t="shared" si="26"/>
        <v>-292920.822599999</v>
      </c>
      <c r="Q145" s="807"/>
      <c r="R145" s="473"/>
      <c r="S145" s="473"/>
    </row>
    <row r="146" ht="15.5" spans="1:19">
      <c r="A146" s="467"/>
      <c r="B146" s="651"/>
      <c r="C146" s="1078"/>
      <c r="D146" s="1108"/>
      <c r="E146" s="1078"/>
      <c r="F146" s="1078"/>
      <c r="G146" s="1078"/>
      <c r="H146" s="1082"/>
      <c r="I146" s="938"/>
      <c r="J146" s="1078"/>
      <c r="K146" s="1078"/>
      <c r="L146" s="1078"/>
      <c r="M146" s="471"/>
      <c r="N146" s="1111"/>
      <c r="O146" s="806"/>
      <c r="P146" s="806"/>
      <c r="Q146" s="807"/>
      <c r="R146" s="473"/>
      <c r="S146" s="473"/>
    </row>
    <row r="147" ht="15" spans="1:19">
      <c r="A147" s="467"/>
      <c r="B147" s="866" t="s">
        <v>257</v>
      </c>
      <c r="C147" s="766"/>
      <c r="D147" s="1108"/>
      <c r="E147" s="1078"/>
      <c r="F147" s="1078"/>
      <c r="G147" s="1078"/>
      <c r="H147" s="1082"/>
      <c r="I147" s="938"/>
      <c r="J147" s="1078"/>
      <c r="K147" s="1078"/>
      <c r="L147" s="1078"/>
      <c r="M147" s="471"/>
      <c r="N147" s="1111"/>
      <c r="O147" s="806"/>
      <c r="P147" s="806"/>
      <c r="Q147" s="807"/>
      <c r="R147" s="473"/>
      <c r="S147" s="473"/>
    </row>
    <row r="148" ht="15.5" spans="1:19">
      <c r="A148" s="467">
        <v>1</v>
      </c>
      <c r="B148" s="651" t="s">
        <v>258</v>
      </c>
      <c r="C148" s="766">
        <v>882595.5</v>
      </c>
      <c r="D148" s="1108">
        <v>12</v>
      </c>
      <c r="E148" s="1078">
        <f t="shared" si="17"/>
        <v>10591146</v>
      </c>
      <c r="F148" s="1078"/>
      <c r="G148" s="1078">
        <v>0</v>
      </c>
      <c r="H148" s="1082">
        <v>693691.68</v>
      </c>
      <c r="I148" s="938"/>
      <c r="J148" s="1078">
        <f t="shared" si="21"/>
        <v>693691.68</v>
      </c>
      <c r="K148" s="1078">
        <f t="shared" si="22"/>
        <v>9897454.32</v>
      </c>
      <c r="L148" s="1078">
        <f t="shared" si="23"/>
        <v>1571541.7776</v>
      </c>
      <c r="M148" s="471">
        <v>12</v>
      </c>
      <c r="N148" s="1111">
        <f t="shared" si="24"/>
        <v>130961.8148</v>
      </c>
      <c r="O148" s="806">
        <v>130961.8148</v>
      </c>
      <c r="P148" s="806">
        <f t="shared" si="25"/>
        <v>0</v>
      </c>
      <c r="Q148" s="807"/>
      <c r="R148" s="473"/>
      <c r="S148" s="473"/>
    </row>
    <row r="149" ht="15.5" spans="1:19">
      <c r="A149" s="467">
        <v>2</v>
      </c>
      <c r="B149" s="651" t="s">
        <v>259</v>
      </c>
      <c r="C149" s="766">
        <v>606497.166666667</v>
      </c>
      <c r="D149" s="1108">
        <v>12</v>
      </c>
      <c r="E149" s="1078">
        <f t="shared" si="17"/>
        <v>7277966</v>
      </c>
      <c r="F149" s="1078"/>
      <c r="G149" s="1078">
        <v>93328.325</v>
      </c>
      <c r="H149" s="1082">
        <v>476637.28</v>
      </c>
      <c r="I149" s="938"/>
      <c r="J149" s="1078">
        <f t="shared" si="21"/>
        <v>569965.605</v>
      </c>
      <c r="K149" s="1078">
        <f t="shared" si="22"/>
        <v>6708000.395</v>
      </c>
      <c r="L149" s="1078">
        <f t="shared" si="23"/>
        <v>997440.071100001</v>
      </c>
      <c r="M149" s="471">
        <v>12</v>
      </c>
      <c r="N149" s="1111">
        <f t="shared" si="24"/>
        <v>83120.005925</v>
      </c>
      <c r="O149" s="806">
        <v>83120.005925</v>
      </c>
      <c r="P149" s="806">
        <f t="shared" si="25"/>
        <v>0</v>
      </c>
      <c r="Q149" s="807"/>
      <c r="R149" s="473"/>
      <c r="S149" s="473"/>
    </row>
    <row r="150" ht="15.5" spans="1:19">
      <c r="A150" s="467">
        <v>3</v>
      </c>
      <c r="B150" s="651" t="s">
        <v>480</v>
      </c>
      <c r="C150" s="766">
        <v>578828.166666667</v>
      </c>
      <c r="D150" s="1108">
        <v>12</v>
      </c>
      <c r="E150" s="1078">
        <f t="shared" si="17"/>
        <v>6945938</v>
      </c>
      <c r="F150" s="1078"/>
      <c r="G150" s="1078">
        <v>0</v>
      </c>
      <c r="H150" s="1082">
        <v>450075.04</v>
      </c>
      <c r="I150" s="938"/>
      <c r="J150" s="1078">
        <f t="shared" si="21"/>
        <v>450075.04</v>
      </c>
      <c r="K150" s="1078">
        <f t="shared" si="22"/>
        <v>6495862.96</v>
      </c>
      <c r="L150" s="1078">
        <f t="shared" si="23"/>
        <v>959255.332800001</v>
      </c>
      <c r="M150" s="471">
        <v>12</v>
      </c>
      <c r="N150" s="1111"/>
      <c r="O150" s="806"/>
      <c r="P150" s="806">
        <f t="shared" si="25"/>
        <v>0</v>
      </c>
      <c r="Q150" s="807"/>
      <c r="R150" s="473"/>
      <c r="S150" s="473"/>
    </row>
    <row r="151" ht="15.5" spans="1:19">
      <c r="A151" s="467">
        <v>4</v>
      </c>
      <c r="B151" s="651" t="s">
        <v>262</v>
      </c>
      <c r="C151" s="766">
        <v>438711.666666667</v>
      </c>
      <c r="D151" s="1108">
        <v>12</v>
      </c>
      <c r="E151" s="1078">
        <f t="shared" si="17"/>
        <v>5264540</v>
      </c>
      <c r="F151" s="1078"/>
      <c r="G151" s="1078">
        <v>65320.0250000001</v>
      </c>
      <c r="H151" s="1082">
        <v>325163.2</v>
      </c>
      <c r="I151" s="938"/>
      <c r="J151" s="1078">
        <f t="shared" si="21"/>
        <v>390483.225</v>
      </c>
      <c r="K151" s="1078">
        <f t="shared" si="22"/>
        <v>4874056.775</v>
      </c>
      <c r="L151" s="1078">
        <f t="shared" si="23"/>
        <v>667330.219500001</v>
      </c>
      <c r="M151" s="471">
        <v>12</v>
      </c>
      <c r="N151" s="1111">
        <f t="shared" si="24"/>
        <v>55610.8516250001</v>
      </c>
      <c r="O151" s="806">
        <v>55610.8516250001</v>
      </c>
      <c r="P151" s="806">
        <f t="shared" si="25"/>
        <v>0</v>
      </c>
      <c r="Q151" s="807"/>
      <c r="R151" s="473"/>
      <c r="S151" s="473"/>
    </row>
    <row r="152" ht="15.5" spans="1:19">
      <c r="A152" s="467">
        <v>5</v>
      </c>
      <c r="B152" s="651" t="s">
        <v>263</v>
      </c>
      <c r="C152" s="766">
        <v>438711.666666667</v>
      </c>
      <c r="D152" s="1108">
        <v>12</v>
      </c>
      <c r="E152" s="1078">
        <f t="shared" si="17"/>
        <v>5264540</v>
      </c>
      <c r="F152" s="1078"/>
      <c r="G152" s="1078">
        <v>65320.0250000001</v>
      </c>
      <c r="H152" s="1082">
        <v>325163.2</v>
      </c>
      <c r="I152" s="938"/>
      <c r="J152" s="1078">
        <f t="shared" si="21"/>
        <v>390483.225</v>
      </c>
      <c r="K152" s="1078">
        <f t="shared" si="22"/>
        <v>4874056.775</v>
      </c>
      <c r="L152" s="1078">
        <f t="shared" si="23"/>
        <v>667330.219500001</v>
      </c>
      <c r="M152" s="471">
        <v>12</v>
      </c>
      <c r="N152" s="1111">
        <f t="shared" si="24"/>
        <v>55610.8516250001</v>
      </c>
      <c r="O152" s="806">
        <v>55610.8516250001</v>
      </c>
      <c r="P152" s="806">
        <f t="shared" si="25"/>
        <v>0</v>
      </c>
      <c r="Q152" s="807"/>
      <c r="R152" s="473"/>
      <c r="S152" s="473"/>
    </row>
    <row r="153" ht="15.5" spans="1:19">
      <c r="A153" s="467">
        <v>6</v>
      </c>
      <c r="B153" s="651" t="s">
        <v>264</v>
      </c>
      <c r="C153" s="1078">
        <v>438711.666666667</v>
      </c>
      <c r="D153" s="1108">
        <v>12</v>
      </c>
      <c r="E153" s="1078">
        <f t="shared" si="17"/>
        <v>5264540</v>
      </c>
      <c r="F153" s="807"/>
      <c r="G153" s="807">
        <v>65320.0250000001</v>
      </c>
      <c r="H153" s="1082">
        <v>325163.2</v>
      </c>
      <c r="I153" s="807"/>
      <c r="J153" s="1078">
        <f t="shared" si="21"/>
        <v>390483.225</v>
      </c>
      <c r="K153" s="1078">
        <f t="shared" si="22"/>
        <v>4874056.775</v>
      </c>
      <c r="L153" s="1078">
        <f t="shared" si="23"/>
        <v>667330.219500001</v>
      </c>
      <c r="M153" s="471">
        <v>12</v>
      </c>
      <c r="N153" s="1111">
        <f t="shared" si="24"/>
        <v>55610.8516250001</v>
      </c>
      <c r="O153" s="806">
        <v>55610.8516250001</v>
      </c>
      <c r="P153" s="806">
        <f t="shared" si="25"/>
        <v>0</v>
      </c>
      <c r="Q153" s="807"/>
      <c r="R153" s="473"/>
      <c r="S153" s="473"/>
    </row>
    <row r="154" ht="15.5" spans="1:19">
      <c r="A154" s="467">
        <v>7</v>
      </c>
      <c r="B154" s="651" t="s">
        <v>265</v>
      </c>
      <c r="C154" s="1078">
        <v>438711.666666667</v>
      </c>
      <c r="D154" s="1108">
        <v>12</v>
      </c>
      <c r="E154" s="1078">
        <f t="shared" si="17"/>
        <v>5264540</v>
      </c>
      <c r="F154" s="1078"/>
      <c r="G154" s="1078">
        <v>65320.0250000001</v>
      </c>
      <c r="H154" s="1082">
        <v>325163.2</v>
      </c>
      <c r="I154" s="938"/>
      <c r="J154" s="1078">
        <f t="shared" si="21"/>
        <v>390483.225</v>
      </c>
      <c r="K154" s="1078">
        <f t="shared" si="22"/>
        <v>4874056.775</v>
      </c>
      <c r="L154" s="1078">
        <f t="shared" si="23"/>
        <v>667330.219500001</v>
      </c>
      <c r="M154" s="471">
        <v>12</v>
      </c>
      <c r="N154" s="1111">
        <f t="shared" si="24"/>
        <v>55610.8516250001</v>
      </c>
      <c r="O154" s="806">
        <v>55610.8516250001</v>
      </c>
      <c r="P154" s="806">
        <f t="shared" si="25"/>
        <v>0</v>
      </c>
      <c r="Q154" s="807"/>
      <c r="R154" s="473"/>
      <c r="S154" s="473"/>
    </row>
    <row r="155" ht="15.5" spans="1:19">
      <c r="A155" s="467">
        <v>8</v>
      </c>
      <c r="B155" s="651" t="s">
        <v>266</v>
      </c>
      <c r="C155" s="1078">
        <v>394900.833333334</v>
      </c>
      <c r="D155" s="1108">
        <v>12</v>
      </c>
      <c r="E155" s="1078">
        <f t="shared" si="17"/>
        <v>4738810.00000001</v>
      </c>
      <c r="F155" s="1078"/>
      <c r="G155" s="1078">
        <v>57653.8250000001</v>
      </c>
      <c r="H155" s="1082">
        <v>283104.800000001</v>
      </c>
      <c r="I155" s="938"/>
      <c r="J155" s="1078">
        <f t="shared" si="21"/>
        <v>340758.625000001</v>
      </c>
      <c r="K155" s="1078">
        <f t="shared" si="22"/>
        <v>4398051.37500001</v>
      </c>
      <c r="L155" s="1078">
        <f t="shared" si="23"/>
        <v>581649.247500001</v>
      </c>
      <c r="M155" s="471">
        <v>12</v>
      </c>
      <c r="N155" s="1111">
        <f t="shared" si="24"/>
        <v>48470.7706250001</v>
      </c>
      <c r="O155" s="806">
        <v>48470.7706250001</v>
      </c>
      <c r="P155" s="806">
        <f t="shared" si="25"/>
        <v>0</v>
      </c>
      <c r="Q155" s="807"/>
      <c r="R155" s="473"/>
      <c r="S155" s="473"/>
    </row>
    <row r="156" ht="15" spans="1:19">
      <c r="A156" s="467"/>
      <c r="B156" s="866" t="s">
        <v>120</v>
      </c>
      <c r="C156" s="1134">
        <f>SUM(C148:C155)</f>
        <v>4217668.33333334</v>
      </c>
      <c r="D156" s="1135"/>
      <c r="E156" s="1134">
        <f t="shared" ref="D156:P156" si="27">SUM(E148:E155)</f>
        <v>50612020</v>
      </c>
      <c r="F156" s="1134"/>
      <c r="G156" s="1134">
        <f t="shared" si="27"/>
        <v>412262.25</v>
      </c>
      <c r="H156" s="1134">
        <f t="shared" si="27"/>
        <v>3204161.6</v>
      </c>
      <c r="I156" s="1134"/>
      <c r="J156" s="1134">
        <f t="shared" si="27"/>
        <v>3616423.85</v>
      </c>
      <c r="K156" s="1134">
        <f t="shared" si="27"/>
        <v>46995596.15</v>
      </c>
      <c r="L156" s="1134">
        <f t="shared" si="27"/>
        <v>6779207.307</v>
      </c>
      <c r="M156" s="1134"/>
      <c r="N156" s="1136">
        <f t="shared" si="27"/>
        <v>484995.99785</v>
      </c>
      <c r="O156" s="1134">
        <v>484995.99785</v>
      </c>
      <c r="P156" s="1134">
        <f t="shared" si="27"/>
        <v>0</v>
      </c>
      <c r="Q156" s="807"/>
      <c r="R156" s="473"/>
      <c r="S156" s="473"/>
    </row>
    <row r="157" ht="15" spans="1:19">
      <c r="A157" s="467"/>
      <c r="B157" s="866"/>
      <c r="C157" s="1078"/>
      <c r="D157" s="1108"/>
      <c r="E157" s="1078"/>
      <c r="F157" s="1151"/>
      <c r="G157" s="1151"/>
      <c r="H157" s="483"/>
      <c r="I157" s="483"/>
      <c r="J157" s="1078"/>
      <c r="K157" s="1078"/>
      <c r="L157" s="1078"/>
      <c r="M157" s="471"/>
      <c r="N157" s="1111"/>
      <c r="O157" s="806"/>
      <c r="P157" s="806"/>
      <c r="Q157" s="807"/>
      <c r="R157" s="473"/>
      <c r="S157" s="473"/>
    </row>
    <row r="158" ht="15" spans="1:19">
      <c r="A158" s="467"/>
      <c r="B158" s="866" t="s">
        <v>268</v>
      </c>
      <c r="C158" s="1078"/>
      <c r="D158" s="1108"/>
      <c r="E158" s="1078"/>
      <c r="F158" s="1151"/>
      <c r="G158" s="1151"/>
      <c r="H158" s="483"/>
      <c r="I158" s="483"/>
      <c r="J158" s="1078"/>
      <c r="K158" s="1078"/>
      <c r="L158" s="1078"/>
      <c r="M158" s="471"/>
      <c r="N158" s="1111"/>
      <c r="O158" s="806"/>
      <c r="P158" s="806"/>
      <c r="Q158" s="807"/>
      <c r="R158" s="473"/>
      <c r="S158" s="473"/>
    </row>
    <row r="159" ht="15.5" spans="1:19">
      <c r="A159" s="467">
        <v>1</v>
      </c>
      <c r="B159" s="651" t="s">
        <v>481</v>
      </c>
      <c r="C159" s="1078">
        <v>441140.666666666</v>
      </c>
      <c r="D159" s="1108">
        <v>12</v>
      </c>
      <c r="E159" s="1078">
        <f t="shared" si="17"/>
        <v>5293687.99999999</v>
      </c>
      <c r="F159" s="1151"/>
      <c r="G159" s="1151">
        <v>0</v>
      </c>
      <c r="H159" s="483">
        <v>365895.039999999</v>
      </c>
      <c r="I159" s="483"/>
      <c r="J159" s="1078">
        <f t="shared" si="21"/>
        <v>365895.039999999</v>
      </c>
      <c r="K159" s="1078">
        <f t="shared" si="22"/>
        <v>4927792.95999999</v>
      </c>
      <c r="L159" s="1078">
        <f t="shared" si="23"/>
        <v>677002.732799999</v>
      </c>
      <c r="M159" s="471">
        <v>12</v>
      </c>
      <c r="N159" s="1111">
        <f t="shared" si="24"/>
        <v>56416.8943999999</v>
      </c>
      <c r="O159" s="806">
        <v>56416.8943999999</v>
      </c>
      <c r="P159" s="806">
        <f t="shared" si="25"/>
        <v>0</v>
      </c>
      <c r="Q159" s="807"/>
      <c r="R159" s="473"/>
      <c r="S159" s="473"/>
    </row>
    <row r="160" ht="15.5" spans="1:19">
      <c r="A160" s="467">
        <v>2</v>
      </c>
      <c r="B160" s="651" t="s">
        <v>269</v>
      </c>
      <c r="C160" s="1078">
        <v>398711.666666667</v>
      </c>
      <c r="D160" s="1108">
        <v>12</v>
      </c>
      <c r="E160" s="1078">
        <f t="shared" si="17"/>
        <v>4784540</v>
      </c>
      <c r="F160" s="1151"/>
      <c r="G160" s="1151">
        <v>0</v>
      </c>
      <c r="H160" s="483">
        <v>325163.2</v>
      </c>
      <c r="I160" s="483"/>
      <c r="J160" s="1078">
        <f t="shared" si="21"/>
        <v>325163.2</v>
      </c>
      <c r="K160" s="1078">
        <f t="shared" si="22"/>
        <v>4459376.8</v>
      </c>
      <c r="L160" s="1078">
        <f t="shared" si="23"/>
        <v>592687.824000001</v>
      </c>
      <c r="M160" s="471">
        <v>12</v>
      </c>
      <c r="N160" s="1111">
        <f t="shared" si="24"/>
        <v>49390.6520000001</v>
      </c>
      <c r="O160" s="806">
        <v>49390.6520000001</v>
      </c>
      <c r="P160" s="806">
        <f t="shared" si="25"/>
        <v>0</v>
      </c>
      <c r="Q160" s="807"/>
      <c r="R160" s="473"/>
      <c r="S160" s="473"/>
    </row>
    <row r="161" ht="15.5" spans="1:19">
      <c r="A161" s="467">
        <v>3</v>
      </c>
      <c r="B161" s="351" t="s">
        <v>271</v>
      </c>
      <c r="C161" s="1078">
        <v>344900.833333334</v>
      </c>
      <c r="D161" s="1108">
        <v>12</v>
      </c>
      <c r="E161" s="1078">
        <f t="shared" si="17"/>
        <v>4138810.00000001</v>
      </c>
      <c r="F161" s="807"/>
      <c r="G161" s="807">
        <v>0</v>
      </c>
      <c r="H161" s="807">
        <v>283104.800000001</v>
      </c>
      <c r="I161" s="807"/>
      <c r="J161" s="1078">
        <f t="shared" si="21"/>
        <v>283104.800000001</v>
      </c>
      <c r="K161" s="1078">
        <f t="shared" si="22"/>
        <v>3855705.20000001</v>
      </c>
      <c r="L161" s="1078">
        <f t="shared" si="23"/>
        <v>484026.936000001</v>
      </c>
      <c r="M161" s="471">
        <v>12</v>
      </c>
      <c r="N161" s="1111">
        <f t="shared" si="24"/>
        <v>40335.5780000001</v>
      </c>
      <c r="O161" s="806">
        <v>40335.5780000001</v>
      </c>
      <c r="P161" s="806">
        <f t="shared" si="25"/>
        <v>0</v>
      </c>
      <c r="Q161" s="807"/>
      <c r="R161" s="473"/>
      <c r="S161" s="473"/>
    </row>
    <row r="162" ht="15.5" spans="1:19">
      <c r="A162" s="467">
        <v>4</v>
      </c>
      <c r="B162" s="651" t="s">
        <v>273</v>
      </c>
      <c r="C162" s="1078">
        <v>337890.916666667</v>
      </c>
      <c r="D162" s="1108">
        <v>12</v>
      </c>
      <c r="E162" s="1078">
        <f t="shared" si="17"/>
        <v>4054691</v>
      </c>
      <c r="F162" s="807"/>
      <c r="G162" s="807">
        <v>0</v>
      </c>
      <c r="H162" s="807">
        <v>276375.28</v>
      </c>
      <c r="I162" s="807"/>
      <c r="J162" s="1078">
        <f t="shared" si="21"/>
        <v>276375.28</v>
      </c>
      <c r="K162" s="1078">
        <f t="shared" si="22"/>
        <v>3778315.72</v>
      </c>
      <c r="L162" s="1078">
        <f t="shared" si="23"/>
        <v>470096.829600001</v>
      </c>
      <c r="M162" s="471">
        <v>12</v>
      </c>
      <c r="N162" s="1111">
        <f t="shared" si="24"/>
        <v>39174.7358000001</v>
      </c>
      <c r="O162" s="806">
        <v>39174.7358000001</v>
      </c>
      <c r="P162" s="806">
        <f t="shared" si="25"/>
        <v>0</v>
      </c>
      <c r="Q162" s="807"/>
      <c r="R162" s="473"/>
      <c r="S162" s="473"/>
    </row>
    <row r="163" ht="15.5" spans="1:19">
      <c r="A163" s="467">
        <v>5</v>
      </c>
      <c r="B163" s="651" t="s">
        <v>276</v>
      </c>
      <c r="C163" s="1078">
        <v>344900.833333334</v>
      </c>
      <c r="D163" s="1108">
        <v>12</v>
      </c>
      <c r="E163" s="1078">
        <f t="shared" si="17"/>
        <v>4138810.00000001</v>
      </c>
      <c r="F163" s="1078"/>
      <c r="G163" s="1078">
        <v>0</v>
      </c>
      <c r="H163" s="1082">
        <v>283104.800000001</v>
      </c>
      <c r="I163" s="938"/>
      <c r="J163" s="1078">
        <f t="shared" si="21"/>
        <v>283104.800000001</v>
      </c>
      <c r="K163" s="1078">
        <f t="shared" si="22"/>
        <v>3855705.20000001</v>
      </c>
      <c r="L163" s="1078">
        <f t="shared" si="23"/>
        <v>484026.936000001</v>
      </c>
      <c r="M163" s="471">
        <v>12</v>
      </c>
      <c r="N163" s="1111">
        <f t="shared" si="24"/>
        <v>40335.5780000001</v>
      </c>
      <c r="O163" s="806">
        <v>40335.5780000001</v>
      </c>
      <c r="P163" s="806">
        <f t="shared" si="25"/>
        <v>0</v>
      </c>
      <c r="Q163" s="807"/>
      <c r="R163" s="473"/>
      <c r="S163" s="473"/>
    </row>
    <row r="164" ht="15.5" spans="1:19">
      <c r="A164" s="467"/>
      <c r="B164" s="651" t="s">
        <v>120</v>
      </c>
      <c r="C164" s="1134">
        <f>SUM(C159:C163)</f>
        <v>1867544.91666667</v>
      </c>
      <c r="D164" s="1135"/>
      <c r="E164" s="1134">
        <f t="shared" ref="D164:P164" si="28">SUM(E159:E163)</f>
        <v>22410539</v>
      </c>
      <c r="F164" s="1134"/>
      <c r="G164" s="1134">
        <f t="shared" si="28"/>
        <v>0</v>
      </c>
      <c r="H164" s="1134">
        <f t="shared" si="28"/>
        <v>1533643.12</v>
      </c>
      <c r="I164" s="1134"/>
      <c r="J164" s="1134">
        <f t="shared" si="28"/>
        <v>1533643.12</v>
      </c>
      <c r="K164" s="1134">
        <f t="shared" si="28"/>
        <v>20876895.88</v>
      </c>
      <c r="L164" s="1134">
        <f t="shared" si="28"/>
        <v>2707841.2584</v>
      </c>
      <c r="M164" s="1134"/>
      <c r="N164" s="1136">
        <f t="shared" si="28"/>
        <v>225653.4382</v>
      </c>
      <c r="O164" s="1134">
        <v>225653.4382</v>
      </c>
      <c r="P164" s="1134">
        <f t="shared" si="28"/>
        <v>0</v>
      </c>
      <c r="Q164" s="807"/>
      <c r="R164" s="473"/>
      <c r="S164" s="473"/>
    </row>
    <row r="165" ht="15.5" spans="1:19">
      <c r="A165" s="467"/>
      <c r="B165" s="643"/>
      <c r="C165" s="1078"/>
      <c r="D165" s="1108"/>
      <c r="E165" s="1078"/>
      <c r="F165" s="1078"/>
      <c r="G165" s="1078"/>
      <c r="H165" s="1082"/>
      <c r="I165" s="938"/>
      <c r="J165" s="1078"/>
      <c r="K165" s="1078"/>
      <c r="L165" s="1078"/>
      <c r="M165" s="471"/>
      <c r="N165" s="1111"/>
      <c r="O165" s="806"/>
      <c r="P165" s="806"/>
      <c r="Q165" s="807"/>
      <c r="R165" s="473"/>
      <c r="S165" s="473"/>
    </row>
    <row r="166" ht="15" spans="1:19">
      <c r="A166" s="467"/>
      <c r="B166" s="866" t="s">
        <v>278</v>
      </c>
      <c r="C166" s="1078"/>
      <c r="D166" s="1108"/>
      <c r="E166" s="1078"/>
      <c r="F166" s="1078"/>
      <c r="G166" s="1078"/>
      <c r="H166" s="1082"/>
      <c r="I166" s="938"/>
      <c r="J166" s="1078"/>
      <c r="K166" s="1078"/>
      <c r="L166" s="1078"/>
      <c r="M166" s="471"/>
      <c r="N166" s="1111"/>
      <c r="O166" s="806"/>
      <c r="P166" s="806"/>
      <c r="Q166" s="807"/>
      <c r="R166" s="473"/>
      <c r="S166" s="473"/>
    </row>
    <row r="167" ht="15.5" spans="1:19">
      <c r="A167" s="467">
        <v>1</v>
      </c>
      <c r="B167" s="651" t="s">
        <v>279</v>
      </c>
      <c r="C167" s="1078">
        <v>1947106.41666666</v>
      </c>
      <c r="D167" s="1108">
        <v>12</v>
      </c>
      <c r="E167" s="1078">
        <f t="shared" ref="E165:E233" si="29">C167*D167</f>
        <v>23365276.9999999</v>
      </c>
      <c r="F167" s="1078"/>
      <c r="G167" s="1078">
        <v>326033.124999999</v>
      </c>
      <c r="H167" s="1082">
        <v>1677222.15999999</v>
      </c>
      <c r="I167" s="938"/>
      <c r="J167" s="1078">
        <f t="shared" si="21"/>
        <v>2003255.28499999</v>
      </c>
      <c r="K167" s="1078">
        <f t="shared" si="22"/>
        <v>21362021.7149999</v>
      </c>
      <c r="L167" s="1078">
        <f t="shared" si="23"/>
        <v>3916024.56014999</v>
      </c>
      <c r="M167" s="471">
        <v>12</v>
      </c>
      <c r="N167" s="1111">
        <f t="shared" si="24"/>
        <v>326335.380012499</v>
      </c>
      <c r="O167" s="806">
        <v>326335.380012498</v>
      </c>
      <c r="P167" s="806">
        <f t="shared" si="25"/>
        <v>7.56699591875076e-10</v>
      </c>
      <c r="Q167" s="807"/>
      <c r="R167" s="473"/>
      <c r="S167" s="473"/>
    </row>
    <row r="168" ht="15.5" spans="1:19">
      <c r="A168" s="467">
        <v>2</v>
      </c>
      <c r="B168" s="651" t="s">
        <v>281</v>
      </c>
      <c r="C168" s="1078">
        <v>1095306.75</v>
      </c>
      <c r="D168" s="1108">
        <v>12</v>
      </c>
      <c r="E168" s="1078">
        <f t="shared" si="29"/>
        <v>13143681</v>
      </c>
      <c r="F168" s="1078">
        <v>400000</v>
      </c>
      <c r="G168" s="766">
        <v>166400.85</v>
      </c>
      <c r="H168" s="1082">
        <v>869094.48</v>
      </c>
      <c r="I168" s="938"/>
      <c r="J168" s="1078">
        <f t="shared" si="21"/>
        <v>1435495.33</v>
      </c>
      <c r="K168" s="1078">
        <f t="shared" si="22"/>
        <v>11708185.67</v>
      </c>
      <c r="L168" s="1078">
        <f t="shared" si="23"/>
        <v>1897473.4206</v>
      </c>
      <c r="M168" s="471">
        <v>12</v>
      </c>
      <c r="N168" s="1111">
        <f t="shared" si="24"/>
        <v>158122.78505</v>
      </c>
      <c r="O168" s="806">
        <v>164393.249225</v>
      </c>
      <c r="P168" s="806">
        <f t="shared" si="25"/>
        <v>-6270.46417500003</v>
      </c>
      <c r="Q168" s="807"/>
      <c r="R168" s="473"/>
      <c r="S168" s="473"/>
    </row>
    <row r="169" ht="15.5" spans="1:19">
      <c r="A169" s="467">
        <v>3</v>
      </c>
      <c r="B169" s="651" t="s">
        <v>283</v>
      </c>
      <c r="C169" s="1078">
        <v>1125306.75</v>
      </c>
      <c r="D169" s="1108">
        <v>12</v>
      </c>
      <c r="E169" s="1078">
        <f t="shared" si="29"/>
        <v>13503681</v>
      </c>
      <c r="F169" s="1078"/>
      <c r="G169" s="766">
        <v>166400.85</v>
      </c>
      <c r="H169" s="1082">
        <v>869094.48</v>
      </c>
      <c r="I169" s="938"/>
      <c r="J169" s="1078">
        <f t="shared" si="21"/>
        <v>1035495.33</v>
      </c>
      <c r="K169" s="1078">
        <f t="shared" si="22"/>
        <v>12468185.67</v>
      </c>
      <c r="L169" s="1078">
        <f t="shared" si="23"/>
        <v>2048318.9907</v>
      </c>
      <c r="M169" s="471">
        <v>12</v>
      </c>
      <c r="N169" s="1111">
        <f t="shared" si="24"/>
        <v>170693.249225</v>
      </c>
      <c r="O169" s="806">
        <v>170693.249225</v>
      </c>
      <c r="P169" s="806">
        <f t="shared" si="25"/>
        <v>0</v>
      </c>
      <c r="Q169" s="807"/>
      <c r="R169" s="473"/>
      <c r="S169" s="473"/>
    </row>
    <row r="170" ht="15.5" spans="1:19">
      <c r="A170" s="467">
        <v>4</v>
      </c>
      <c r="B170" s="351" t="s">
        <v>284</v>
      </c>
      <c r="C170" s="1078">
        <v>802595.5</v>
      </c>
      <c r="D170" s="1108">
        <v>12</v>
      </c>
      <c r="E170" s="1078">
        <f t="shared" si="29"/>
        <v>9631146</v>
      </c>
      <c r="F170" s="1078"/>
      <c r="G170" s="1078">
        <v>0</v>
      </c>
      <c r="H170" s="1082">
        <v>693691.68</v>
      </c>
      <c r="I170" s="938"/>
      <c r="J170" s="1078">
        <f t="shared" si="21"/>
        <v>693691.68</v>
      </c>
      <c r="K170" s="1078">
        <f t="shared" si="22"/>
        <v>8937454.32</v>
      </c>
      <c r="L170" s="1078">
        <f t="shared" si="23"/>
        <v>1398741.7776</v>
      </c>
      <c r="M170" s="471">
        <v>12</v>
      </c>
      <c r="N170" s="1111">
        <f t="shared" si="24"/>
        <v>116561.8148</v>
      </c>
      <c r="O170" s="806">
        <v>116561.8148</v>
      </c>
      <c r="P170" s="806">
        <f t="shared" si="25"/>
        <v>0</v>
      </c>
      <c r="Q170" s="807"/>
      <c r="R170" s="473"/>
      <c r="S170" s="473"/>
    </row>
    <row r="171" ht="15.5" spans="1:19">
      <c r="A171" s="467">
        <v>5</v>
      </c>
      <c r="B171" s="351" t="s">
        <v>286</v>
      </c>
      <c r="C171" s="1078">
        <v>780713.916666666</v>
      </c>
      <c r="D171" s="1108">
        <v>12</v>
      </c>
      <c r="E171" s="1078">
        <f t="shared" si="29"/>
        <v>9368566.99999999</v>
      </c>
      <c r="F171" s="1078"/>
      <c r="G171" s="1078">
        <v>0</v>
      </c>
      <c r="H171" s="1082">
        <v>672685.359999999</v>
      </c>
      <c r="I171" s="938"/>
      <c r="J171" s="1078">
        <f t="shared" si="21"/>
        <v>672685.359999999</v>
      </c>
      <c r="K171" s="1078">
        <f t="shared" si="22"/>
        <v>8695881.63999999</v>
      </c>
      <c r="L171" s="1078">
        <f t="shared" si="23"/>
        <v>1355258.6952</v>
      </c>
      <c r="M171" s="471">
        <v>12</v>
      </c>
      <c r="N171" s="1111">
        <f t="shared" si="24"/>
        <v>112938.2246</v>
      </c>
      <c r="O171" s="806">
        <v>112938.2246</v>
      </c>
      <c r="P171" s="806">
        <f t="shared" si="25"/>
        <v>-1.16415321826935e-10</v>
      </c>
      <c r="Q171" s="807"/>
      <c r="R171" s="473"/>
      <c r="S171" s="473"/>
    </row>
    <row r="172" ht="15.5" spans="1:19">
      <c r="A172" s="467">
        <v>6</v>
      </c>
      <c r="B172" s="351" t="s">
        <v>287</v>
      </c>
      <c r="C172" s="1078">
        <v>643911.083333334</v>
      </c>
      <c r="D172" s="1108">
        <v>12</v>
      </c>
      <c r="E172" s="1078">
        <f t="shared" si="29"/>
        <v>7726933.00000001</v>
      </c>
      <c r="F172" s="1078"/>
      <c r="G172" s="1078">
        <v>107120</v>
      </c>
      <c r="H172" s="1082">
        <v>550954.640000001</v>
      </c>
      <c r="I172" s="938"/>
      <c r="J172" s="1078">
        <f t="shared" si="21"/>
        <v>658074.640000001</v>
      </c>
      <c r="K172" s="1078">
        <f t="shared" si="22"/>
        <v>7068858.36000001</v>
      </c>
      <c r="L172" s="1078">
        <f t="shared" si="23"/>
        <v>1062394.5048</v>
      </c>
      <c r="M172" s="471">
        <v>12</v>
      </c>
      <c r="N172" s="1111">
        <f t="shared" si="24"/>
        <v>88532.8754000001</v>
      </c>
      <c r="O172" s="806">
        <v>88532.8754000001</v>
      </c>
      <c r="P172" s="806">
        <f t="shared" si="25"/>
        <v>0</v>
      </c>
      <c r="Q172" s="807"/>
      <c r="R172" s="473"/>
      <c r="S172" s="473"/>
    </row>
    <row r="173" ht="15.5" spans="1:19">
      <c r="A173" s="467">
        <v>7</v>
      </c>
      <c r="B173" s="351" t="s">
        <v>289</v>
      </c>
      <c r="C173" s="1078">
        <v>659657</v>
      </c>
      <c r="D173" s="1108">
        <v>12</v>
      </c>
      <c r="E173" s="1078">
        <f t="shared" si="29"/>
        <v>7915884</v>
      </c>
      <c r="F173" s="1078"/>
      <c r="G173" s="1078">
        <v>109925.25</v>
      </c>
      <c r="H173" s="1082">
        <v>566070.72</v>
      </c>
      <c r="I173" s="938"/>
      <c r="J173" s="1078">
        <f t="shared" si="21"/>
        <v>675995.97</v>
      </c>
      <c r="K173" s="1078">
        <f t="shared" si="22"/>
        <v>7239888.03</v>
      </c>
      <c r="L173" s="1078">
        <f t="shared" si="23"/>
        <v>1093179.8454</v>
      </c>
      <c r="M173" s="471">
        <v>12</v>
      </c>
      <c r="N173" s="1111">
        <f t="shared" si="24"/>
        <v>91098.32045</v>
      </c>
      <c r="O173" s="806">
        <v>91098.32045</v>
      </c>
      <c r="P173" s="806">
        <f t="shared" si="25"/>
        <v>0</v>
      </c>
      <c r="Q173" s="807"/>
      <c r="R173" s="473"/>
      <c r="S173" s="473"/>
    </row>
    <row r="174" ht="15.5" spans="1:19">
      <c r="A174" s="467">
        <v>8</v>
      </c>
      <c r="B174" s="351" t="s">
        <v>290</v>
      </c>
      <c r="C174" s="1078">
        <v>398711.666666667</v>
      </c>
      <c r="D174" s="1108">
        <v>12</v>
      </c>
      <c r="E174" s="1078">
        <f t="shared" si="29"/>
        <v>4784540</v>
      </c>
      <c r="F174" s="1078"/>
      <c r="G174" s="1078">
        <v>0</v>
      </c>
      <c r="H174" s="1082">
        <v>325163.2</v>
      </c>
      <c r="I174" s="938"/>
      <c r="J174" s="1078">
        <f t="shared" si="21"/>
        <v>325163.2</v>
      </c>
      <c r="K174" s="1078">
        <f t="shared" si="22"/>
        <v>4459376.8</v>
      </c>
      <c r="L174" s="1078">
        <f t="shared" si="23"/>
        <v>592687.824000001</v>
      </c>
      <c r="M174" s="471">
        <v>12</v>
      </c>
      <c r="N174" s="1111">
        <f t="shared" si="24"/>
        <v>49390.6520000001</v>
      </c>
      <c r="O174" s="806">
        <v>49390.652</v>
      </c>
      <c r="P174" s="806">
        <f t="shared" si="25"/>
        <v>0</v>
      </c>
      <c r="Q174" s="807"/>
      <c r="R174" s="473"/>
      <c r="S174" s="473"/>
    </row>
    <row r="175" ht="15.5" spans="1:19">
      <c r="A175" s="467">
        <v>9</v>
      </c>
      <c r="B175" s="351" t="s">
        <v>292</v>
      </c>
      <c r="C175" s="1078">
        <v>432145.333333333</v>
      </c>
      <c r="D175" s="1108">
        <v>12</v>
      </c>
      <c r="E175" s="1078">
        <f t="shared" si="29"/>
        <v>5185744</v>
      </c>
      <c r="F175" s="1078"/>
      <c r="G175" s="1078">
        <v>0</v>
      </c>
      <c r="H175" s="1082">
        <v>357259.52</v>
      </c>
      <c r="I175" s="938"/>
      <c r="J175" s="1078">
        <f t="shared" si="21"/>
        <v>357259.52</v>
      </c>
      <c r="K175" s="1078">
        <f t="shared" si="22"/>
        <v>4828484.48</v>
      </c>
      <c r="L175" s="1078">
        <f t="shared" si="23"/>
        <v>659127.206399999</v>
      </c>
      <c r="M175" s="471">
        <v>12</v>
      </c>
      <c r="N175" s="1111">
        <f t="shared" si="24"/>
        <v>54927.2671999999</v>
      </c>
      <c r="O175" s="806">
        <v>54927.2672</v>
      </c>
      <c r="P175" s="806">
        <f t="shared" si="25"/>
        <v>-5.82076609134674e-11</v>
      </c>
      <c r="Q175" s="807"/>
      <c r="R175" s="473"/>
      <c r="S175" s="473"/>
    </row>
    <row r="176" ht="15.5" spans="1:19">
      <c r="A176" s="467">
        <v>10</v>
      </c>
      <c r="B176" s="351" t="s">
        <v>294</v>
      </c>
      <c r="C176" s="1078">
        <v>358920.666666667</v>
      </c>
      <c r="D176" s="1108">
        <v>12</v>
      </c>
      <c r="E176" s="1078">
        <f t="shared" si="29"/>
        <v>4307048</v>
      </c>
      <c r="F176" s="1078"/>
      <c r="G176" s="1078">
        <v>60164.8250000001</v>
      </c>
      <c r="H176" s="1082">
        <v>296563.84</v>
      </c>
      <c r="I176" s="938"/>
      <c r="J176" s="1078">
        <f t="shared" si="21"/>
        <v>356728.665</v>
      </c>
      <c r="K176" s="1078">
        <f t="shared" si="22"/>
        <v>3950319.335</v>
      </c>
      <c r="L176" s="1078">
        <f t="shared" si="23"/>
        <v>501057.480300001</v>
      </c>
      <c r="M176" s="471">
        <v>12</v>
      </c>
      <c r="N176" s="1111">
        <f t="shared" si="24"/>
        <v>41754.7900250001</v>
      </c>
      <c r="O176" s="806">
        <v>41754.790025</v>
      </c>
      <c r="P176" s="806">
        <f t="shared" si="25"/>
        <v>0</v>
      </c>
      <c r="Q176" s="807"/>
      <c r="R176" s="473"/>
      <c r="S176" s="473"/>
    </row>
    <row r="177" ht="15.5" spans="1:19">
      <c r="A177" s="467">
        <v>11</v>
      </c>
      <c r="B177" s="351" t="s">
        <v>296</v>
      </c>
      <c r="C177" s="1078">
        <v>358920.666666667</v>
      </c>
      <c r="D177" s="1108">
        <v>12</v>
      </c>
      <c r="E177" s="1078">
        <f t="shared" si="29"/>
        <v>4307048</v>
      </c>
      <c r="F177" s="1078"/>
      <c r="G177" s="1078">
        <v>60164.8250000001</v>
      </c>
      <c r="H177" s="1082">
        <v>296563.84</v>
      </c>
      <c r="I177" s="938"/>
      <c r="J177" s="1078">
        <f t="shared" si="21"/>
        <v>356728.665</v>
      </c>
      <c r="K177" s="1078">
        <f t="shared" si="22"/>
        <v>3950319.335</v>
      </c>
      <c r="L177" s="1078">
        <f t="shared" si="23"/>
        <v>501057.480300001</v>
      </c>
      <c r="M177" s="471">
        <v>12</v>
      </c>
      <c r="N177" s="1111">
        <f t="shared" si="24"/>
        <v>41754.7900250001</v>
      </c>
      <c r="O177" s="806">
        <v>41754.790025</v>
      </c>
      <c r="P177" s="806">
        <f t="shared" si="25"/>
        <v>0</v>
      </c>
      <c r="Q177" s="807"/>
      <c r="R177" s="473"/>
      <c r="S177" s="473"/>
    </row>
    <row r="178" ht="15.5" spans="1:19">
      <c r="A178" s="467">
        <v>12</v>
      </c>
      <c r="B178" s="351" t="s">
        <v>297</v>
      </c>
      <c r="C178" s="1078">
        <v>351910.75</v>
      </c>
      <c r="D178" s="1108">
        <v>12</v>
      </c>
      <c r="E178" s="1078">
        <f t="shared" si="29"/>
        <v>4222929</v>
      </c>
      <c r="F178" s="1078"/>
      <c r="G178" s="1078">
        <v>58909.3250000001</v>
      </c>
      <c r="H178" s="1082">
        <v>289834.32</v>
      </c>
      <c r="I178" s="938"/>
      <c r="J178" s="1078">
        <f t="shared" si="21"/>
        <v>348743.645</v>
      </c>
      <c r="K178" s="1078">
        <f t="shared" si="22"/>
        <v>3874185.355</v>
      </c>
      <c r="L178" s="1078">
        <f t="shared" si="23"/>
        <v>487353.3639</v>
      </c>
      <c r="M178" s="471">
        <v>12</v>
      </c>
      <c r="N178" s="1111">
        <f t="shared" si="24"/>
        <v>40612.780325</v>
      </c>
      <c r="O178" s="806">
        <v>40612.780325</v>
      </c>
      <c r="P178" s="806">
        <f t="shared" si="25"/>
        <v>0</v>
      </c>
      <c r="Q178" s="807"/>
      <c r="R178" s="473"/>
      <c r="S178" s="473"/>
    </row>
    <row r="179" ht="15" spans="1:19">
      <c r="A179" s="467"/>
      <c r="B179" s="866" t="s">
        <v>120</v>
      </c>
      <c r="C179" s="1134">
        <f>SUM(C167:C178)</f>
        <v>8955206.49999999</v>
      </c>
      <c r="D179" s="1135"/>
      <c r="E179" s="1134">
        <f t="shared" ref="D179:P179" si="30">SUM(E167:E178)</f>
        <v>107462478</v>
      </c>
      <c r="F179" s="1134"/>
      <c r="G179" s="1134">
        <f t="shared" si="30"/>
        <v>1055119.05</v>
      </c>
      <c r="H179" s="1134">
        <f t="shared" si="30"/>
        <v>7464198.23999999</v>
      </c>
      <c r="I179" s="1134"/>
      <c r="J179" s="1134">
        <f t="shared" si="30"/>
        <v>8919317.28999999</v>
      </c>
      <c r="K179" s="1134">
        <f t="shared" si="30"/>
        <v>98543160.71</v>
      </c>
      <c r="L179" s="1134">
        <f t="shared" si="30"/>
        <v>15512675.14935</v>
      </c>
      <c r="M179" s="1134"/>
      <c r="N179" s="1136">
        <f t="shared" si="30"/>
        <v>1292722.9291125</v>
      </c>
      <c r="O179" s="1134">
        <v>1298993.3932875</v>
      </c>
      <c r="P179" s="1134">
        <f t="shared" si="30"/>
        <v>-6270.46417499945</v>
      </c>
      <c r="Q179" s="807"/>
      <c r="R179" s="473"/>
      <c r="S179" s="473"/>
    </row>
    <row r="180" ht="15" spans="1:19">
      <c r="A180" s="467"/>
      <c r="B180" s="869"/>
      <c r="C180" s="1078"/>
      <c r="D180" s="1108"/>
      <c r="E180" s="1078"/>
      <c r="F180" s="807"/>
      <c r="G180" s="807"/>
      <c r="H180" s="807"/>
      <c r="I180" s="807"/>
      <c r="J180" s="1078"/>
      <c r="K180" s="1078"/>
      <c r="L180" s="1078"/>
      <c r="M180" s="471"/>
      <c r="N180" s="1111"/>
      <c r="O180" s="806"/>
      <c r="P180" s="806"/>
      <c r="Q180" s="807"/>
      <c r="R180" s="473"/>
      <c r="S180" s="473"/>
    </row>
    <row r="181" ht="15" spans="1:19">
      <c r="A181" s="467"/>
      <c r="B181" s="866" t="s">
        <v>299</v>
      </c>
      <c r="C181" s="1078"/>
      <c r="D181" s="1108"/>
      <c r="E181" s="1078"/>
      <c r="F181" s="807"/>
      <c r="G181" s="807"/>
      <c r="H181" s="807"/>
      <c r="I181" s="807"/>
      <c r="J181" s="1078"/>
      <c r="K181" s="1078"/>
      <c r="L181" s="1078"/>
      <c r="M181" s="471"/>
      <c r="N181" s="1111"/>
      <c r="O181" s="806"/>
      <c r="P181" s="806"/>
      <c r="Q181" s="807"/>
      <c r="R181" s="473"/>
      <c r="S181" s="473"/>
    </row>
    <row r="182" ht="15.5" spans="1:19">
      <c r="A182" s="467">
        <v>1</v>
      </c>
      <c r="B182" s="643" t="s">
        <v>300</v>
      </c>
      <c r="C182" s="1078">
        <v>1797359.33333333</v>
      </c>
      <c r="D182" s="1108">
        <v>12</v>
      </c>
      <c r="E182" s="1078">
        <f t="shared" si="29"/>
        <v>21568312</v>
      </c>
      <c r="F182" s="1078"/>
      <c r="G182" s="1078">
        <v>316881.849999999</v>
      </c>
      <c r="H182" s="1082">
        <v>1629464.96</v>
      </c>
      <c r="I182" s="938"/>
      <c r="J182" s="1078">
        <f t="shared" si="21"/>
        <v>1946346.81</v>
      </c>
      <c r="K182" s="1078">
        <f t="shared" si="22"/>
        <v>19621965.19</v>
      </c>
      <c r="L182" s="1078">
        <f t="shared" si="23"/>
        <v>3550612.68989999</v>
      </c>
      <c r="M182" s="471">
        <v>12</v>
      </c>
      <c r="N182" s="1111">
        <f t="shared" si="24"/>
        <v>295884.390824999</v>
      </c>
      <c r="O182" s="806">
        <v>295884.390825</v>
      </c>
      <c r="P182" s="806">
        <f t="shared" si="25"/>
        <v>-6.98491930961609e-10</v>
      </c>
      <c r="Q182" s="807"/>
      <c r="R182" s="473"/>
      <c r="S182" s="473"/>
    </row>
    <row r="183" ht="15.5" spans="1:19">
      <c r="A183" s="467">
        <v>2</v>
      </c>
      <c r="B183" s="643" t="s">
        <v>302</v>
      </c>
      <c r="C183" s="1078">
        <v>1747612</v>
      </c>
      <c r="D183" s="1108">
        <v>12</v>
      </c>
      <c r="E183" s="1078">
        <f t="shared" si="29"/>
        <v>20971344</v>
      </c>
      <c r="F183" s="1078"/>
      <c r="G183" s="1078">
        <v>307731</v>
      </c>
      <c r="H183" s="1082">
        <v>1629465.96</v>
      </c>
      <c r="I183" s="938"/>
      <c r="J183" s="1078">
        <f t="shared" si="21"/>
        <v>1937196.96</v>
      </c>
      <c r="K183" s="1078">
        <f t="shared" si="22"/>
        <v>19034147.04</v>
      </c>
      <c r="L183" s="1078">
        <f t="shared" si="23"/>
        <v>3427170.8784</v>
      </c>
      <c r="M183" s="471">
        <v>12</v>
      </c>
      <c r="N183" s="1111">
        <f t="shared" si="24"/>
        <v>285597.5732</v>
      </c>
      <c r="O183" s="806">
        <v>155122.78505</v>
      </c>
      <c r="P183" s="806">
        <f t="shared" si="25"/>
        <v>130474.78815</v>
      </c>
      <c r="Q183" s="807"/>
      <c r="R183" s="473"/>
      <c r="S183" s="473"/>
    </row>
    <row r="184" ht="15.5" spans="1:19">
      <c r="A184" s="467">
        <v>3</v>
      </c>
      <c r="B184" s="651" t="s">
        <v>305</v>
      </c>
      <c r="C184" s="1078">
        <v>802595.5</v>
      </c>
      <c r="D184" s="1108">
        <v>12</v>
      </c>
      <c r="E184" s="1078">
        <f t="shared" si="29"/>
        <v>9631146</v>
      </c>
      <c r="F184" s="1078"/>
      <c r="G184" s="1078">
        <v>133798.75</v>
      </c>
      <c r="H184" s="1082">
        <v>693691.68</v>
      </c>
      <c r="I184" s="938"/>
      <c r="J184" s="1078">
        <f t="shared" si="21"/>
        <v>827490.43</v>
      </c>
      <c r="K184" s="1078">
        <f t="shared" si="22"/>
        <v>8803655.57</v>
      </c>
      <c r="L184" s="1078">
        <f t="shared" si="23"/>
        <v>1374658.0026</v>
      </c>
      <c r="M184" s="471">
        <v>12</v>
      </c>
      <c r="N184" s="1111">
        <f t="shared" si="24"/>
        <v>114554.83355</v>
      </c>
      <c r="O184" s="806">
        <v>114554.83355</v>
      </c>
      <c r="P184" s="806">
        <f t="shared" si="25"/>
        <v>0</v>
      </c>
      <c r="Q184" s="807"/>
      <c r="R184" s="473"/>
      <c r="S184" s="473"/>
    </row>
    <row r="185" ht="15.5" spans="1:19">
      <c r="A185" s="467">
        <v>4</v>
      </c>
      <c r="B185" s="651" t="s">
        <v>307</v>
      </c>
      <c r="C185" s="1078">
        <v>802595.5</v>
      </c>
      <c r="D185" s="1108">
        <v>12</v>
      </c>
      <c r="E185" s="1078">
        <f t="shared" si="29"/>
        <v>9631146</v>
      </c>
      <c r="F185" s="1078"/>
      <c r="G185" s="1078">
        <v>133798.75</v>
      </c>
      <c r="H185" s="1082">
        <v>693691.68</v>
      </c>
      <c r="I185" s="938"/>
      <c r="J185" s="1078">
        <f t="shared" si="21"/>
        <v>827490.43</v>
      </c>
      <c r="K185" s="1078">
        <f t="shared" si="22"/>
        <v>8803655.57</v>
      </c>
      <c r="L185" s="1078">
        <f t="shared" si="23"/>
        <v>1374658.0026</v>
      </c>
      <c r="M185" s="471">
        <v>12</v>
      </c>
      <c r="N185" s="1111">
        <f t="shared" si="24"/>
        <v>114554.83355</v>
      </c>
      <c r="O185" s="806">
        <v>114554.83355</v>
      </c>
      <c r="P185" s="806">
        <f t="shared" si="25"/>
        <v>0</v>
      </c>
      <c r="Q185" s="807"/>
      <c r="R185" s="473"/>
      <c r="S185" s="473"/>
    </row>
    <row r="186" ht="15.5" spans="1:19">
      <c r="A186" s="467">
        <v>5</v>
      </c>
      <c r="B186" s="651" t="s">
        <v>309</v>
      </c>
      <c r="C186" s="1078">
        <v>802595.5</v>
      </c>
      <c r="D186" s="1108">
        <v>12</v>
      </c>
      <c r="E186" s="1078">
        <f t="shared" si="29"/>
        <v>9631146</v>
      </c>
      <c r="F186" s="1078"/>
      <c r="G186" s="1078">
        <v>133798.75</v>
      </c>
      <c r="H186" s="1082">
        <v>693691.68</v>
      </c>
      <c r="I186" s="938"/>
      <c r="J186" s="1078">
        <f t="shared" si="21"/>
        <v>827490.43</v>
      </c>
      <c r="K186" s="1078">
        <f t="shared" si="22"/>
        <v>8803655.57</v>
      </c>
      <c r="L186" s="1078">
        <f t="shared" si="23"/>
        <v>1374658.0026</v>
      </c>
      <c r="M186" s="471">
        <v>12</v>
      </c>
      <c r="N186" s="1111">
        <f t="shared" si="24"/>
        <v>114554.83355</v>
      </c>
      <c r="O186" s="806">
        <v>114554.83355</v>
      </c>
      <c r="P186" s="806">
        <f t="shared" si="25"/>
        <v>0</v>
      </c>
      <c r="Q186" s="807"/>
      <c r="R186" s="473"/>
      <c r="S186" s="473"/>
    </row>
    <row r="187" ht="26" customHeight="1" spans="1:19">
      <c r="A187" s="467">
        <v>6</v>
      </c>
      <c r="B187" s="651" t="s">
        <v>310</v>
      </c>
      <c r="C187" s="1078">
        <v>612419.5</v>
      </c>
      <c r="D187" s="1108">
        <v>12</v>
      </c>
      <c r="E187" s="1078">
        <f t="shared" si="29"/>
        <v>7349034</v>
      </c>
      <c r="F187" s="1078"/>
      <c r="G187" s="1078">
        <v>0</v>
      </c>
      <c r="H187" s="1082">
        <v>520722.72</v>
      </c>
      <c r="I187" s="938"/>
      <c r="J187" s="1078">
        <f t="shared" si="21"/>
        <v>520722.72</v>
      </c>
      <c r="K187" s="1078">
        <f t="shared" si="22"/>
        <v>6828311.28</v>
      </c>
      <c r="L187" s="1078">
        <f t="shared" si="23"/>
        <v>1019096.0304</v>
      </c>
      <c r="M187" s="471">
        <v>12</v>
      </c>
      <c r="N187" s="1111">
        <f t="shared" si="24"/>
        <v>84924.6692</v>
      </c>
      <c r="O187" s="806">
        <v>84924.6692</v>
      </c>
      <c r="P187" s="806">
        <f t="shared" si="25"/>
        <v>0</v>
      </c>
      <c r="Q187" s="807"/>
      <c r="R187" s="473"/>
      <c r="S187" s="473"/>
    </row>
    <row r="188" ht="15.5" spans="1:19">
      <c r="A188" s="467">
        <v>7</v>
      </c>
      <c r="B188" s="651" t="s">
        <v>312</v>
      </c>
      <c r="C188" s="1078">
        <v>567472.75</v>
      </c>
      <c r="D188" s="1108">
        <v>12</v>
      </c>
      <c r="E188" s="1078">
        <f t="shared" si="29"/>
        <v>6809673</v>
      </c>
      <c r="F188" s="1078"/>
      <c r="G188" s="1078">
        <v>0</v>
      </c>
      <c r="H188" s="1082">
        <v>477573.84</v>
      </c>
      <c r="I188" s="938"/>
      <c r="J188" s="1078">
        <f t="shared" si="21"/>
        <v>477573.84</v>
      </c>
      <c r="K188" s="1078">
        <f t="shared" si="22"/>
        <v>6332099.16</v>
      </c>
      <c r="L188" s="1078">
        <f t="shared" si="23"/>
        <v>929777.8488</v>
      </c>
      <c r="M188" s="471">
        <v>12</v>
      </c>
      <c r="N188" s="1111">
        <f t="shared" si="24"/>
        <v>77481.4874</v>
      </c>
      <c r="O188" s="806">
        <v>77481.4874</v>
      </c>
      <c r="P188" s="806">
        <f t="shared" si="25"/>
        <v>0</v>
      </c>
      <c r="Q188" s="807"/>
      <c r="R188" s="473"/>
      <c r="S188" s="473"/>
    </row>
    <row r="189" ht="15.5" spans="1:19">
      <c r="A189" s="467">
        <v>8</v>
      </c>
      <c r="B189" s="651" t="s">
        <v>313</v>
      </c>
      <c r="C189" s="1078">
        <v>617472.75</v>
      </c>
      <c r="D189" s="1108">
        <v>12</v>
      </c>
      <c r="E189" s="1078">
        <f t="shared" si="29"/>
        <v>7409673</v>
      </c>
      <c r="F189" s="1078"/>
      <c r="G189" s="1078">
        <v>0</v>
      </c>
      <c r="H189" s="1082">
        <v>477573.84</v>
      </c>
      <c r="I189" s="938"/>
      <c r="J189" s="1078">
        <f t="shared" si="21"/>
        <v>477573.84</v>
      </c>
      <c r="K189" s="1078">
        <f t="shared" si="22"/>
        <v>6932099.16</v>
      </c>
      <c r="L189" s="1078">
        <f t="shared" si="23"/>
        <v>1037777.8488</v>
      </c>
      <c r="M189" s="471">
        <v>12</v>
      </c>
      <c r="N189" s="1111">
        <f t="shared" si="24"/>
        <v>86481.4874</v>
      </c>
      <c r="O189" s="806">
        <v>86481.4874</v>
      </c>
      <c r="P189" s="806">
        <f t="shared" si="25"/>
        <v>0</v>
      </c>
      <c r="Q189" s="807"/>
      <c r="R189" s="473"/>
      <c r="S189" s="473"/>
    </row>
    <row r="190" ht="15.5" spans="1:19">
      <c r="A190" s="467">
        <v>9</v>
      </c>
      <c r="B190" s="651" t="s">
        <v>315</v>
      </c>
      <c r="C190" s="1078">
        <v>552846.583333334</v>
      </c>
      <c r="D190" s="1108">
        <v>12</v>
      </c>
      <c r="E190" s="1078">
        <f t="shared" si="29"/>
        <v>6634159.00000001</v>
      </c>
      <c r="F190" s="1078"/>
      <c r="G190" s="1078">
        <v>0</v>
      </c>
      <c r="H190" s="1082">
        <v>463532.720000001</v>
      </c>
      <c r="I190" s="938"/>
      <c r="J190" s="1078">
        <f t="shared" si="21"/>
        <v>463532.720000001</v>
      </c>
      <c r="K190" s="1078">
        <f t="shared" si="22"/>
        <v>6170626.28000001</v>
      </c>
      <c r="L190" s="1078">
        <f t="shared" si="23"/>
        <v>900712.730400001</v>
      </c>
      <c r="M190" s="471">
        <v>12</v>
      </c>
      <c r="N190" s="1111">
        <f t="shared" si="24"/>
        <v>75059.3942000001</v>
      </c>
      <c r="O190" s="806">
        <v>75059.3942000001</v>
      </c>
      <c r="P190" s="806">
        <f t="shared" si="25"/>
        <v>0</v>
      </c>
      <c r="Q190" s="807"/>
      <c r="R190" s="473"/>
      <c r="S190" s="473"/>
    </row>
    <row r="191" ht="15.5" spans="1:19">
      <c r="A191" s="467">
        <v>10</v>
      </c>
      <c r="B191" s="351" t="s">
        <v>317</v>
      </c>
      <c r="C191" s="1078">
        <v>542662.666666667</v>
      </c>
      <c r="D191" s="1108">
        <v>12</v>
      </c>
      <c r="E191" s="1078">
        <f t="shared" si="29"/>
        <v>6511952</v>
      </c>
      <c r="F191" s="1078"/>
      <c r="G191" s="1078">
        <v>90863.6000000001</v>
      </c>
      <c r="H191" s="1082">
        <v>463356.16</v>
      </c>
      <c r="I191" s="938"/>
      <c r="J191" s="1078">
        <f t="shared" si="21"/>
        <v>554219.76</v>
      </c>
      <c r="K191" s="1078">
        <f t="shared" si="22"/>
        <v>5957732.24</v>
      </c>
      <c r="L191" s="1078">
        <f t="shared" si="23"/>
        <v>862391.803200001</v>
      </c>
      <c r="M191" s="471">
        <v>12</v>
      </c>
      <c r="N191" s="1111">
        <f t="shared" si="24"/>
        <v>71865.9836000001</v>
      </c>
      <c r="O191" s="806">
        <v>71865.9836</v>
      </c>
      <c r="P191" s="806">
        <f t="shared" si="25"/>
        <v>0</v>
      </c>
      <c r="Q191" s="807"/>
      <c r="R191" s="473"/>
      <c r="S191" s="473"/>
    </row>
    <row r="192" ht="15.5" spans="1:19">
      <c r="A192" s="467">
        <v>11</v>
      </c>
      <c r="B192" s="651" t="s">
        <v>319</v>
      </c>
      <c r="C192" s="1078">
        <v>528828.166666667</v>
      </c>
      <c r="D192" s="1108">
        <v>12</v>
      </c>
      <c r="E192" s="1078">
        <f t="shared" si="29"/>
        <v>6345938</v>
      </c>
      <c r="F192" s="1078"/>
      <c r="G192" s="1078">
        <v>88398.8750000001</v>
      </c>
      <c r="H192" s="1082">
        <v>450075.04</v>
      </c>
      <c r="I192" s="938"/>
      <c r="J192" s="1078">
        <f t="shared" si="21"/>
        <v>538473.915</v>
      </c>
      <c r="K192" s="1078">
        <f t="shared" si="22"/>
        <v>5807464.085</v>
      </c>
      <c r="L192" s="1078">
        <f t="shared" si="23"/>
        <v>835343.535300001</v>
      </c>
      <c r="M192" s="471">
        <v>12</v>
      </c>
      <c r="N192" s="1111">
        <f t="shared" si="24"/>
        <v>69611.9612750001</v>
      </c>
      <c r="O192" s="806">
        <v>69611.961275</v>
      </c>
      <c r="P192" s="806">
        <f t="shared" si="25"/>
        <v>0</v>
      </c>
      <c r="Q192" s="807"/>
      <c r="R192" s="473"/>
      <c r="S192" s="473"/>
    </row>
    <row r="193" ht="15.5" spans="1:19">
      <c r="A193" s="467">
        <v>12</v>
      </c>
      <c r="B193" s="651" t="s">
        <v>321</v>
      </c>
      <c r="C193" s="1078">
        <v>514993.583333333</v>
      </c>
      <c r="D193" s="1108">
        <v>12</v>
      </c>
      <c r="E193" s="1078">
        <f t="shared" si="29"/>
        <v>6179923</v>
      </c>
      <c r="F193" s="1078"/>
      <c r="G193" s="1078">
        <v>0</v>
      </c>
      <c r="H193" s="1082">
        <v>436793.84</v>
      </c>
      <c r="I193" s="938"/>
      <c r="J193" s="1078">
        <f t="shared" si="21"/>
        <v>436793.84</v>
      </c>
      <c r="K193" s="1078">
        <f t="shared" si="22"/>
        <v>5743129.16</v>
      </c>
      <c r="L193" s="1078">
        <f t="shared" si="23"/>
        <v>823763.248799999</v>
      </c>
      <c r="M193" s="471">
        <v>12</v>
      </c>
      <c r="N193" s="1111">
        <f t="shared" si="24"/>
        <v>68646.9374</v>
      </c>
      <c r="O193" s="806">
        <v>68646.9374</v>
      </c>
      <c r="P193" s="806">
        <f t="shared" si="25"/>
        <v>0</v>
      </c>
      <c r="Q193" s="807"/>
      <c r="R193" s="473"/>
      <c r="S193" s="473"/>
    </row>
    <row r="194" ht="15.5" spans="1:19">
      <c r="A194" s="467">
        <v>13</v>
      </c>
      <c r="B194" s="651" t="s">
        <v>322</v>
      </c>
      <c r="C194" s="1078">
        <v>514993.583333333</v>
      </c>
      <c r="D194" s="1108">
        <v>12</v>
      </c>
      <c r="E194" s="1078">
        <f t="shared" si="29"/>
        <v>6179923</v>
      </c>
      <c r="F194" s="1078"/>
      <c r="G194" s="1078">
        <v>85934.1249999999</v>
      </c>
      <c r="H194" s="1082">
        <v>436793.84</v>
      </c>
      <c r="I194" s="938"/>
      <c r="J194" s="1078">
        <f t="shared" si="21"/>
        <v>522727.965</v>
      </c>
      <c r="K194" s="1078">
        <f t="shared" si="22"/>
        <v>5657195.035</v>
      </c>
      <c r="L194" s="1078">
        <f t="shared" si="23"/>
        <v>808295.106299999</v>
      </c>
      <c r="M194" s="471">
        <v>12</v>
      </c>
      <c r="N194" s="1111">
        <f t="shared" si="24"/>
        <v>67357.925525</v>
      </c>
      <c r="O194" s="806">
        <v>67357.925525</v>
      </c>
      <c r="P194" s="806">
        <f t="shared" si="25"/>
        <v>0</v>
      </c>
      <c r="Q194" s="807"/>
      <c r="R194" s="473"/>
      <c r="S194" s="473"/>
    </row>
    <row r="195" ht="15.5" spans="1:19">
      <c r="A195" s="467">
        <v>14</v>
      </c>
      <c r="B195" s="651" t="s">
        <v>323</v>
      </c>
      <c r="C195" s="1078">
        <v>514993.583333333</v>
      </c>
      <c r="D195" s="1108">
        <v>12</v>
      </c>
      <c r="E195" s="1078">
        <f t="shared" si="29"/>
        <v>6179923</v>
      </c>
      <c r="F195" s="1078"/>
      <c r="G195" s="1078">
        <v>85934.1249999999</v>
      </c>
      <c r="H195" s="1082">
        <v>436793.84</v>
      </c>
      <c r="I195" s="938"/>
      <c r="J195" s="1078">
        <f t="shared" si="21"/>
        <v>522727.965</v>
      </c>
      <c r="K195" s="1078">
        <f t="shared" si="22"/>
        <v>5657195.035</v>
      </c>
      <c r="L195" s="1078">
        <f t="shared" si="23"/>
        <v>808295.106299999</v>
      </c>
      <c r="M195" s="471">
        <v>12</v>
      </c>
      <c r="N195" s="1111">
        <f t="shared" si="24"/>
        <v>67357.925525</v>
      </c>
      <c r="O195" s="806">
        <v>67357.925525</v>
      </c>
      <c r="P195" s="806">
        <f t="shared" si="25"/>
        <v>0</v>
      </c>
      <c r="Q195" s="807"/>
      <c r="R195" s="473"/>
      <c r="S195" s="473"/>
    </row>
    <row r="196" ht="15.5" spans="1:19">
      <c r="A196" s="467">
        <v>15</v>
      </c>
      <c r="B196" s="651" t="s">
        <v>324</v>
      </c>
      <c r="C196" s="1078">
        <v>528828.166666667</v>
      </c>
      <c r="D196" s="1108">
        <v>12</v>
      </c>
      <c r="E196" s="1078">
        <f t="shared" si="29"/>
        <v>6345938</v>
      </c>
      <c r="F196" s="1078"/>
      <c r="G196" s="1078">
        <v>0</v>
      </c>
      <c r="H196" s="1082">
        <v>450075.04</v>
      </c>
      <c r="I196" s="938"/>
      <c r="J196" s="1078">
        <f t="shared" si="21"/>
        <v>450075.04</v>
      </c>
      <c r="K196" s="1078">
        <f t="shared" si="22"/>
        <v>5895862.96</v>
      </c>
      <c r="L196" s="1078">
        <f t="shared" si="23"/>
        <v>851255.332800001</v>
      </c>
      <c r="M196" s="471">
        <v>12</v>
      </c>
      <c r="N196" s="1111">
        <f t="shared" si="24"/>
        <v>70937.9444000001</v>
      </c>
      <c r="O196" s="806">
        <v>70937.9444</v>
      </c>
      <c r="P196" s="806">
        <f t="shared" si="25"/>
        <v>0</v>
      </c>
      <c r="Q196" s="807"/>
      <c r="R196" s="473"/>
      <c r="S196" s="473"/>
    </row>
    <row r="197" ht="15.5" spans="1:19">
      <c r="A197" s="467">
        <v>16</v>
      </c>
      <c r="B197" s="651" t="s">
        <v>325</v>
      </c>
      <c r="C197" s="1078">
        <v>459131.166666667</v>
      </c>
      <c r="D197" s="1108">
        <v>12</v>
      </c>
      <c r="E197" s="1078">
        <f t="shared" si="29"/>
        <v>5509574</v>
      </c>
      <c r="F197" s="1078"/>
      <c r="G197" s="1078">
        <v>75440.3750000001</v>
      </c>
      <c r="H197" s="1082">
        <v>383165.92</v>
      </c>
      <c r="I197" s="938"/>
      <c r="J197" s="1078">
        <f t="shared" si="21"/>
        <v>458606.295</v>
      </c>
      <c r="K197" s="1078">
        <f t="shared" si="22"/>
        <v>5050967.705</v>
      </c>
      <c r="L197" s="1078">
        <f t="shared" si="23"/>
        <v>699174.186900001</v>
      </c>
      <c r="M197" s="471">
        <v>12</v>
      </c>
      <c r="N197" s="1111">
        <f t="shared" si="24"/>
        <v>58264.5155750001</v>
      </c>
      <c r="O197" s="806">
        <v>58264.515575</v>
      </c>
      <c r="P197" s="806">
        <f t="shared" si="25"/>
        <v>5.82076609134674e-11</v>
      </c>
      <c r="Q197" s="807"/>
      <c r="R197" s="473"/>
      <c r="S197" s="473"/>
    </row>
    <row r="198" ht="31" spans="1:19">
      <c r="A198" s="467">
        <v>17</v>
      </c>
      <c r="B198" s="651" t="s">
        <v>327</v>
      </c>
      <c r="C198" s="1078">
        <v>432145.333333333</v>
      </c>
      <c r="D198" s="1108">
        <v>12</v>
      </c>
      <c r="E198" s="1078">
        <f t="shared" si="29"/>
        <v>5185744</v>
      </c>
      <c r="F198" s="1078"/>
      <c r="G198" s="1078">
        <v>70673.35</v>
      </c>
      <c r="H198" s="1082">
        <v>357259.52</v>
      </c>
      <c r="I198" s="938"/>
      <c r="J198" s="1078">
        <f t="shared" si="21"/>
        <v>427932.87</v>
      </c>
      <c r="K198" s="1078">
        <f t="shared" si="22"/>
        <v>4757811.13</v>
      </c>
      <c r="L198" s="1078">
        <f t="shared" si="23"/>
        <v>646406.003399999</v>
      </c>
      <c r="M198" s="471">
        <v>12</v>
      </c>
      <c r="N198" s="1111">
        <f t="shared" si="24"/>
        <v>53867.1669499999</v>
      </c>
      <c r="O198" s="806">
        <v>53867.16695</v>
      </c>
      <c r="P198" s="806">
        <f t="shared" si="25"/>
        <v>0</v>
      </c>
      <c r="Q198" s="807"/>
      <c r="R198" s="473"/>
      <c r="S198" s="473"/>
    </row>
    <row r="199" ht="15.5" spans="1:19">
      <c r="A199" s="467">
        <v>18</v>
      </c>
      <c r="B199" s="651" t="s">
        <v>329</v>
      </c>
      <c r="C199" s="1078">
        <v>514993.583333333</v>
      </c>
      <c r="D199" s="1108">
        <v>12</v>
      </c>
      <c r="E199" s="1078">
        <f t="shared" si="29"/>
        <v>6179923</v>
      </c>
      <c r="F199" s="1078"/>
      <c r="G199" s="1078">
        <v>0</v>
      </c>
      <c r="H199" s="1082">
        <v>436793.84</v>
      </c>
      <c r="I199" s="938"/>
      <c r="J199" s="1078">
        <f t="shared" ref="J199:J248" si="31">F199+G199+H199</f>
        <v>436793.84</v>
      </c>
      <c r="K199" s="1078">
        <f t="shared" ref="K199:K248" si="32">E199-J199</f>
        <v>5743129.16</v>
      </c>
      <c r="L199" s="1078">
        <f t="shared" ref="L199:L248" si="33">IF(K199&lt;=800000,0,IF(K199&lt;=3000000,(K199-800000)*15%,IF(K199&lt;=12000000,330000+(K199-3000000)*18%,IF(K199&lt;=25000000,1950000+(K199-12000000)*21%,IF(K199&lt;=50000000,4680000+(K199-25000000)*23%,10430000+(K199-50000000)*25%)))))</f>
        <v>823763.248799999</v>
      </c>
      <c r="M199" s="471">
        <v>12</v>
      </c>
      <c r="N199" s="1111">
        <f t="shared" ref="N199:N248" si="34">L199/M199</f>
        <v>68646.9374</v>
      </c>
      <c r="O199" s="806">
        <v>68646.9374</v>
      </c>
      <c r="P199" s="806">
        <f t="shared" ref="P199:P248" si="35">N199-O199</f>
        <v>0</v>
      </c>
      <c r="Q199" s="807"/>
      <c r="R199" s="473"/>
      <c r="S199" s="473"/>
    </row>
    <row r="200" ht="15.5" spans="1:19">
      <c r="A200" s="467">
        <v>19</v>
      </c>
      <c r="B200" s="651" t="s">
        <v>331</v>
      </c>
      <c r="C200" s="1078">
        <v>441140.666666666</v>
      </c>
      <c r="D200" s="1108">
        <v>12</v>
      </c>
      <c r="E200" s="1078">
        <f t="shared" si="29"/>
        <v>5293687.99999999</v>
      </c>
      <c r="F200" s="1078"/>
      <c r="G200" s="1078">
        <v>72262.3749999999</v>
      </c>
      <c r="H200" s="1082">
        <v>365895.039999999</v>
      </c>
      <c r="I200" s="938"/>
      <c r="J200" s="1078">
        <f t="shared" si="31"/>
        <v>438157.414999999</v>
      </c>
      <c r="K200" s="1078">
        <f t="shared" si="32"/>
        <v>4855530.58499999</v>
      </c>
      <c r="L200" s="1078">
        <f t="shared" si="33"/>
        <v>663995.505299999</v>
      </c>
      <c r="M200" s="471">
        <v>12</v>
      </c>
      <c r="N200" s="1111">
        <f t="shared" si="34"/>
        <v>55332.9587749999</v>
      </c>
      <c r="O200" s="806">
        <v>55332.9587749999</v>
      </c>
      <c r="P200" s="806">
        <f t="shared" si="35"/>
        <v>0</v>
      </c>
      <c r="Q200" s="807"/>
      <c r="R200" s="473"/>
      <c r="S200" s="473"/>
    </row>
    <row r="201" ht="15.5" spans="1:19">
      <c r="A201" s="467">
        <v>20</v>
      </c>
      <c r="B201" s="351" t="s">
        <v>333</v>
      </c>
      <c r="C201" s="1078">
        <v>564993.583333333</v>
      </c>
      <c r="D201" s="1108">
        <v>12</v>
      </c>
      <c r="E201" s="1078">
        <f t="shared" si="29"/>
        <v>6779923</v>
      </c>
      <c r="F201" s="1078"/>
      <c r="G201" s="1078">
        <v>85934.1249999999</v>
      </c>
      <c r="H201" s="1082">
        <v>436793.84</v>
      </c>
      <c r="I201" s="938"/>
      <c r="J201" s="1078">
        <f t="shared" si="31"/>
        <v>522727.965</v>
      </c>
      <c r="K201" s="1078">
        <f t="shared" si="32"/>
        <v>6257195.035</v>
      </c>
      <c r="L201" s="1078">
        <f t="shared" si="33"/>
        <v>916295.106299999</v>
      </c>
      <c r="M201" s="471">
        <v>12</v>
      </c>
      <c r="N201" s="1111">
        <f t="shared" si="34"/>
        <v>76357.9255249999</v>
      </c>
      <c r="O201" s="806">
        <v>76357.9255249999</v>
      </c>
      <c r="P201" s="806">
        <f t="shared" si="35"/>
        <v>0</v>
      </c>
      <c r="Q201" s="807"/>
      <c r="R201" s="473"/>
      <c r="S201" s="473"/>
    </row>
    <row r="202" ht="15.5" spans="1:19">
      <c r="A202" s="467">
        <v>21</v>
      </c>
      <c r="B202" s="351" t="s">
        <v>334</v>
      </c>
      <c r="C202" s="1078">
        <v>432145.333333333</v>
      </c>
      <c r="D202" s="1108">
        <v>12</v>
      </c>
      <c r="E202" s="1078">
        <f t="shared" si="29"/>
        <v>5185744</v>
      </c>
      <c r="F202" s="1078">
        <v>300000</v>
      </c>
      <c r="G202" s="1078">
        <v>0</v>
      </c>
      <c r="H202" s="1082">
        <v>357259.52</v>
      </c>
      <c r="I202" s="938"/>
      <c r="J202" s="1078">
        <f t="shared" si="31"/>
        <v>657259.52</v>
      </c>
      <c r="K202" s="1078">
        <f t="shared" si="32"/>
        <v>4528484.48</v>
      </c>
      <c r="L202" s="1078">
        <f t="shared" si="33"/>
        <v>605127.206399999</v>
      </c>
      <c r="M202" s="471">
        <v>12</v>
      </c>
      <c r="N202" s="1111">
        <f t="shared" si="34"/>
        <v>50427.2671999999</v>
      </c>
      <c r="O202" s="806">
        <v>54927.2671999999</v>
      </c>
      <c r="P202" s="806">
        <f t="shared" si="35"/>
        <v>-4499.99999999996</v>
      </c>
      <c r="Q202" s="807"/>
      <c r="R202" s="473"/>
      <c r="S202" s="473"/>
    </row>
    <row r="203" ht="15.5" spans="1:19">
      <c r="A203" s="467">
        <v>22</v>
      </c>
      <c r="B203" s="351" t="s">
        <v>336</v>
      </c>
      <c r="C203" s="1078">
        <v>398711.666666667</v>
      </c>
      <c r="D203" s="1108">
        <v>12</v>
      </c>
      <c r="E203" s="1078">
        <f t="shared" si="29"/>
        <v>4784540</v>
      </c>
      <c r="F203" s="1078"/>
      <c r="G203" s="1078">
        <v>66802.3749999999</v>
      </c>
      <c r="H203" s="1082">
        <v>325163.2</v>
      </c>
      <c r="I203" s="938"/>
      <c r="J203" s="1078">
        <f t="shared" si="31"/>
        <v>391965.575</v>
      </c>
      <c r="K203" s="1078">
        <f t="shared" si="32"/>
        <v>4392574.425</v>
      </c>
      <c r="L203" s="1078">
        <f t="shared" si="33"/>
        <v>580663.396500001</v>
      </c>
      <c r="M203" s="471">
        <v>12</v>
      </c>
      <c r="N203" s="1111">
        <f t="shared" si="34"/>
        <v>48388.616375</v>
      </c>
      <c r="O203" s="806">
        <v>48388.616375</v>
      </c>
      <c r="P203" s="806">
        <f t="shared" si="35"/>
        <v>0</v>
      </c>
      <c r="Q203" s="807"/>
      <c r="R203" s="473"/>
      <c r="S203" s="473"/>
    </row>
    <row r="204" ht="15.5" spans="1:19">
      <c r="A204" s="467">
        <v>23</v>
      </c>
      <c r="B204" s="351" t="s">
        <v>338</v>
      </c>
      <c r="C204" s="1078">
        <v>407016.166666666</v>
      </c>
      <c r="D204" s="1108">
        <v>12</v>
      </c>
      <c r="E204" s="1078">
        <f t="shared" si="29"/>
        <v>4884193.99999999</v>
      </c>
      <c r="F204" s="1078"/>
      <c r="G204" s="1078">
        <v>0</v>
      </c>
      <c r="H204" s="1082">
        <v>333135.519999999</v>
      </c>
      <c r="I204" s="938"/>
      <c r="J204" s="1078">
        <f t="shared" si="31"/>
        <v>333135.519999999</v>
      </c>
      <c r="K204" s="1078">
        <f t="shared" si="32"/>
        <v>4551058.47999999</v>
      </c>
      <c r="L204" s="1078">
        <f t="shared" si="33"/>
        <v>609190.526399999</v>
      </c>
      <c r="M204" s="471">
        <v>12</v>
      </c>
      <c r="N204" s="1111">
        <f t="shared" si="34"/>
        <v>50765.8771999999</v>
      </c>
      <c r="O204" s="806">
        <v>50765.8771999999</v>
      </c>
      <c r="P204" s="806">
        <f t="shared" si="35"/>
        <v>0</v>
      </c>
      <c r="Q204" s="807"/>
      <c r="R204" s="473"/>
      <c r="S204" s="473"/>
    </row>
    <row r="205" ht="15.5" spans="1:19">
      <c r="A205" s="467">
        <v>24</v>
      </c>
      <c r="B205" s="351" t="s">
        <v>339</v>
      </c>
      <c r="C205" s="1078">
        <v>398711.666666667</v>
      </c>
      <c r="D205" s="1108">
        <v>12</v>
      </c>
      <c r="E205" s="1078">
        <f t="shared" si="29"/>
        <v>4784540</v>
      </c>
      <c r="F205" s="1078"/>
      <c r="G205" s="1078">
        <v>0</v>
      </c>
      <c r="H205" s="1082">
        <v>325163.2</v>
      </c>
      <c r="I205" s="938"/>
      <c r="J205" s="1078">
        <f t="shared" si="31"/>
        <v>325163.2</v>
      </c>
      <c r="K205" s="1078">
        <f t="shared" si="32"/>
        <v>4459376.8</v>
      </c>
      <c r="L205" s="1078">
        <f t="shared" si="33"/>
        <v>592687.824000001</v>
      </c>
      <c r="M205" s="471">
        <v>12</v>
      </c>
      <c r="N205" s="1111">
        <f t="shared" si="34"/>
        <v>49390.6520000001</v>
      </c>
      <c r="O205" s="806">
        <v>49390.6520000001</v>
      </c>
      <c r="P205" s="806">
        <f t="shared" si="35"/>
        <v>0</v>
      </c>
      <c r="Q205" s="807"/>
      <c r="R205" s="473"/>
      <c r="S205" s="473"/>
    </row>
    <row r="206" ht="31" spans="1:19">
      <c r="A206" s="467">
        <v>25</v>
      </c>
      <c r="B206" s="351" t="s">
        <v>341</v>
      </c>
      <c r="C206" s="1078">
        <v>390408.083333333</v>
      </c>
      <c r="D206" s="1108">
        <v>12</v>
      </c>
      <c r="E206" s="1078">
        <f t="shared" si="29"/>
        <v>4684897</v>
      </c>
      <c r="F206" s="1078"/>
      <c r="G206" s="1078">
        <v>0</v>
      </c>
      <c r="H206" s="1082">
        <v>317190.8</v>
      </c>
      <c r="I206" s="938"/>
      <c r="J206" s="1078">
        <f t="shared" si="31"/>
        <v>317190.8</v>
      </c>
      <c r="K206" s="1078">
        <f t="shared" si="32"/>
        <v>4367706.2</v>
      </c>
      <c r="L206" s="1078">
        <f t="shared" si="33"/>
        <v>576187.115999999</v>
      </c>
      <c r="M206" s="471">
        <v>12</v>
      </c>
      <c r="N206" s="1111">
        <f t="shared" si="34"/>
        <v>48015.5929999999</v>
      </c>
      <c r="O206" s="806">
        <v>48015.5929999999</v>
      </c>
      <c r="P206" s="806">
        <f t="shared" si="35"/>
        <v>0</v>
      </c>
      <c r="Q206" s="807"/>
      <c r="R206" s="473"/>
      <c r="S206" s="473"/>
    </row>
    <row r="207" ht="15.5" spans="1:19">
      <c r="A207" s="467">
        <v>26</v>
      </c>
      <c r="B207" s="351" t="s">
        <v>343</v>
      </c>
      <c r="C207" s="1078">
        <v>358920.666666667</v>
      </c>
      <c r="D207" s="1108">
        <v>12</v>
      </c>
      <c r="E207" s="1078">
        <f t="shared" si="29"/>
        <v>4307048</v>
      </c>
      <c r="F207" s="1078"/>
      <c r="G207" s="1078">
        <v>60164.8250000001</v>
      </c>
      <c r="H207" s="1082">
        <v>296563.84</v>
      </c>
      <c r="I207" s="938"/>
      <c r="J207" s="1078">
        <f t="shared" si="31"/>
        <v>356728.665</v>
      </c>
      <c r="K207" s="1078">
        <f t="shared" si="32"/>
        <v>3950319.335</v>
      </c>
      <c r="L207" s="1078">
        <f t="shared" si="33"/>
        <v>501057.480300001</v>
      </c>
      <c r="M207" s="471">
        <v>12</v>
      </c>
      <c r="N207" s="1111">
        <f t="shared" si="34"/>
        <v>41754.7900250001</v>
      </c>
      <c r="O207" s="806">
        <v>41754.7900250001</v>
      </c>
      <c r="P207" s="806">
        <f t="shared" si="35"/>
        <v>0</v>
      </c>
      <c r="Q207" s="807"/>
      <c r="R207" s="473"/>
      <c r="S207" s="473"/>
    </row>
    <row r="208" ht="15.5" spans="1:19">
      <c r="A208" s="467">
        <v>27</v>
      </c>
      <c r="B208" s="351" t="s">
        <v>345</v>
      </c>
      <c r="C208" s="1078">
        <v>358920.666666667</v>
      </c>
      <c r="D208" s="1108">
        <v>12</v>
      </c>
      <c r="E208" s="1078">
        <f t="shared" si="29"/>
        <v>4307048</v>
      </c>
      <c r="F208" s="1078"/>
      <c r="G208" s="1078">
        <v>60164.8250000001</v>
      </c>
      <c r="H208" s="1082">
        <v>296563.84</v>
      </c>
      <c r="I208" s="938"/>
      <c r="J208" s="1078">
        <f t="shared" si="31"/>
        <v>356728.665</v>
      </c>
      <c r="K208" s="1078">
        <f t="shared" si="32"/>
        <v>3950319.335</v>
      </c>
      <c r="L208" s="1078">
        <f t="shared" si="33"/>
        <v>501057.480300001</v>
      </c>
      <c r="M208" s="471">
        <v>12</v>
      </c>
      <c r="N208" s="1111">
        <f t="shared" si="34"/>
        <v>41754.7900250001</v>
      </c>
      <c r="O208" s="806">
        <v>41754.7900250001</v>
      </c>
      <c r="P208" s="806">
        <f t="shared" si="35"/>
        <v>0</v>
      </c>
      <c r="Q208" s="807"/>
      <c r="R208" s="473"/>
      <c r="S208" s="473"/>
    </row>
    <row r="209" ht="15.5" spans="1:19">
      <c r="A209" s="467">
        <v>28</v>
      </c>
      <c r="B209" s="351" t="s">
        <v>347</v>
      </c>
      <c r="C209" s="1078">
        <v>358920.666666667</v>
      </c>
      <c r="D209" s="1108">
        <v>12</v>
      </c>
      <c r="E209" s="1078">
        <f t="shared" si="29"/>
        <v>4307048</v>
      </c>
      <c r="F209" s="1078"/>
      <c r="G209" s="1078">
        <v>60164.8250000001</v>
      </c>
      <c r="H209" s="1082">
        <v>296563.84</v>
      </c>
      <c r="I209" s="938"/>
      <c r="J209" s="1078">
        <f t="shared" si="31"/>
        <v>356728.665</v>
      </c>
      <c r="K209" s="1078">
        <f t="shared" si="32"/>
        <v>3950319.335</v>
      </c>
      <c r="L209" s="1078">
        <f t="shared" si="33"/>
        <v>501057.480300001</v>
      </c>
      <c r="M209" s="471">
        <v>12</v>
      </c>
      <c r="N209" s="1111">
        <f t="shared" si="34"/>
        <v>41754.7900250001</v>
      </c>
      <c r="O209" s="806">
        <v>41754.7900250001</v>
      </c>
      <c r="P209" s="806">
        <f t="shared" si="35"/>
        <v>0</v>
      </c>
      <c r="Q209" s="807"/>
      <c r="R209" s="473"/>
      <c r="S209" s="473"/>
    </row>
    <row r="210" ht="15.5" spans="1:19">
      <c r="A210" s="467">
        <v>29</v>
      </c>
      <c r="B210" s="651" t="s">
        <v>349</v>
      </c>
      <c r="C210" s="1078">
        <v>390408.083333333</v>
      </c>
      <c r="D210" s="1108">
        <v>12</v>
      </c>
      <c r="E210" s="1078">
        <f t="shared" si="29"/>
        <v>4684897</v>
      </c>
      <c r="F210" s="1078"/>
      <c r="G210" s="1078">
        <v>63837.65</v>
      </c>
      <c r="H210" s="1082">
        <v>317191.76</v>
      </c>
      <c r="I210" s="938"/>
      <c r="J210" s="1078">
        <f t="shared" si="31"/>
        <v>381029.41</v>
      </c>
      <c r="K210" s="1078">
        <f t="shared" si="32"/>
        <v>4303867.59</v>
      </c>
      <c r="L210" s="1078">
        <f t="shared" si="33"/>
        <v>564696.166199999</v>
      </c>
      <c r="M210" s="471">
        <v>12</v>
      </c>
      <c r="N210" s="1111">
        <f t="shared" si="34"/>
        <v>47058.0138499999</v>
      </c>
      <c r="O210" s="806">
        <v>47058.0138499999</v>
      </c>
      <c r="P210" s="806">
        <f t="shared" si="35"/>
        <v>0</v>
      </c>
      <c r="Q210" s="807"/>
      <c r="R210" s="473"/>
      <c r="S210" s="473"/>
    </row>
    <row r="211" ht="15.5" spans="1:19">
      <c r="A211" s="467">
        <v>30</v>
      </c>
      <c r="B211" s="651" t="s">
        <v>350</v>
      </c>
      <c r="C211" s="1078">
        <v>358920.666666667</v>
      </c>
      <c r="D211" s="1108">
        <v>12</v>
      </c>
      <c r="E211" s="1078">
        <f t="shared" si="29"/>
        <v>4307048</v>
      </c>
      <c r="F211" s="1078"/>
      <c r="G211" s="1078">
        <v>60164.8250000001</v>
      </c>
      <c r="H211" s="1082">
        <v>296563.84</v>
      </c>
      <c r="I211" s="938"/>
      <c r="J211" s="1078">
        <f t="shared" si="31"/>
        <v>356728.665</v>
      </c>
      <c r="K211" s="1078">
        <f t="shared" si="32"/>
        <v>3950319.335</v>
      </c>
      <c r="L211" s="1078">
        <f t="shared" si="33"/>
        <v>501057.480300001</v>
      </c>
      <c r="M211" s="471">
        <v>12</v>
      </c>
      <c r="N211" s="1111">
        <f t="shared" si="34"/>
        <v>41754.7900250001</v>
      </c>
      <c r="O211" s="806">
        <v>41754.7900250001</v>
      </c>
      <c r="P211" s="806">
        <f t="shared" si="35"/>
        <v>0</v>
      </c>
      <c r="Q211" s="807"/>
      <c r="R211" s="473"/>
      <c r="S211" s="473"/>
    </row>
    <row r="212" ht="15.75" customHeight="1" spans="1:19">
      <c r="A212" s="467">
        <v>31</v>
      </c>
      <c r="B212" s="651" t="s">
        <v>351</v>
      </c>
      <c r="C212" s="1078">
        <v>351910.75</v>
      </c>
      <c r="D212" s="1108">
        <v>12</v>
      </c>
      <c r="E212" s="1078">
        <f t="shared" si="29"/>
        <v>4222929</v>
      </c>
      <c r="F212" s="1078"/>
      <c r="G212" s="1078">
        <v>0</v>
      </c>
      <c r="H212" s="1082">
        <v>289834.32</v>
      </c>
      <c r="I212" s="938"/>
      <c r="J212" s="1078">
        <f t="shared" si="31"/>
        <v>289834.32</v>
      </c>
      <c r="K212" s="1078">
        <f t="shared" si="32"/>
        <v>3933094.68</v>
      </c>
      <c r="L212" s="1078">
        <f t="shared" si="33"/>
        <v>497957.0424</v>
      </c>
      <c r="M212" s="471">
        <v>12</v>
      </c>
      <c r="N212" s="1111">
        <f t="shared" si="34"/>
        <v>41496.4202</v>
      </c>
      <c r="O212" s="806">
        <v>41496.4202</v>
      </c>
      <c r="P212" s="806">
        <f t="shared" si="35"/>
        <v>0</v>
      </c>
      <c r="Q212" s="807"/>
      <c r="R212" s="473"/>
      <c r="S212" s="473"/>
    </row>
    <row r="213" ht="15.5" spans="1:19">
      <c r="A213" s="467">
        <v>32</v>
      </c>
      <c r="B213" s="651" t="s">
        <v>353</v>
      </c>
      <c r="C213" s="1078">
        <v>351910.75</v>
      </c>
      <c r="D213" s="1108">
        <v>12</v>
      </c>
      <c r="E213" s="1078">
        <f t="shared" si="29"/>
        <v>4222929</v>
      </c>
      <c r="F213" s="1078"/>
      <c r="G213" s="1078">
        <v>0</v>
      </c>
      <c r="H213" s="1082">
        <v>289834.32</v>
      </c>
      <c r="I213" s="938"/>
      <c r="J213" s="1078">
        <f t="shared" si="31"/>
        <v>289834.32</v>
      </c>
      <c r="K213" s="1078">
        <f t="shared" si="32"/>
        <v>3933094.68</v>
      </c>
      <c r="L213" s="1078">
        <f t="shared" si="33"/>
        <v>497957.0424</v>
      </c>
      <c r="M213" s="471">
        <v>12</v>
      </c>
      <c r="N213" s="1111">
        <f t="shared" si="34"/>
        <v>41496.4202</v>
      </c>
      <c r="O213" s="806">
        <v>41496.4202</v>
      </c>
      <c r="P213" s="806">
        <f t="shared" si="35"/>
        <v>0</v>
      </c>
      <c r="Q213" s="807"/>
      <c r="R213" s="473"/>
      <c r="S213" s="473"/>
    </row>
    <row r="214" ht="15.5" spans="1:19">
      <c r="A214" s="467">
        <v>33</v>
      </c>
      <c r="B214" s="651" t="s">
        <v>482</v>
      </c>
      <c r="C214" s="1078"/>
      <c r="D214" s="1108">
        <v>12</v>
      </c>
      <c r="E214" s="1078">
        <f t="shared" si="29"/>
        <v>0</v>
      </c>
      <c r="F214" s="1078"/>
      <c r="G214" s="1078">
        <v>0</v>
      </c>
      <c r="H214" s="1082">
        <v>283104.800000001</v>
      </c>
      <c r="I214" s="938"/>
      <c r="J214" s="1078">
        <f t="shared" si="31"/>
        <v>283104.800000001</v>
      </c>
      <c r="K214" s="1078">
        <f t="shared" si="32"/>
        <v>-283104.800000001</v>
      </c>
      <c r="L214" s="1078">
        <f t="shared" si="33"/>
        <v>0</v>
      </c>
      <c r="M214" s="471">
        <v>12</v>
      </c>
      <c r="N214" s="1111">
        <f t="shared" si="34"/>
        <v>0</v>
      </c>
      <c r="O214" s="806">
        <v>0</v>
      </c>
      <c r="P214" s="806">
        <f t="shared" si="35"/>
        <v>0</v>
      </c>
      <c r="Q214" s="807"/>
      <c r="R214" s="473"/>
      <c r="S214" s="473"/>
    </row>
    <row r="215" ht="15.5" spans="1:19">
      <c r="A215" s="467">
        <v>34</v>
      </c>
      <c r="B215" s="651" t="s">
        <v>354</v>
      </c>
      <c r="C215" s="1078">
        <v>344900.833333334</v>
      </c>
      <c r="D215" s="1108">
        <v>12</v>
      </c>
      <c r="E215" s="1078">
        <f t="shared" si="29"/>
        <v>4138810.00000001</v>
      </c>
      <c r="F215" s="1078"/>
      <c r="G215" s="1078">
        <v>0</v>
      </c>
      <c r="H215" s="1082">
        <v>283104.800000001</v>
      </c>
      <c r="I215" s="938"/>
      <c r="J215" s="1078">
        <f t="shared" si="31"/>
        <v>283104.800000001</v>
      </c>
      <c r="K215" s="1078">
        <f t="shared" si="32"/>
        <v>3855705.20000001</v>
      </c>
      <c r="L215" s="1078">
        <f t="shared" si="33"/>
        <v>484026.936000001</v>
      </c>
      <c r="M215" s="471">
        <v>12</v>
      </c>
      <c r="N215" s="1111">
        <f t="shared" si="34"/>
        <v>40335.5780000001</v>
      </c>
      <c r="O215" s="806">
        <v>40335.5780000001</v>
      </c>
      <c r="P215" s="806">
        <f t="shared" si="35"/>
        <v>0</v>
      </c>
      <c r="Q215" s="807"/>
      <c r="R215" s="473"/>
      <c r="S215" s="473"/>
    </row>
    <row r="216" ht="15.5" spans="1:19">
      <c r="A216" s="467">
        <v>35</v>
      </c>
      <c r="B216" s="651" t="s">
        <v>355</v>
      </c>
      <c r="C216" s="1078">
        <v>344900.833333334</v>
      </c>
      <c r="D216" s="1108">
        <v>12</v>
      </c>
      <c r="E216" s="1078">
        <f t="shared" si="29"/>
        <v>4138810.00000001</v>
      </c>
      <c r="F216" s="1078"/>
      <c r="G216" s="1078">
        <v>0</v>
      </c>
      <c r="H216" s="1082">
        <v>283104.800000001</v>
      </c>
      <c r="I216" s="938"/>
      <c r="J216" s="1078">
        <f t="shared" si="31"/>
        <v>283104.800000001</v>
      </c>
      <c r="K216" s="1078">
        <f t="shared" si="32"/>
        <v>3855705.20000001</v>
      </c>
      <c r="L216" s="1078">
        <f t="shared" si="33"/>
        <v>484026.936000001</v>
      </c>
      <c r="M216" s="471">
        <v>12</v>
      </c>
      <c r="N216" s="1111">
        <f t="shared" si="34"/>
        <v>40335.5780000001</v>
      </c>
      <c r="O216" s="806">
        <v>40335.5780000001</v>
      </c>
      <c r="P216" s="806">
        <f t="shared" si="35"/>
        <v>0</v>
      </c>
      <c r="Q216" s="807"/>
      <c r="R216" s="473"/>
      <c r="S216" s="473"/>
    </row>
    <row r="217" ht="15.5" spans="1:19">
      <c r="A217" s="467">
        <v>36</v>
      </c>
      <c r="B217" s="643" t="s">
        <v>356</v>
      </c>
      <c r="C217" s="1078">
        <v>344900.833333334</v>
      </c>
      <c r="D217" s="1108">
        <v>12</v>
      </c>
      <c r="E217" s="1078">
        <f t="shared" si="29"/>
        <v>4138810.00000001</v>
      </c>
      <c r="F217" s="1078"/>
      <c r="G217" s="1078">
        <v>0</v>
      </c>
      <c r="H217" s="1082">
        <v>283104.800000001</v>
      </c>
      <c r="I217" s="938"/>
      <c r="J217" s="1078">
        <f t="shared" si="31"/>
        <v>283104.800000001</v>
      </c>
      <c r="K217" s="1078">
        <f t="shared" si="32"/>
        <v>3855705.20000001</v>
      </c>
      <c r="L217" s="1078">
        <f t="shared" si="33"/>
        <v>484026.936000001</v>
      </c>
      <c r="M217" s="471">
        <v>12</v>
      </c>
      <c r="N217" s="1111">
        <f t="shared" si="34"/>
        <v>40335.5780000001</v>
      </c>
      <c r="O217" s="806">
        <v>40335.5780000001</v>
      </c>
      <c r="P217" s="806">
        <f t="shared" si="35"/>
        <v>0</v>
      </c>
      <c r="Q217" s="807"/>
      <c r="R217" s="473"/>
      <c r="S217" s="473"/>
    </row>
    <row r="218" ht="15.5" spans="1:19">
      <c r="A218" s="467">
        <v>37</v>
      </c>
      <c r="B218" s="651" t="s">
        <v>357</v>
      </c>
      <c r="C218" s="1078">
        <v>337890.916666667</v>
      </c>
      <c r="D218" s="1108">
        <v>12</v>
      </c>
      <c r="E218" s="1078">
        <f t="shared" si="29"/>
        <v>4054691</v>
      </c>
      <c r="F218" s="1078"/>
      <c r="G218" s="1078">
        <v>0</v>
      </c>
      <c r="H218" s="1082">
        <v>276375.28</v>
      </c>
      <c r="I218" s="938"/>
      <c r="J218" s="1078">
        <f t="shared" si="31"/>
        <v>276375.28</v>
      </c>
      <c r="K218" s="1078">
        <f t="shared" si="32"/>
        <v>3778315.72</v>
      </c>
      <c r="L218" s="1078">
        <f t="shared" si="33"/>
        <v>470096.829600001</v>
      </c>
      <c r="M218" s="471">
        <v>12</v>
      </c>
      <c r="N218" s="1111">
        <f t="shared" si="34"/>
        <v>39174.7358000001</v>
      </c>
      <c r="O218" s="806">
        <v>39174.7358000001</v>
      </c>
      <c r="P218" s="806">
        <f t="shared" si="35"/>
        <v>0</v>
      </c>
      <c r="Q218" s="807"/>
      <c r="R218" s="473"/>
      <c r="S218" s="473"/>
    </row>
    <row r="219" ht="15.5" spans="1:19">
      <c r="A219" s="467">
        <v>38</v>
      </c>
      <c r="B219" s="351" t="s">
        <v>358</v>
      </c>
      <c r="C219" s="1078">
        <v>337890.916666667</v>
      </c>
      <c r="D219" s="1108">
        <v>12</v>
      </c>
      <c r="E219" s="1078">
        <f t="shared" si="29"/>
        <v>4054691</v>
      </c>
      <c r="F219" s="1078"/>
      <c r="G219" s="1078">
        <v>0</v>
      </c>
      <c r="H219" s="1082">
        <v>276375.28</v>
      </c>
      <c r="I219" s="938"/>
      <c r="J219" s="1078">
        <f t="shared" si="31"/>
        <v>276375.28</v>
      </c>
      <c r="K219" s="1078">
        <f t="shared" si="32"/>
        <v>3778315.72</v>
      </c>
      <c r="L219" s="1078">
        <f t="shared" si="33"/>
        <v>470096.829600001</v>
      </c>
      <c r="M219" s="471">
        <v>12</v>
      </c>
      <c r="N219" s="1111">
        <f t="shared" si="34"/>
        <v>39174.7358000001</v>
      </c>
      <c r="O219" s="806">
        <v>39174.7358000001</v>
      </c>
      <c r="P219" s="806">
        <f t="shared" si="35"/>
        <v>0</v>
      </c>
      <c r="Q219" s="807"/>
      <c r="R219" s="473"/>
      <c r="S219" s="473"/>
    </row>
    <row r="220" ht="15.5" spans="1:19">
      <c r="A220" s="467">
        <v>39</v>
      </c>
      <c r="B220" s="351" t="s">
        <v>359</v>
      </c>
      <c r="C220" s="1078">
        <v>289667.083333333</v>
      </c>
      <c r="D220" s="1108">
        <v>12</v>
      </c>
      <c r="E220" s="1078">
        <f t="shared" si="29"/>
        <v>3476005</v>
      </c>
      <c r="F220" s="1078"/>
      <c r="G220" s="1078">
        <v>51035.475</v>
      </c>
      <c r="H220" s="1082">
        <v>245440.4</v>
      </c>
      <c r="I220" s="938"/>
      <c r="J220" s="1078">
        <f t="shared" si="31"/>
        <v>296475.875</v>
      </c>
      <c r="K220" s="1078">
        <f t="shared" si="32"/>
        <v>3179529.125</v>
      </c>
      <c r="L220" s="1078">
        <f t="shared" si="33"/>
        <v>362315.242499999</v>
      </c>
      <c r="M220" s="471">
        <v>12</v>
      </c>
      <c r="N220" s="1111">
        <f t="shared" si="34"/>
        <v>30192.9368749999</v>
      </c>
      <c r="O220" s="806">
        <v>30192.9368749999</v>
      </c>
      <c r="P220" s="806">
        <f t="shared" si="35"/>
        <v>4.36557456851006e-11</v>
      </c>
      <c r="Q220" s="807"/>
      <c r="R220" s="473"/>
      <c r="S220" s="473"/>
    </row>
    <row r="221" ht="15.5" spans="1:19">
      <c r="A221" s="467">
        <v>40</v>
      </c>
      <c r="B221" s="651" t="s">
        <v>362</v>
      </c>
      <c r="C221" s="1078">
        <v>292667.083333333</v>
      </c>
      <c r="D221" s="1108">
        <v>12</v>
      </c>
      <c r="E221" s="1078">
        <f t="shared" si="29"/>
        <v>3512005</v>
      </c>
      <c r="F221" s="1078"/>
      <c r="G221" s="1078">
        <v>0</v>
      </c>
      <c r="H221" s="1082">
        <v>245440.4</v>
      </c>
      <c r="I221" s="938"/>
      <c r="J221" s="1078">
        <f t="shared" si="31"/>
        <v>245440.4</v>
      </c>
      <c r="K221" s="1078">
        <f t="shared" si="32"/>
        <v>3266564.6</v>
      </c>
      <c r="L221" s="1078">
        <f t="shared" si="33"/>
        <v>377981.627999999</v>
      </c>
      <c r="M221" s="471">
        <v>12</v>
      </c>
      <c r="N221" s="1111">
        <f t="shared" si="34"/>
        <v>31498.4689999999</v>
      </c>
      <c r="O221" s="806">
        <v>31498.4689999999</v>
      </c>
      <c r="P221" s="806">
        <f t="shared" si="35"/>
        <v>4.36557456851006e-11</v>
      </c>
      <c r="Q221" s="807"/>
      <c r="R221" s="473"/>
      <c r="S221" s="473"/>
    </row>
    <row r="222" ht="15.5" spans="1:19">
      <c r="A222" s="467">
        <v>41</v>
      </c>
      <c r="B222" s="651" t="s">
        <v>363</v>
      </c>
      <c r="C222" s="1078">
        <v>289667.083333333</v>
      </c>
      <c r="D222" s="1108">
        <v>12</v>
      </c>
      <c r="E222" s="1078">
        <f t="shared" si="29"/>
        <v>3476005</v>
      </c>
      <c r="F222" s="1078"/>
      <c r="G222" s="1078">
        <v>51035.475</v>
      </c>
      <c r="H222" s="1082">
        <v>245440.4</v>
      </c>
      <c r="I222" s="938"/>
      <c r="J222" s="1078">
        <f t="shared" si="31"/>
        <v>296475.875</v>
      </c>
      <c r="K222" s="1078">
        <f t="shared" si="32"/>
        <v>3179529.125</v>
      </c>
      <c r="L222" s="1078">
        <f t="shared" si="33"/>
        <v>362315.242499999</v>
      </c>
      <c r="M222" s="471">
        <v>12</v>
      </c>
      <c r="N222" s="1111">
        <f t="shared" si="34"/>
        <v>30192.9368749999</v>
      </c>
      <c r="O222" s="806">
        <v>30192.9368749999</v>
      </c>
      <c r="P222" s="806">
        <f t="shared" si="35"/>
        <v>4.36557456851006e-11</v>
      </c>
      <c r="Q222" s="807"/>
      <c r="R222" s="473"/>
      <c r="S222" s="473"/>
    </row>
    <row r="223" ht="15.5" spans="1:19">
      <c r="A223" s="467">
        <v>42</v>
      </c>
      <c r="B223" s="351" t="s">
        <v>364</v>
      </c>
      <c r="C223" s="1078">
        <v>289667.083333333</v>
      </c>
      <c r="D223" s="1108">
        <v>12</v>
      </c>
      <c r="E223" s="1078">
        <f t="shared" si="29"/>
        <v>3476005</v>
      </c>
      <c r="F223" s="1078"/>
      <c r="G223" s="1078">
        <v>0</v>
      </c>
      <c r="H223" s="1082">
        <v>245440.4</v>
      </c>
      <c r="I223" s="938"/>
      <c r="J223" s="1078">
        <f t="shared" si="31"/>
        <v>245440.4</v>
      </c>
      <c r="K223" s="1078">
        <f t="shared" si="32"/>
        <v>3230564.6</v>
      </c>
      <c r="L223" s="1078">
        <f t="shared" si="33"/>
        <v>371501.627999999</v>
      </c>
      <c r="M223" s="471">
        <v>12</v>
      </c>
      <c r="N223" s="1111">
        <f t="shared" si="34"/>
        <v>30958.4689999999</v>
      </c>
      <c r="O223" s="806">
        <v>30958.4689999999</v>
      </c>
      <c r="P223" s="806">
        <f t="shared" si="35"/>
        <v>4.36557456851006e-11</v>
      </c>
      <c r="Q223" s="807"/>
      <c r="R223" s="473"/>
      <c r="S223" s="473"/>
    </row>
    <row r="224" ht="17" customHeight="1" spans="1:19">
      <c r="A224" s="467">
        <v>43</v>
      </c>
      <c r="B224" s="651" t="s">
        <v>365</v>
      </c>
      <c r="C224" s="1078">
        <v>286683.75</v>
      </c>
      <c r="D224" s="1108">
        <v>12</v>
      </c>
      <c r="E224" s="1078">
        <f t="shared" si="29"/>
        <v>3440205</v>
      </c>
      <c r="F224" s="1078"/>
      <c r="G224" s="1078">
        <v>0</v>
      </c>
      <c r="H224" s="1082">
        <v>239696.4</v>
      </c>
      <c r="I224" s="938"/>
      <c r="J224" s="1078">
        <f t="shared" si="31"/>
        <v>239696.4</v>
      </c>
      <c r="K224" s="1078">
        <f t="shared" si="32"/>
        <v>3200508.6</v>
      </c>
      <c r="L224" s="1078">
        <f t="shared" si="33"/>
        <v>366091.548</v>
      </c>
      <c r="M224" s="471">
        <v>12</v>
      </c>
      <c r="N224" s="1111">
        <f t="shared" si="34"/>
        <v>30507.629</v>
      </c>
      <c r="O224" s="806">
        <v>30507.629</v>
      </c>
      <c r="P224" s="806">
        <f t="shared" si="35"/>
        <v>0</v>
      </c>
      <c r="Q224" s="807"/>
      <c r="R224" s="473"/>
      <c r="S224" s="473"/>
    </row>
    <row r="225" ht="15.5" spans="1:19">
      <c r="A225" s="467">
        <v>44</v>
      </c>
      <c r="B225" s="651" t="s">
        <v>367</v>
      </c>
      <c r="C225" s="1078">
        <v>283683.75</v>
      </c>
      <c r="D225" s="1108">
        <v>12</v>
      </c>
      <c r="E225" s="1078">
        <f t="shared" si="29"/>
        <v>3404205</v>
      </c>
      <c r="F225" s="1078"/>
      <c r="G225" s="1078">
        <v>0</v>
      </c>
      <c r="H225" s="1082">
        <v>239696.4</v>
      </c>
      <c r="I225" s="938"/>
      <c r="J225" s="1078">
        <f t="shared" si="31"/>
        <v>239696.4</v>
      </c>
      <c r="K225" s="1078">
        <f t="shared" si="32"/>
        <v>3164508.6</v>
      </c>
      <c r="L225" s="1078">
        <f t="shared" si="33"/>
        <v>359611.548</v>
      </c>
      <c r="M225" s="471">
        <v>12</v>
      </c>
      <c r="N225" s="1111">
        <f t="shared" si="34"/>
        <v>29967.629</v>
      </c>
      <c r="O225" s="806">
        <v>29967.629</v>
      </c>
      <c r="P225" s="806">
        <f t="shared" si="35"/>
        <v>0</v>
      </c>
      <c r="Q225" s="807"/>
      <c r="R225" s="473"/>
      <c r="S225" s="473"/>
    </row>
    <row r="226" ht="15.5" spans="1:19">
      <c r="A226" s="467">
        <v>45</v>
      </c>
      <c r="B226" s="651" t="s">
        <v>368</v>
      </c>
      <c r="C226" s="1078">
        <v>286683.75</v>
      </c>
      <c r="D226" s="1108">
        <v>12</v>
      </c>
      <c r="E226" s="1078">
        <f t="shared" si="29"/>
        <v>3440205</v>
      </c>
      <c r="F226" s="1078"/>
      <c r="G226" s="1078">
        <v>0</v>
      </c>
      <c r="H226" s="1082">
        <v>239696.4</v>
      </c>
      <c r="I226" s="938"/>
      <c r="J226" s="1078">
        <f t="shared" si="31"/>
        <v>239696.4</v>
      </c>
      <c r="K226" s="1078">
        <f t="shared" si="32"/>
        <v>3200508.6</v>
      </c>
      <c r="L226" s="1078">
        <f t="shared" si="33"/>
        <v>366091.548</v>
      </c>
      <c r="M226" s="471">
        <v>12</v>
      </c>
      <c r="N226" s="1111">
        <f t="shared" si="34"/>
        <v>30507.629</v>
      </c>
      <c r="O226" s="806">
        <v>30507.629</v>
      </c>
      <c r="P226" s="806">
        <f t="shared" si="35"/>
        <v>0</v>
      </c>
      <c r="Q226" s="807"/>
      <c r="R226" s="473"/>
      <c r="S226" s="473"/>
    </row>
    <row r="227" ht="15.5" spans="1:19">
      <c r="A227" s="467">
        <v>46</v>
      </c>
      <c r="B227" s="651" t="s">
        <v>369</v>
      </c>
      <c r="C227" s="1078">
        <v>283683.75</v>
      </c>
      <c r="D227" s="1108">
        <v>12</v>
      </c>
      <c r="E227" s="1078">
        <f t="shared" si="29"/>
        <v>3404205</v>
      </c>
      <c r="F227" s="1078"/>
      <c r="G227" s="1078">
        <v>0</v>
      </c>
      <c r="H227" s="1082">
        <v>239696.4</v>
      </c>
      <c r="I227" s="938"/>
      <c r="J227" s="1078">
        <f t="shared" si="31"/>
        <v>239696.4</v>
      </c>
      <c r="K227" s="1078">
        <f t="shared" si="32"/>
        <v>3164508.6</v>
      </c>
      <c r="L227" s="1078">
        <f t="shared" si="33"/>
        <v>359611.548</v>
      </c>
      <c r="M227" s="471">
        <v>12</v>
      </c>
      <c r="N227" s="1111">
        <f t="shared" si="34"/>
        <v>29967.629</v>
      </c>
      <c r="O227" s="806">
        <v>29967.629</v>
      </c>
      <c r="P227" s="806">
        <f t="shared" si="35"/>
        <v>0</v>
      </c>
      <c r="Q227" s="807"/>
      <c r="R227" s="473"/>
      <c r="S227" s="473"/>
    </row>
    <row r="228" ht="15.5" spans="1:19">
      <c r="A228" s="467">
        <v>47</v>
      </c>
      <c r="B228" s="651" t="s">
        <v>370</v>
      </c>
      <c r="C228" s="938">
        <v>283683.75</v>
      </c>
      <c r="D228" s="1108">
        <v>12</v>
      </c>
      <c r="E228" s="1078">
        <f t="shared" si="29"/>
        <v>3404205</v>
      </c>
      <c r="F228" s="1078"/>
      <c r="G228" s="1078">
        <v>0</v>
      </c>
      <c r="H228" s="1082">
        <v>239696.4</v>
      </c>
      <c r="I228" s="938"/>
      <c r="J228" s="1078">
        <f t="shared" si="31"/>
        <v>239696.4</v>
      </c>
      <c r="K228" s="1078">
        <f t="shared" si="32"/>
        <v>3164508.6</v>
      </c>
      <c r="L228" s="1078">
        <f t="shared" si="33"/>
        <v>359611.548</v>
      </c>
      <c r="M228" s="471">
        <v>12</v>
      </c>
      <c r="N228" s="1111">
        <f t="shared" si="34"/>
        <v>29967.629</v>
      </c>
      <c r="O228" s="806">
        <v>29967.629</v>
      </c>
      <c r="P228" s="806">
        <f t="shared" si="35"/>
        <v>0</v>
      </c>
      <c r="Q228" s="807"/>
      <c r="R228" s="473"/>
      <c r="S228" s="473"/>
    </row>
    <row r="229" ht="15.5" spans="1:19">
      <c r="A229" s="467">
        <v>48</v>
      </c>
      <c r="B229" s="651" t="s">
        <v>371</v>
      </c>
      <c r="C229" s="938">
        <v>274717.166666667</v>
      </c>
      <c r="D229" s="1108">
        <v>12</v>
      </c>
      <c r="E229" s="1078">
        <f t="shared" si="29"/>
        <v>3296606</v>
      </c>
      <c r="F229" s="1078"/>
      <c r="G229" s="1078">
        <v>0</v>
      </c>
      <c r="H229" s="1082">
        <v>228208.48</v>
      </c>
      <c r="I229" s="938"/>
      <c r="J229" s="1078">
        <f t="shared" si="31"/>
        <v>228208.48</v>
      </c>
      <c r="K229" s="1078">
        <f t="shared" si="32"/>
        <v>3068397.52</v>
      </c>
      <c r="L229" s="1078">
        <f t="shared" si="33"/>
        <v>342311.553600001</v>
      </c>
      <c r="M229" s="471">
        <v>12</v>
      </c>
      <c r="N229" s="1111">
        <f t="shared" si="34"/>
        <v>28525.9628000001</v>
      </c>
      <c r="O229" s="806">
        <v>28525.9628000001</v>
      </c>
      <c r="P229" s="806">
        <f t="shared" si="35"/>
        <v>-4.36557456851006e-11</v>
      </c>
      <c r="Q229" s="807"/>
    </row>
    <row r="230" ht="15.5" spans="1:19">
      <c r="A230" s="467">
        <v>49</v>
      </c>
      <c r="B230" s="351" t="s">
        <v>373</v>
      </c>
      <c r="C230" s="806">
        <v>274717.166666667</v>
      </c>
      <c r="D230" s="1108">
        <v>12</v>
      </c>
      <c r="E230" s="1078">
        <f t="shared" si="29"/>
        <v>3296606</v>
      </c>
      <c r="F230" s="1078"/>
      <c r="G230" s="806">
        <v>0</v>
      </c>
      <c r="H230" s="1082">
        <v>228208.48</v>
      </c>
      <c r="I230" s="807"/>
      <c r="J230" s="1078">
        <f t="shared" si="31"/>
        <v>228208.48</v>
      </c>
      <c r="K230" s="1078">
        <f t="shared" si="32"/>
        <v>3068397.52</v>
      </c>
      <c r="L230" s="1078">
        <f t="shared" si="33"/>
        <v>342311.553600001</v>
      </c>
      <c r="M230" s="471">
        <v>12</v>
      </c>
      <c r="N230" s="1111">
        <f t="shared" si="34"/>
        <v>28525.9628000001</v>
      </c>
      <c r="O230" s="806">
        <v>28525.9628000001</v>
      </c>
      <c r="P230" s="806">
        <f t="shared" si="35"/>
        <v>-4.36557456851006e-11</v>
      </c>
      <c r="Q230" s="807"/>
    </row>
    <row r="231" ht="15.5" spans="1:19">
      <c r="A231" s="467">
        <v>50</v>
      </c>
      <c r="B231" s="351" t="s">
        <v>374</v>
      </c>
      <c r="C231" s="806">
        <v>280700.416666667</v>
      </c>
      <c r="D231" s="1108">
        <v>12</v>
      </c>
      <c r="E231" s="1078">
        <f t="shared" si="29"/>
        <v>3368405</v>
      </c>
      <c r="F231" s="1078"/>
      <c r="G231" s="806">
        <v>0</v>
      </c>
      <c r="H231" s="1082">
        <v>233952.4</v>
      </c>
      <c r="I231" s="807"/>
      <c r="J231" s="1078">
        <f t="shared" si="31"/>
        <v>233952.4</v>
      </c>
      <c r="K231" s="1078">
        <f t="shared" si="32"/>
        <v>3134452.6</v>
      </c>
      <c r="L231" s="1078">
        <f t="shared" si="33"/>
        <v>354201.468000001</v>
      </c>
      <c r="M231" s="471">
        <v>12</v>
      </c>
      <c r="N231" s="1111">
        <f t="shared" si="34"/>
        <v>29516.7890000001</v>
      </c>
      <c r="O231" s="806">
        <v>29516.7890000001</v>
      </c>
      <c r="P231" s="806">
        <f t="shared" si="35"/>
        <v>-4.00177668780088e-11</v>
      </c>
      <c r="Q231" s="807"/>
    </row>
    <row r="232" ht="15.5" spans="1:19">
      <c r="A232" s="467">
        <v>51</v>
      </c>
      <c r="B232" s="651" t="s">
        <v>376</v>
      </c>
      <c r="C232" s="806">
        <v>252750.583333333</v>
      </c>
      <c r="D232" s="1108">
        <v>12</v>
      </c>
      <c r="E232" s="1078">
        <f t="shared" si="29"/>
        <v>3033007</v>
      </c>
      <c r="F232" s="1078"/>
      <c r="G232" s="806">
        <v>0</v>
      </c>
      <c r="H232" s="1082">
        <v>216720.56</v>
      </c>
      <c r="I232" s="807"/>
      <c r="J232" s="1078">
        <f t="shared" si="31"/>
        <v>216720.56</v>
      </c>
      <c r="K232" s="1078">
        <f t="shared" si="32"/>
        <v>2816286.44</v>
      </c>
      <c r="L232" s="1078">
        <f t="shared" si="33"/>
        <v>302442.965999999</v>
      </c>
      <c r="M232" s="471">
        <v>12</v>
      </c>
      <c r="N232" s="1111">
        <f t="shared" si="34"/>
        <v>25203.5804999999</v>
      </c>
      <c r="O232" s="806">
        <v>25203.5804999999</v>
      </c>
      <c r="P232" s="806">
        <f t="shared" si="35"/>
        <v>4.72937244921923e-11</v>
      </c>
      <c r="Q232" s="807"/>
    </row>
    <row r="233" ht="15.5" spans="1:19">
      <c r="A233" s="467">
        <v>52</v>
      </c>
      <c r="B233" s="651" t="s">
        <v>378</v>
      </c>
      <c r="C233" s="806">
        <v>252750.583333333</v>
      </c>
      <c r="D233" s="1108">
        <v>12</v>
      </c>
      <c r="E233" s="1078">
        <f t="shared" si="29"/>
        <v>3033007</v>
      </c>
      <c r="F233" s="1078"/>
      <c r="G233" s="806">
        <v>0</v>
      </c>
      <c r="H233" s="1082">
        <v>216720.56</v>
      </c>
      <c r="I233" s="807"/>
      <c r="J233" s="1078">
        <f t="shared" si="31"/>
        <v>216720.56</v>
      </c>
      <c r="K233" s="1078">
        <f t="shared" si="32"/>
        <v>2816286.44</v>
      </c>
      <c r="L233" s="1078">
        <f t="shared" si="33"/>
        <v>302442.965999999</v>
      </c>
      <c r="M233" s="471">
        <v>12</v>
      </c>
      <c r="N233" s="1111">
        <f t="shared" si="34"/>
        <v>25203.5804999999</v>
      </c>
      <c r="O233" s="806">
        <v>25203.5804999999</v>
      </c>
      <c r="P233" s="806">
        <f t="shared" si="35"/>
        <v>4.72937244921923e-11</v>
      </c>
      <c r="Q233" s="807"/>
    </row>
    <row r="234" ht="15.5" spans="1:19">
      <c r="A234" s="467">
        <v>53</v>
      </c>
      <c r="B234" s="351" t="s">
        <v>379</v>
      </c>
      <c r="C234" s="806">
        <v>252750.583333333</v>
      </c>
      <c r="D234" s="1108">
        <v>12</v>
      </c>
      <c r="E234" s="1078">
        <f t="shared" ref="E234:E248" si="36">C234*D234</f>
        <v>3033007</v>
      </c>
      <c r="F234" s="1078"/>
      <c r="G234" s="806">
        <v>0</v>
      </c>
      <c r="H234" s="1082">
        <v>216720.56</v>
      </c>
      <c r="I234" s="807"/>
      <c r="J234" s="1078">
        <f t="shared" si="31"/>
        <v>216720.56</v>
      </c>
      <c r="K234" s="1078">
        <f t="shared" si="32"/>
        <v>2816286.44</v>
      </c>
      <c r="L234" s="1078">
        <f t="shared" si="33"/>
        <v>302442.966</v>
      </c>
      <c r="M234" s="471">
        <v>12</v>
      </c>
      <c r="N234" s="1111">
        <f t="shared" si="34"/>
        <v>25203.5805</v>
      </c>
      <c r="O234" s="806">
        <v>25203.5804999999</v>
      </c>
      <c r="P234" s="806">
        <f t="shared" si="35"/>
        <v>9.45874489843845e-11</v>
      </c>
      <c r="Q234" s="807"/>
    </row>
    <row r="235" ht="15.5" spans="1:19">
      <c r="A235" s="467">
        <v>54</v>
      </c>
      <c r="B235" s="351" t="s">
        <v>380</v>
      </c>
      <c r="C235" s="806">
        <v>252750.583333333</v>
      </c>
      <c r="D235" s="1108">
        <v>12</v>
      </c>
      <c r="E235" s="1078">
        <f t="shared" si="36"/>
        <v>3033007</v>
      </c>
      <c r="F235" s="1078"/>
      <c r="G235" s="806">
        <v>0</v>
      </c>
      <c r="H235" s="1082">
        <v>216720.56</v>
      </c>
      <c r="I235" s="807"/>
      <c r="J235" s="1078">
        <f t="shared" si="31"/>
        <v>216720.56</v>
      </c>
      <c r="K235" s="1078">
        <f t="shared" si="32"/>
        <v>2816286.44</v>
      </c>
      <c r="L235" s="1078">
        <f t="shared" si="33"/>
        <v>302442.966</v>
      </c>
      <c r="M235" s="471">
        <v>12</v>
      </c>
      <c r="N235" s="1111">
        <f t="shared" si="34"/>
        <v>25203.5805</v>
      </c>
      <c r="O235" s="806">
        <v>25203.5804999999</v>
      </c>
      <c r="P235" s="806">
        <f t="shared" si="35"/>
        <v>9.45874489843845e-11</v>
      </c>
      <c r="Q235" s="807"/>
    </row>
    <row r="236" ht="15.5" spans="1:19">
      <c r="A236" s="467">
        <v>55</v>
      </c>
      <c r="B236" s="351" t="s">
        <v>381</v>
      </c>
      <c r="C236" s="806">
        <v>252750.583333333</v>
      </c>
      <c r="D236" s="1108">
        <v>12</v>
      </c>
      <c r="E236" s="1078">
        <f t="shared" si="36"/>
        <v>3033007</v>
      </c>
      <c r="F236" s="1078"/>
      <c r="G236" s="806">
        <v>0</v>
      </c>
      <c r="H236" s="1082">
        <v>216720.56</v>
      </c>
      <c r="I236" s="807"/>
      <c r="J236" s="1078">
        <f t="shared" si="31"/>
        <v>216720.56</v>
      </c>
      <c r="K236" s="1078">
        <f t="shared" si="32"/>
        <v>2816286.44</v>
      </c>
      <c r="L236" s="1078">
        <f t="shared" si="33"/>
        <v>302442.966</v>
      </c>
      <c r="M236" s="471">
        <v>12</v>
      </c>
      <c r="N236" s="1111">
        <f t="shared" si="34"/>
        <v>25203.5805</v>
      </c>
      <c r="O236" s="806">
        <v>25203.5804999999</v>
      </c>
      <c r="P236" s="806">
        <f t="shared" si="35"/>
        <v>9.45874489843845e-11</v>
      </c>
      <c r="Q236" s="807"/>
    </row>
    <row r="237" ht="15.5" spans="1:19">
      <c r="A237" s="467">
        <v>56</v>
      </c>
      <c r="B237" s="351" t="s">
        <v>382</v>
      </c>
      <c r="C237" s="806">
        <v>252750.583333333</v>
      </c>
      <c r="D237" s="1108">
        <v>12</v>
      </c>
      <c r="E237" s="1078">
        <f t="shared" si="36"/>
        <v>3033007</v>
      </c>
      <c r="F237" s="1078"/>
      <c r="G237" s="806">
        <v>0</v>
      </c>
      <c r="H237" s="1082">
        <v>216720.56</v>
      </c>
      <c r="I237" s="807"/>
      <c r="J237" s="1078">
        <f t="shared" si="31"/>
        <v>216720.56</v>
      </c>
      <c r="K237" s="1078">
        <f t="shared" si="32"/>
        <v>2816286.44</v>
      </c>
      <c r="L237" s="1078">
        <f t="shared" si="33"/>
        <v>302442.966</v>
      </c>
      <c r="M237" s="471">
        <v>12</v>
      </c>
      <c r="N237" s="1111">
        <f t="shared" si="34"/>
        <v>25203.5805</v>
      </c>
      <c r="O237" s="806">
        <v>25203.5804999999</v>
      </c>
      <c r="P237" s="806">
        <f t="shared" si="35"/>
        <v>9.45874489843845e-11</v>
      </c>
      <c r="Q237" s="807"/>
    </row>
    <row r="238" ht="15.5" spans="1:19">
      <c r="A238" s="467">
        <v>57</v>
      </c>
      <c r="B238" s="351" t="s">
        <v>383</v>
      </c>
      <c r="C238" s="806">
        <v>258733.833333334</v>
      </c>
      <c r="D238" s="1108">
        <v>12</v>
      </c>
      <c r="E238" s="1078">
        <f t="shared" si="36"/>
        <v>3104806.00000001</v>
      </c>
      <c r="F238" s="1078"/>
      <c r="G238" s="806">
        <v>0</v>
      </c>
      <c r="H238" s="1082">
        <v>222464.480000001</v>
      </c>
      <c r="I238" s="807"/>
      <c r="J238" s="1078">
        <f t="shared" si="31"/>
        <v>222464.480000001</v>
      </c>
      <c r="K238" s="1078">
        <f t="shared" si="32"/>
        <v>2882341.52000001</v>
      </c>
      <c r="L238" s="1078">
        <f t="shared" si="33"/>
        <v>312351.228000001</v>
      </c>
      <c r="M238" s="471">
        <v>12</v>
      </c>
      <c r="N238" s="1111">
        <f t="shared" si="34"/>
        <v>26029.2690000001</v>
      </c>
      <c r="O238" s="806">
        <v>26029.2690000001</v>
      </c>
      <c r="P238" s="806">
        <f t="shared" si="35"/>
        <v>0</v>
      </c>
      <c r="Q238" s="807"/>
    </row>
    <row r="239" ht="15.5" spans="1:19">
      <c r="A239" s="467">
        <v>58</v>
      </c>
      <c r="B239" s="351" t="s">
        <v>385</v>
      </c>
      <c r="C239" s="806">
        <v>502224.287634407</v>
      </c>
      <c r="D239" s="1108">
        <v>12</v>
      </c>
      <c r="E239" s="1078">
        <f t="shared" si="36"/>
        <v>6026691.45161289</v>
      </c>
      <c r="F239" s="1078"/>
      <c r="G239" s="806">
        <v>0</v>
      </c>
      <c r="H239" s="1152">
        <v>143249.04</v>
      </c>
      <c r="I239" s="807"/>
      <c r="J239" s="1078">
        <f t="shared" si="31"/>
        <v>143249.04</v>
      </c>
      <c r="K239" s="1078">
        <f t="shared" si="32"/>
        <v>5883442.41161289</v>
      </c>
      <c r="L239" s="1078">
        <f t="shared" si="33"/>
        <v>849019.63409032</v>
      </c>
      <c r="M239" s="471">
        <v>12</v>
      </c>
      <c r="N239" s="1111">
        <f t="shared" si="34"/>
        <v>70751.6361741934</v>
      </c>
      <c r="O239" s="806">
        <v>70751.6361741933</v>
      </c>
      <c r="P239" s="806">
        <f t="shared" si="35"/>
        <v>0</v>
      </c>
      <c r="Q239" s="807"/>
    </row>
    <row r="240" ht="15.5" spans="1:19">
      <c r="A240" s="467">
        <v>59</v>
      </c>
      <c r="B240" s="351" t="s">
        <v>386</v>
      </c>
      <c r="C240" s="806">
        <v>176217.75</v>
      </c>
      <c r="D240" s="1108">
        <v>12</v>
      </c>
      <c r="E240" s="1078">
        <f t="shared" si="36"/>
        <v>2114613</v>
      </c>
      <c r="F240" s="1078"/>
      <c r="G240" s="806">
        <v>0</v>
      </c>
      <c r="H240" s="1152">
        <v>143249.04</v>
      </c>
      <c r="I240" s="931"/>
      <c r="J240" s="1078">
        <f t="shared" si="31"/>
        <v>143249.04</v>
      </c>
      <c r="K240" s="1078">
        <f t="shared" si="32"/>
        <v>1971363.96</v>
      </c>
      <c r="L240" s="1078">
        <f t="shared" si="33"/>
        <v>175704.594</v>
      </c>
      <c r="M240" s="471">
        <v>12</v>
      </c>
      <c r="N240" s="1111">
        <f t="shared" si="34"/>
        <v>14642.0495</v>
      </c>
      <c r="O240" s="806">
        <v>14642.0495</v>
      </c>
      <c r="P240" s="806">
        <f t="shared" si="35"/>
        <v>0</v>
      </c>
      <c r="Q240" s="807"/>
    </row>
    <row r="241" ht="17" customHeight="1" spans="1:18">
      <c r="A241" s="1153">
        <v>60</v>
      </c>
      <c r="B241" s="1154" t="s">
        <v>389</v>
      </c>
      <c r="C241" s="931">
        <v>167634.666666667</v>
      </c>
      <c r="D241" s="1108">
        <v>12</v>
      </c>
      <c r="E241" s="1078">
        <f t="shared" si="36"/>
        <v>2011616</v>
      </c>
      <c r="F241" s="1155"/>
      <c r="G241" s="931">
        <v>0</v>
      </c>
      <c r="H241" s="1152">
        <v>135009.28</v>
      </c>
      <c r="I241" s="931"/>
      <c r="J241" s="1078">
        <f t="shared" si="31"/>
        <v>135009.28</v>
      </c>
      <c r="K241" s="1078">
        <f t="shared" si="32"/>
        <v>1876606.72</v>
      </c>
      <c r="L241" s="1078">
        <f t="shared" si="33"/>
        <v>161491.008</v>
      </c>
      <c r="M241" s="471">
        <v>12</v>
      </c>
      <c r="N241" s="1111">
        <f t="shared" si="34"/>
        <v>13457.584</v>
      </c>
      <c r="O241" s="931">
        <v>13457.5840000001</v>
      </c>
      <c r="P241" s="806">
        <f t="shared" si="35"/>
        <v>-1.00044417195022e-10</v>
      </c>
      <c r="Q241" s="807"/>
    </row>
    <row r="242" ht="19" customHeight="1" spans="1:18">
      <c r="A242" s="86">
        <v>61</v>
      </c>
      <c r="B242" s="1156" t="s">
        <v>392</v>
      </c>
      <c r="C242" s="806">
        <v>159773.5</v>
      </c>
      <c r="D242" s="1108">
        <v>12</v>
      </c>
      <c r="E242" s="1078">
        <f t="shared" si="36"/>
        <v>1917282</v>
      </c>
      <c r="F242" s="806"/>
      <c r="G242" s="806">
        <v>0</v>
      </c>
      <c r="H242" s="806">
        <v>132262.56</v>
      </c>
      <c r="I242" s="806"/>
      <c r="J242" s="1078">
        <f t="shared" si="31"/>
        <v>132262.56</v>
      </c>
      <c r="K242" s="1078">
        <f t="shared" si="32"/>
        <v>1785019.44</v>
      </c>
      <c r="L242" s="1078">
        <f t="shared" si="33"/>
        <v>147752.916</v>
      </c>
      <c r="M242" s="471">
        <v>12</v>
      </c>
      <c r="N242" s="1111">
        <f t="shared" si="34"/>
        <v>12312.743</v>
      </c>
      <c r="O242" s="806">
        <v>12312.743</v>
      </c>
      <c r="P242" s="806">
        <f t="shared" si="35"/>
        <v>0</v>
      </c>
      <c r="Q242" s="806"/>
      <c r="R242" s="1157"/>
    </row>
    <row r="243" ht="15.5" spans="1:18">
      <c r="A243" s="86">
        <v>62</v>
      </c>
      <c r="B243" s="86" t="s">
        <v>394</v>
      </c>
      <c r="C243" s="806">
        <v>156912.666666667</v>
      </c>
      <c r="D243" s="1108">
        <v>12</v>
      </c>
      <c r="E243" s="1078">
        <f t="shared" si="36"/>
        <v>1882952</v>
      </c>
      <c r="F243" s="806"/>
      <c r="G243" s="806">
        <v>0</v>
      </c>
      <c r="H243" s="806">
        <v>129516.16</v>
      </c>
      <c r="I243" s="806"/>
      <c r="J243" s="1078">
        <f t="shared" si="31"/>
        <v>129516.16</v>
      </c>
      <c r="K243" s="1078">
        <f t="shared" si="32"/>
        <v>1753435.84</v>
      </c>
      <c r="L243" s="1078">
        <f t="shared" si="33"/>
        <v>143015.376</v>
      </c>
      <c r="M243" s="471">
        <v>12</v>
      </c>
      <c r="N243" s="1111">
        <f t="shared" si="34"/>
        <v>11917.948</v>
      </c>
      <c r="O243" s="806">
        <v>11917.9480000001</v>
      </c>
      <c r="P243" s="806">
        <f t="shared" si="35"/>
        <v>-9.82254277914762e-11</v>
      </c>
      <c r="Q243" s="806"/>
      <c r="R243" s="1157"/>
    </row>
    <row r="244" ht="15.5" spans="1:18">
      <c r="A244" s="86">
        <v>63</v>
      </c>
      <c r="B244" s="86" t="s">
        <v>396</v>
      </c>
      <c r="C244" s="806">
        <v>150512.166666667</v>
      </c>
      <c r="D244" s="1108">
        <v>12</v>
      </c>
      <c r="E244" s="1078">
        <f t="shared" si="36"/>
        <v>1806146</v>
      </c>
      <c r="F244" s="806"/>
      <c r="G244" s="806">
        <v>0</v>
      </c>
      <c r="H244" s="806">
        <v>126251.68</v>
      </c>
      <c r="I244" s="806"/>
      <c r="J244" s="1078">
        <f t="shared" si="31"/>
        <v>126251.68</v>
      </c>
      <c r="K244" s="1078">
        <f t="shared" si="32"/>
        <v>1679894.32</v>
      </c>
      <c r="L244" s="1078">
        <f t="shared" si="33"/>
        <v>131984.148</v>
      </c>
      <c r="M244" s="471">
        <v>12</v>
      </c>
      <c r="N244" s="1111">
        <f t="shared" si="34"/>
        <v>10998.679</v>
      </c>
      <c r="O244" s="806">
        <v>10998.6790000001</v>
      </c>
      <c r="P244" s="806">
        <f t="shared" si="35"/>
        <v>-9.82254277914762e-11</v>
      </c>
      <c r="Q244" s="806"/>
      <c r="R244" s="1157"/>
    </row>
    <row r="245" ht="15.5" spans="1:18">
      <c r="A245" s="86">
        <v>64</v>
      </c>
      <c r="B245" s="86" t="s">
        <v>399</v>
      </c>
      <c r="C245" s="806">
        <v>150512.166666667</v>
      </c>
      <c r="D245" s="1108">
        <v>12</v>
      </c>
      <c r="E245" s="1078">
        <f t="shared" si="36"/>
        <v>1806146</v>
      </c>
      <c r="F245" s="806"/>
      <c r="G245" s="806">
        <v>0</v>
      </c>
      <c r="H245" s="806">
        <v>126251.68</v>
      </c>
      <c r="I245" s="806"/>
      <c r="J245" s="1078">
        <f t="shared" si="31"/>
        <v>126251.68</v>
      </c>
      <c r="K245" s="1078">
        <f t="shared" si="32"/>
        <v>1679894.32</v>
      </c>
      <c r="L245" s="1078">
        <f t="shared" si="33"/>
        <v>131984.148</v>
      </c>
      <c r="M245" s="471">
        <v>12</v>
      </c>
      <c r="N245" s="1111">
        <f t="shared" si="34"/>
        <v>10998.679</v>
      </c>
      <c r="O245" s="806">
        <v>10998.6790000001</v>
      </c>
      <c r="P245" s="806">
        <f t="shared" si="35"/>
        <v>-9.82254277914762e-11</v>
      </c>
      <c r="Q245" s="806"/>
      <c r="R245" s="1157"/>
    </row>
    <row r="246" ht="15.5" spans="1:18">
      <c r="A246" s="86">
        <v>65</v>
      </c>
      <c r="B246" s="86" t="s">
        <v>400</v>
      </c>
      <c r="C246" s="806">
        <v>150512.166666667</v>
      </c>
      <c r="D246" s="1108">
        <v>12</v>
      </c>
      <c r="E246" s="1078">
        <f t="shared" si="36"/>
        <v>1806146</v>
      </c>
      <c r="F246" s="806"/>
      <c r="G246" s="806">
        <v>0</v>
      </c>
      <c r="H246" s="806">
        <v>126251.68</v>
      </c>
      <c r="I246" s="806"/>
      <c r="J246" s="1078">
        <f t="shared" si="31"/>
        <v>126251.68</v>
      </c>
      <c r="K246" s="1078">
        <f t="shared" si="32"/>
        <v>1679894.32</v>
      </c>
      <c r="L246" s="1078">
        <f t="shared" si="33"/>
        <v>131984.148</v>
      </c>
      <c r="M246" s="471">
        <v>12</v>
      </c>
      <c r="N246" s="1111">
        <f t="shared" si="34"/>
        <v>10998.679</v>
      </c>
      <c r="O246" s="806">
        <v>10998.6790000001</v>
      </c>
      <c r="P246" s="806">
        <f t="shared" si="35"/>
        <v>-9.82254277914762e-11</v>
      </c>
      <c r="Q246" s="806"/>
      <c r="R246" s="1157"/>
    </row>
    <row r="247" ht="15.5" spans="1:18">
      <c r="A247" s="86">
        <v>66</v>
      </c>
      <c r="B247" s="86" t="s">
        <v>401</v>
      </c>
      <c r="C247" s="806">
        <v>165495.666666667</v>
      </c>
      <c r="D247" s="1108">
        <v>12</v>
      </c>
      <c r="E247" s="1078">
        <f t="shared" si="36"/>
        <v>1985948</v>
      </c>
      <c r="F247" s="806"/>
      <c r="G247" s="806">
        <v>29846.075</v>
      </c>
      <c r="H247" s="806">
        <v>137755.84</v>
      </c>
      <c r="I247" s="806"/>
      <c r="J247" s="1078">
        <f t="shared" si="31"/>
        <v>167601.915</v>
      </c>
      <c r="K247" s="1078">
        <f t="shared" si="32"/>
        <v>1818346.085</v>
      </c>
      <c r="L247" s="1078">
        <f t="shared" si="33"/>
        <v>152751.91275</v>
      </c>
      <c r="M247" s="471">
        <v>12</v>
      </c>
      <c r="N247" s="1111">
        <f t="shared" si="34"/>
        <v>12729.3260625</v>
      </c>
      <c r="O247" s="806">
        <v>12729.3260625001</v>
      </c>
      <c r="P247" s="806">
        <f t="shared" si="35"/>
        <v>-1.01863406598568e-10</v>
      </c>
      <c r="Q247" s="806"/>
      <c r="R247" s="1157"/>
    </row>
    <row r="248" ht="15.5" spans="1:18">
      <c r="A248" s="86">
        <v>67</v>
      </c>
      <c r="B248" s="86" t="s">
        <v>404</v>
      </c>
      <c r="C248" s="806">
        <v>165495.666666667</v>
      </c>
      <c r="D248" s="1108">
        <v>12</v>
      </c>
      <c r="E248" s="1078">
        <f t="shared" si="36"/>
        <v>1985948</v>
      </c>
      <c r="F248" s="806"/>
      <c r="G248" s="806">
        <v>0</v>
      </c>
      <c r="H248" s="806">
        <v>137755.84</v>
      </c>
      <c r="I248" s="806"/>
      <c r="J248" s="1078">
        <f t="shared" si="31"/>
        <v>137755.84</v>
      </c>
      <c r="K248" s="1078">
        <f t="shared" si="32"/>
        <v>1848192.16</v>
      </c>
      <c r="L248" s="1078">
        <f t="shared" si="33"/>
        <v>157228.824</v>
      </c>
      <c r="M248" s="471">
        <v>12</v>
      </c>
      <c r="N248" s="1111">
        <f t="shared" si="34"/>
        <v>13102.402</v>
      </c>
      <c r="O248" s="806">
        <v>13102.4020000001</v>
      </c>
      <c r="P248" s="806">
        <f t="shared" si="35"/>
        <v>-1.00044417195022e-10</v>
      </c>
      <c r="Q248" s="806"/>
      <c r="R248" s="1157"/>
    </row>
    <row r="249" ht="15.5" spans="1:18">
      <c r="A249" s="86"/>
      <c r="B249" s="86" t="s">
        <v>120</v>
      </c>
      <c r="C249" s="1158">
        <f>SUM(C182:C248)</f>
        <v>27264812.8709677</v>
      </c>
      <c r="D249" s="1159"/>
      <c r="E249" s="1158">
        <f t="shared" ref="D249:P249" si="37">SUM(E182:E248)</f>
        <v>327177754.451613</v>
      </c>
      <c r="F249" s="1158"/>
      <c r="G249" s="1158">
        <f t="shared" si="37"/>
        <v>2184666.4</v>
      </c>
      <c r="H249" s="1158">
        <f t="shared" si="37"/>
        <v>23090356.36</v>
      </c>
      <c r="I249" s="1158">
        <f t="shared" si="37"/>
        <v>0</v>
      </c>
      <c r="J249" s="1158">
        <f t="shared" si="37"/>
        <v>25575022.76</v>
      </c>
      <c r="K249" s="1158">
        <f t="shared" si="37"/>
        <v>301602731.691613</v>
      </c>
      <c r="L249" s="1158">
        <f t="shared" si="37"/>
        <v>41282952.7156403</v>
      </c>
      <c r="M249" s="1158"/>
      <c r="N249" s="1160">
        <f t="shared" si="37"/>
        <v>3440246.05963669</v>
      </c>
      <c r="O249" s="1158">
        <f t="shared" si="37"/>
        <v>3314271.27148669</v>
      </c>
      <c r="P249" s="1158">
        <f t="shared" si="37"/>
        <v>125974.788149999</v>
      </c>
      <c r="Q249" s="806"/>
      <c r="R249" s="1157"/>
    </row>
    <row r="250" ht="15.5" spans="1:18">
      <c r="A250" s="86"/>
      <c r="B250" s="86"/>
      <c r="C250" s="1158"/>
      <c r="D250" s="1159"/>
      <c r="E250" s="1158"/>
      <c r="F250" s="1158"/>
      <c r="G250" s="1158"/>
      <c r="H250" s="1158"/>
      <c r="I250" s="1158"/>
      <c r="J250" s="1158"/>
      <c r="K250" s="1158"/>
      <c r="L250" s="1158"/>
      <c r="M250" s="1158"/>
      <c r="N250" s="1160"/>
      <c r="O250" s="1158"/>
      <c r="P250" s="1158"/>
      <c r="Q250" s="806"/>
      <c r="R250" s="1157"/>
    </row>
    <row r="251" ht="23" customHeight="1" spans="1:18">
      <c r="A251" s="86"/>
      <c r="B251" s="670" t="s">
        <v>406</v>
      </c>
      <c r="C251" s="934">
        <f>C249+C179+C164+C156+C145+C131+C121+C105+C91+C77+C72+C57+C47</f>
        <v>121722367.32448</v>
      </c>
      <c r="D251" s="1161"/>
      <c r="E251" s="934">
        <f t="shared" ref="D251:P251" si="38">E249+E179+E164+E156+E145+E131+E121+E105+E91+E77+E72+E57+E47</f>
        <v>1460668407.89375</v>
      </c>
      <c r="F251" s="934"/>
      <c r="G251" s="934">
        <f t="shared" si="38"/>
        <v>8275095.375</v>
      </c>
      <c r="H251" s="934">
        <f t="shared" si="38"/>
        <v>95689476.9199999</v>
      </c>
      <c r="I251" s="934">
        <f t="shared" si="38"/>
        <v>0</v>
      </c>
      <c r="J251" s="934">
        <f t="shared" si="38"/>
        <v>107314572.295</v>
      </c>
      <c r="K251" s="934">
        <f t="shared" si="38"/>
        <v>1353353835.59875</v>
      </c>
      <c r="L251" s="934">
        <f t="shared" si="38"/>
        <v>204005006.311126</v>
      </c>
      <c r="M251" s="934"/>
      <c r="N251" s="1162">
        <f t="shared" si="38"/>
        <v>16920479.2481938</v>
      </c>
      <c r="O251" s="934">
        <f t="shared" si="38"/>
        <v>17282990.9899148</v>
      </c>
      <c r="P251" s="1162">
        <f t="shared" si="38"/>
        <v>-362511.741720952</v>
      </c>
      <c r="Q251" s="282"/>
      <c r="R251" s="1157"/>
    </row>
    <row r="252" ht="15.5" spans="1:18">
      <c r="A252" s="86"/>
      <c r="B252" s="86"/>
      <c r="C252" s="86"/>
      <c r="D252" s="1163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1164"/>
      <c r="P252" s="86"/>
      <c r="Q252" s="86"/>
    </row>
    <row r="253" ht="15.5" spans="1:18">
      <c r="A253" s="636"/>
      <c r="B253" s="636"/>
      <c r="C253" s="636"/>
      <c r="D253" s="1165"/>
      <c r="E253" s="636"/>
      <c r="F253" s="636"/>
      <c r="G253" s="636"/>
      <c r="H253" s="636"/>
      <c r="I253" s="636"/>
      <c r="J253" s="636"/>
      <c r="K253" s="636"/>
      <c r="L253" s="636"/>
      <c r="M253" s="636"/>
      <c r="N253" s="636"/>
      <c r="O253" s="1166"/>
      <c r="P253" s="636"/>
      <c r="Q253" s="636"/>
    </row>
    <row r="254" ht="15.5" spans="1:18">
      <c r="A254" s="636"/>
      <c r="B254" s="636"/>
      <c r="C254" s="636"/>
      <c r="D254" s="1165"/>
      <c r="E254" s="636"/>
      <c r="F254" s="636"/>
      <c r="G254" s="636"/>
      <c r="H254" s="636"/>
      <c r="I254" s="636"/>
      <c r="J254" s="636"/>
      <c r="K254" s="636"/>
      <c r="L254" s="636"/>
      <c r="M254" s="636"/>
      <c r="N254" s="636"/>
      <c r="O254" s="636"/>
      <c r="P254" s="1166">
        <f>P251*2</f>
        <v>-725023.483441905</v>
      </c>
      <c r="Q254" s="636"/>
    </row>
    <row r="255" ht="15.5" spans="1:18">
      <c r="A255" s="636"/>
      <c r="B255" s="636"/>
      <c r="C255" s="636"/>
      <c r="D255" s="1165"/>
      <c r="E255" s="636"/>
      <c r="F255" s="636"/>
      <c r="G255" s="636"/>
      <c r="H255" s="636"/>
      <c r="I255" s="636"/>
      <c r="J255" s="636"/>
      <c r="K255" s="636"/>
      <c r="L255" s="636"/>
      <c r="M255" s="636"/>
      <c r="N255" s="636"/>
      <c r="O255" s="636"/>
      <c r="P255" s="650">
        <f>MEMO!I42</f>
        <v>0</v>
      </c>
      <c r="Q255" s="636"/>
    </row>
    <row r="256" ht="15.5" spans="1:18">
      <c r="A256" s="636"/>
      <c r="B256" s="636"/>
      <c r="C256" s="636"/>
      <c r="D256" s="1165"/>
      <c r="E256" s="636"/>
      <c r="F256" s="636"/>
      <c r="G256" s="636"/>
      <c r="H256" s="636"/>
      <c r="I256" s="636"/>
      <c r="J256" s="636"/>
      <c r="K256" s="636"/>
      <c r="L256" s="636"/>
      <c r="M256" s="636"/>
      <c r="N256" s="636"/>
      <c r="O256" s="636"/>
      <c r="P256" s="1166">
        <f>P254+P255</f>
        <v>-725023.483441905</v>
      </c>
      <c r="Q256" s="636"/>
    </row>
    <row r="257" ht="15.5" spans="1:17">
      <c r="A257" s="636"/>
      <c r="B257" s="636"/>
      <c r="C257" s="636"/>
      <c r="D257" s="1165"/>
      <c r="E257" s="636"/>
      <c r="F257" s="636"/>
      <c r="G257" s="636"/>
      <c r="H257" s="636"/>
      <c r="I257" s="636"/>
      <c r="J257" s="636"/>
      <c r="K257" s="636"/>
      <c r="L257" s="636"/>
      <c r="M257" s="636"/>
      <c r="N257" s="636"/>
      <c r="O257" s="636"/>
      <c r="P257" s="636"/>
      <c r="Q257" s="636"/>
    </row>
    <row r="258" ht="15.5" spans="1:17">
      <c r="A258" s="636"/>
      <c r="B258" s="636"/>
      <c r="C258" s="636"/>
      <c r="D258" s="1165"/>
      <c r="E258" s="636"/>
      <c r="F258" s="636"/>
      <c r="G258" s="636"/>
      <c r="H258" s="636"/>
      <c r="I258" s="636"/>
      <c r="J258" s="636"/>
      <c r="K258" s="636"/>
      <c r="L258" s="636"/>
      <c r="M258" s="636"/>
      <c r="N258" s="636"/>
      <c r="O258" s="636"/>
      <c r="P258" s="636"/>
      <c r="Q258" s="636"/>
    </row>
    <row r="259" ht="15.5" spans="1:17">
      <c r="A259" s="636"/>
      <c r="B259" s="636"/>
      <c r="C259" s="636"/>
      <c r="D259" s="1165"/>
      <c r="E259" s="636"/>
      <c r="F259" s="636"/>
      <c r="G259" s="636"/>
      <c r="H259" s="636"/>
      <c r="I259" s="636"/>
      <c r="J259" s="636"/>
      <c r="K259" s="636"/>
      <c r="L259" s="636"/>
      <c r="M259" s="636"/>
      <c r="N259" s="636"/>
      <c r="O259" s="636"/>
      <c r="P259" s="636"/>
      <c r="Q259" s="636"/>
    </row>
  </sheetData>
  <mergeCells count="3">
    <mergeCell ref="A1:N1"/>
    <mergeCell ref="A2:N2"/>
    <mergeCell ref="A3:N3"/>
  </mergeCells>
  <pageMargins left="0.7" right="0.7" top="0.75" bottom="0.75" header="0.3" footer="0.3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zoomScale="90" zoomScaleNormal="90" zoomScaleSheetLayoutView="50" workbookViewId="0">
      <pane xSplit="3" ySplit="7" topLeftCell="D83" activePane="bottomRight" state="frozen"/>
      <selection/>
      <selection pane="topRight"/>
      <selection pane="bottomLeft"/>
      <selection pane="bottomRight" activeCell="F129" sqref="F129"/>
    </sheetView>
  </sheetViews>
  <sheetFormatPr defaultColWidth="9.13636363636364" defaultRowHeight="20.1" customHeight="1" outlineLevelCol="5"/>
  <cols>
    <col min="1" max="1" width="5.42727272727273" style="1" customWidth="1"/>
    <col min="2" max="2" width="40.9090909090909" style="1" customWidth="1"/>
    <col min="3" max="3" width="34.1454545454545" style="1" customWidth="1"/>
    <col min="4" max="4" width="12.7090909090909" style="1" customWidth="1"/>
    <col min="5" max="5" width="19.2818181818182" style="1" customWidth="1"/>
    <col min="6" max="6" width="12.5272727272727" style="1" customWidth="1"/>
    <col min="7" max="16367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483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809" t="s">
        <v>484</v>
      </c>
    </row>
    <row r="5" ht="17.25" customHeight="1" spans="1:5">
      <c r="C5" s="8"/>
      <c r="D5" s="8"/>
    </row>
    <row r="6" customHeight="1" spans="1:5">
      <c r="A6" s="9" t="s">
        <v>22</v>
      </c>
      <c r="B6" s="8" t="s">
        <v>23</v>
      </c>
      <c r="C6" s="8"/>
      <c r="D6" s="8"/>
      <c r="E6" s="908" t="s">
        <v>21</v>
      </c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911">
        <v>648000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911">
        <v>216000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911">
        <v>216000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911">
        <v>216000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36</v>
      </c>
      <c r="E11" s="911">
        <v>216000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39</v>
      </c>
      <c r="E12" s="911">
        <v>151200</v>
      </c>
    </row>
    <row r="13" customHeight="1" spans="1:5">
      <c r="A13" s="10">
        <v>7</v>
      </c>
      <c r="B13" s="11" t="s">
        <v>40</v>
      </c>
      <c r="C13" s="4" t="s">
        <v>41</v>
      </c>
      <c r="D13" s="15" t="s">
        <v>42</v>
      </c>
      <c r="E13" s="911">
        <v>151200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39</v>
      </c>
      <c r="E14" s="911">
        <v>151200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47</v>
      </c>
      <c r="E15" s="911">
        <v>108000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50</v>
      </c>
      <c r="E16" s="911">
        <v>151200</v>
      </c>
    </row>
    <row r="17" customHeight="1" spans="1:5">
      <c r="A17" s="10">
        <v>11</v>
      </c>
      <c r="B17" s="11" t="s">
        <v>51</v>
      </c>
      <c r="C17" s="12" t="s">
        <v>52</v>
      </c>
      <c r="D17" s="10" t="s">
        <v>53</v>
      </c>
      <c r="E17" s="911">
        <v>108000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56</v>
      </c>
      <c r="E18" s="911">
        <v>108000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59</v>
      </c>
      <c r="E19" s="1102">
        <v>108000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59</v>
      </c>
      <c r="E20" s="1102">
        <v>108000</v>
      </c>
    </row>
    <row r="21" customHeight="1" spans="1:5">
      <c r="A21" s="10">
        <v>15</v>
      </c>
      <c r="B21" s="11" t="s">
        <v>62</v>
      </c>
      <c r="C21" s="12" t="s">
        <v>63</v>
      </c>
      <c r="D21" s="15" t="s">
        <v>64</v>
      </c>
      <c r="E21" s="911">
        <v>108000</v>
      </c>
    </row>
    <row r="22" ht="18.75" customHeight="1" spans="1:5">
      <c r="A22" s="10">
        <v>16</v>
      </c>
      <c r="B22" s="11" t="s">
        <v>65</v>
      </c>
      <c r="C22" s="4" t="s">
        <v>66</v>
      </c>
      <c r="D22" s="15" t="s">
        <v>67</v>
      </c>
      <c r="E22" s="911">
        <v>108000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70</v>
      </c>
      <c r="E23" s="911">
        <v>81600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70</v>
      </c>
      <c r="E24" s="911">
        <v>81600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75</v>
      </c>
      <c r="E25" s="911">
        <v>81600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78</v>
      </c>
      <c r="E26" s="911">
        <v>81600</v>
      </c>
    </row>
    <row r="27" ht="18.75" customHeight="1" spans="1:5">
      <c r="A27" s="10">
        <v>21</v>
      </c>
      <c r="B27" s="18" t="s">
        <v>79</v>
      </c>
      <c r="C27" s="12" t="s">
        <v>80</v>
      </c>
      <c r="D27" s="15" t="s">
        <v>81</v>
      </c>
      <c r="E27" s="911">
        <v>81600</v>
      </c>
    </row>
    <row r="28" customHeight="1" spans="1:5">
      <c r="A28" s="10">
        <v>22</v>
      </c>
      <c r="B28" s="11" t="s">
        <v>82</v>
      </c>
      <c r="C28" s="4" t="s">
        <v>83</v>
      </c>
      <c r="D28" s="15" t="s">
        <v>75</v>
      </c>
      <c r="E28" s="911">
        <v>81600</v>
      </c>
    </row>
    <row r="29" ht="18.75" customHeight="1" spans="1:5">
      <c r="A29" s="10">
        <v>23</v>
      </c>
      <c r="B29" s="18" t="s">
        <v>84</v>
      </c>
      <c r="C29" s="12" t="s">
        <v>85</v>
      </c>
      <c r="D29" s="15" t="s">
        <v>86</v>
      </c>
      <c r="E29" s="911">
        <v>64800</v>
      </c>
    </row>
    <row r="30" ht="18.75" customHeight="1" spans="1:5">
      <c r="A30" s="10">
        <v>24</v>
      </c>
      <c r="B30" s="18" t="s">
        <v>87</v>
      </c>
      <c r="C30" s="4" t="s">
        <v>88</v>
      </c>
      <c r="D30" s="10" t="s">
        <v>86</v>
      </c>
      <c r="E30" s="911">
        <v>64800</v>
      </c>
    </row>
    <row r="31" ht="18.75" customHeight="1" spans="1:5">
      <c r="A31" s="10">
        <v>25</v>
      </c>
      <c r="B31" s="18" t="s">
        <v>89</v>
      </c>
      <c r="C31" s="4" t="s">
        <v>90</v>
      </c>
      <c r="D31" s="15" t="s">
        <v>81</v>
      </c>
      <c r="E31" s="911">
        <v>81600</v>
      </c>
    </row>
    <row r="32" ht="18.75" customHeight="1" spans="1:5">
      <c r="A32" s="10">
        <v>26</v>
      </c>
      <c r="B32" s="18" t="s">
        <v>91</v>
      </c>
      <c r="C32" s="4" t="s">
        <v>92</v>
      </c>
      <c r="D32" s="15" t="s">
        <v>81</v>
      </c>
      <c r="E32" s="911">
        <v>81600</v>
      </c>
    </row>
    <row r="33" ht="18.75" customHeight="1" spans="1:5">
      <c r="A33" s="10">
        <v>27</v>
      </c>
      <c r="B33" s="18" t="s">
        <v>93</v>
      </c>
      <c r="C33" s="4" t="s">
        <v>94</v>
      </c>
      <c r="D33" s="10" t="s">
        <v>86</v>
      </c>
      <c r="E33" s="911">
        <v>64800</v>
      </c>
    </row>
    <row r="34" ht="18.75" customHeight="1" spans="1:5">
      <c r="A34" s="10">
        <v>28</v>
      </c>
      <c r="B34" s="18" t="s">
        <v>95</v>
      </c>
      <c r="C34" s="4" t="s">
        <v>96</v>
      </c>
      <c r="D34" s="15" t="s">
        <v>81</v>
      </c>
      <c r="E34" s="911">
        <v>81600</v>
      </c>
    </row>
    <row r="35" s="1" customFormat="1" ht="18.75" customHeight="1" spans="1:5">
      <c r="A35" s="10">
        <v>29</v>
      </c>
      <c r="B35" s="18" t="s">
        <v>97</v>
      </c>
      <c r="C35" s="4" t="s">
        <v>98</v>
      </c>
      <c r="D35" s="10" t="s">
        <v>99</v>
      </c>
      <c r="E35" s="911">
        <v>64800</v>
      </c>
    </row>
    <row r="36" s="1" customFormat="1" ht="18.75" customHeight="1" spans="1:5">
      <c r="A36" s="10">
        <v>30</v>
      </c>
      <c r="B36" s="18" t="s">
        <v>100</v>
      </c>
      <c r="C36" s="4" t="s">
        <v>98</v>
      </c>
      <c r="D36" s="10" t="s">
        <v>99</v>
      </c>
      <c r="E36" s="911">
        <v>64800</v>
      </c>
    </row>
    <row r="37" s="1" customFormat="1" ht="18.75" customHeight="1" spans="1:5">
      <c r="A37" s="10">
        <v>31</v>
      </c>
      <c r="B37" s="18" t="s">
        <v>101</v>
      </c>
      <c r="C37" s="4" t="s">
        <v>85</v>
      </c>
      <c r="D37" s="10" t="s">
        <v>99</v>
      </c>
      <c r="E37" s="911">
        <v>64800</v>
      </c>
    </row>
    <row r="38" s="1" customFormat="1" ht="18.75" customHeight="1" spans="1:5">
      <c r="A38" s="10">
        <v>32</v>
      </c>
      <c r="B38" s="18" t="s">
        <v>102</v>
      </c>
      <c r="C38" s="4" t="s">
        <v>94</v>
      </c>
      <c r="D38" s="10" t="s">
        <v>99</v>
      </c>
      <c r="E38" s="911">
        <v>64800</v>
      </c>
    </row>
    <row r="39" ht="18.75" customHeight="1" spans="1:5">
      <c r="A39" s="10">
        <v>33</v>
      </c>
      <c r="B39" s="18" t="s">
        <v>103</v>
      </c>
      <c r="C39" s="12" t="s">
        <v>104</v>
      </c>
      <c r="D39" s="15" t="s">
        <v>105</v>
      </c>
      <c r="E39" s="911">
        <v>64800</v>
      </c>
    </row>
    <row r="40" ht="18.75" customHeight="1" spans="1:5">
      <c r="A40" s="10">
        <v>34</v>
      </c>
      <c r="B40" s="18" t="s">
        <v>106</v>
      </c>
      <c r="C40" s="12" t="s">
        <v>107</v>
      </c>
      <c r="D40" s="15" t="s">
        <v>108</v>
      </c>
      <c r="E40" s="1102">
        <v>64800</v>
      </c>
    </row>
    <row r="41" s="1" customFormat="1" customHeight="1" spans="1:5">
      <c r="A41" s="10">
        <v>35</v>
      </c>
      <c r="B41" s="18" t="s">
        <v>109</v>
      </c>
      <c r="C41" s="12" t="s">
        <v>110</v>
      </c>
      <c r="D41" s="15" t="s">
        <v>111</v>
      </c>
      <c r="E41" s="911">
        <v>64800</v>
      </c>
    </row>
    <row r="42" s="1" customFormat="1" customHeight="1" spans="1:5">
      <c r="A42" s="10">
        <v>36</v>
      </c>
      <c r="B42" s="18" t="s">
        <v>112</v>
      </c>
      <c r="C42" s="12" t="s">
        <v>113</v>
      </c>
      <c r="D42" s="15" t="s">
        <v>111</v>
      </c>
      <c r="E42" s="911">
        <v>64800</v>
      </c>
    </row>
    <row r="43" s="1" customFormat="1" customHeight="1" spans="1:5">
      <c r="A43" s="10">
        <v>37</v>
      </c>
      <c r="B43" s="18" t="s">
        <v>114</v>
      </c>
      <c r="C43" s="12" t="s">
        <v>113</v>
      </c>
      <c r="D43" s="15" t="s">
        <v>111</v>
      </c>
      <c r="E43" s="911">
        <v>64800</v>
      </c>
    </row>
    <row r="44" s="1" customFormat="1" customHeight="1" spans="1:5">
      <c r="A44" s="10">
        <v>38</v>
      </c>
      <c r="B44" s="18" t="s">
        <v>115</v>
      </c>
      <c r="C44" s="12" t="s">
        <v>116</v>
      </c>
      <c r="D44" s="15" t="s">
        <v>111</v>
      </c>
      <c r="E44" s="911">
        <v>64800</v>
      </c>
    </row>
    <row r="45" s="1" customFormat="1" customHeight="1" spans="1:5">
      <c r="A45" s="10">
        <v>39</v>
      </c>
      <c r="B45" s="18" t="s">
        <v>117</v>
      </c>
      <c r="C45" s="12" t="s">
        <v>113</v>
      </c>
      <c r="D45" s="15" t="s">
        <v>111</v>
      </c>
      <c r="E45" s="911">
        <v>64800</v>
      </c>
    </row>
    <row r="46" s="1" customFormat="1" customHeight="1" spans="1:5">
      <c r="A46" s="10">
        <v>40</v>
      </c>
      <c r="B46" s="18" t="s">
        <v>118</v>
      </c>
      <c r="C46" s="12" t="s">
        <v>119</v>
      </c>
      <c r="D46" s="15" t="s">
        <v>111</v>
      </c>
      <c r="E46" s="911">
        <v>64800</v>
      </c>
    </row>
    <row r="47" ht="26.25" customHeight="1" spans="1:5">
      <c r="A47" s="10"/>
      <c r="B47" s="20" t="s">
        <v>120</v>
      </c>
      <c r="C47" s="21">
        <v>40</v>
      </c>
      <c r="D47" s="15"/>
      <c r="E47" s="913">
        <f>SUM(E7:E46)</f>
        <v>4579200</v>
      </c>
    </row>
    <row r="48" ht="18.75" customHeight="1" spans="1:5">
      <c r="A48" s="10"/>
      <c r="B48" s="22"/>
      <c r="C48" s="4"/>
      <c r="D48" s="15"/>
      <c r="E48" s="913"/>
    </row>
    <row r="49" ht="18.75" customHeight="1" spans="1:5">
      <c r="A49" s="10"/>
      <c r="B49" s="20" t="s">
        <v>121</v>
      </c>
      <c r="C49" s="4"/>
      <c r="D49" s="15"/>
      <c r="E49" s="911"/>
    </row>
    <row r="50" ht="18.75" customHeight="1" spans="1:5">
      <c r="A50" s="10">
        <v>1</v>
      </c>
      <c r="B50" s="18" t="s">
        <v>122</v>
      </c>
      <c r="C50" s="4" t="s">
        <v>123</v>
      </c>
      <c r="D50" s="10" t="s">
        <v>124</v>
      </c>
      <c r="E50" s="911">
        <v>324000</v>
      </c>
    </row>
    <row r="51" customHeight="1" spans="1:5">
      <c r="A51" s="10">
        <v>2</v>
      </c>
      <c r="B51" s="11" t="s">
        <v>125</v>
      </c>
      <c r="C51" s="12" t="s">
        <v>126</v>
      </c>
      <c r="D51" s="15" t="s">
        <v>50</v>
      </c>
      <c r="E51" s="911">
        <v>151200</v>
      </c>
    </row>
    <row r="52" ht="18.75" customHeight="1" spans="1:5">
      <c r="A52" s="10">
        <v>3</v>
      </c>
      <c r="B52" s="18" t="s">
        <v>127</v>
      </c>
      <c r="C52" s="4" t="s">
        <v>128</v>
      </c>
      <c r="D52" s="10" t="s">
        <v>78</v>
      </c>
      <c r="E52" s="911">
        <v>81600</v>
      </c>
    </row>
    <row r="53" ht="18.75" customHeight="1" spans="1:5">
      <c r="A53" s="10">
        <v>4</v>
      </c>
      <c r="B53" s="11" t="s">
        <v>129</v>
      </c>
      <c r="C53" s="4" t="s">
        <v>130</v>
      </c>
      <c r="D53" s="15" t="s">
        <v>131</v>
      </c>
      <c r="E53" s="911">
        <v>81600</v>
      </c>
    </row>
    <row r="54" s="1" customFormat="1" customHeight="1" spans="1:5">
      <c r="A54" s="10">
        <v>5</v>
      </c>
      <c r="B54" s="18" t="s">
        <v>132</v>
      </c>
      <c r="C54" s="4" t="s">
        <v>128</v>
      </c>
      <c r="D54" s="15" t="s">
        <v>99</v>
      </c>
      <c r="E54" s="911">
        <v>64800</v>
      </c>
    </row>
    <row r="55" ht="18.75" customHeight="1" spans="1:5">
      <c r="A55" s="10">
        <v>6</v>
      </c>
      <c r="B55" s="11" t="s">
        <v>133</v>
      </c>
      <c r="C55" s="4" t="s">
        <v>134</v>
      </c>
      <c r="D55" s="15" t="s">
        <v>86</v>
      </c>
      <c r="E55" s="911">
        <v>64800</v>
      </c>
    </row>
    <row r="56" s="1" customFormat="1" customHeight="1" spans="1:5">
      <c r="A56" s="10">
        <v>7</v>
      </c>
      <c r="B56" s="18" t="s">
        <v>135</v>
      </c>
      <c r="C56" s="12" t="s">
        <v>136</v>
      </c>
      <c r="D56" s="15" t="s">
        <v>111</v>
      </c>
      <c r="E56" s="911">
        <v>64800</v>
      </c>
    </row>
    <row r="57" ht="19.5" customHeight="1" spans="1:5">
      <c r="A57" s="10"/>
      <c r="B57" s="14"/>
      <c r="C57" s="21">
        <v>7</v>
      </c>
      <c r="D57" s="10"/>
      <c r="E57" s="913">
        <f>SUM(E50:E56)</f>
        <v>832800</v>
      </c>
    </row>
    <row r="58" customHeight="1" spans="1:5">
      <c r="A58" s="10"/>
      <c r="B58" s="14"/>
      <c r="C58" s="4"/>
      <c r="D58" s="10"/>
      <c r="E58" s="913"/>
    </row>
    <row r="59" customHeight="1" spans="1:5">
      <c r="A59" s="10"/>
      <c r="B59" s="23" t="s">
        <v>137</v>
      </c>
      <c r="C59" s="5"/>
      <c r="D59" s="24"/>
      <c r="E59" s="913"/>
    </row>
    <row r="60" customHeight="1" spans="1:5">
      <c r="A60" s="10">
        <v>1</v>
      </c>
      <c r="B60" s="11" t="s">
        <v>138</v>
      </c>
      <c r="C60" s="4" t="s">
        <v>139</v>
      </c>
      <c r="D60" s="10" t="s">
        <v>140</v>
      </c>
      <c r="E60" s="911">
        <v>324000</v>
      </c>
    </row>
    <row r="61" customHeight="1" spans="1:5">
      <c r="A61" s="10">
        <v>2</v>
      </c>
      <c r="B61" s="11" t="s">
        <v>141</v>
      </c>
      <c r="C61" s="4" t="s">
        <v>145</v>
      </c>
      <c r="D61" s="10" t="s">
        <v>39</v>
      </c>
      <c r="E61" s="911">
        <v>151200</v>
      </c>
    </row>
    <row r="62" customHeight="1" spans="1:5">
      <c r="A62" s="10">
        <v>3</v>
      </c>
      <c r="B62" s="11" t="s">
        <v>144</v>
      </c>
      <c r="C62" s="4" t="s">
        <v>145</v>
      </c>
      <c r="D62" s="10" t="s">
        <v>39</v>
      </c>
      <c r="E62" s="911">
        <v>151200</v>
      </c>
    </row>
    <row r="63" customHeight="1" spans="1:5">
      <c r="A63" s="10">
        <v>4</v>
      </c>
      <c r="B63" s="11" t="s">
        <v>146</v>
      </c>
      <c r="C63" s="4" t="s">
        <v>145</v>
      </c>
      <c r="D63" s="10" t="s">
        <v>39</v>
      </c>
      <c r="E63" s="911">
        <v>151200</v>
      </c>
    </row>
    <row r="64" customHeight="1" spans="1:5">
      <c r="A64" s="10">
        <v>5</v>
      </c>
      <c r="B64" s="14" t="s">
        <v>147</v>
      </c>
      <c r="C64" s="4" t="s">
        <v>145</v>
      </c>
      <c r="D64" s="10" t="s">
        <v>50</v>
      </c>
      <c r="E64" s="911">
        <v>151200</v>
      </c>
    </row>
    <row r="65" customFormat="1" customHeight="1" spans="1:5">
      <c r="A65" s="10">
        <v>6</v>
      </c>
      <c r="B65" s="14" t="s">
        <v>148</v>
      </c>
      <c r="C65" s="4" t="s">
        <v>145</v>
      </c>
      <c r="D65" s="10" t="s">
        <v>50</v>
      </c>
      <c r="E65" s="911">
        <v>151200</v>
      </c>
    </row>
    <row r="66" s="1" customFormat="1" customHeight="1" spans="1:5">
      <c r="A66" s="10">
        <v>7</v>
      </c>
      <c r="B66" s="18" t="s">
        <v>149</v>
      </c>
      <c r="C66" s="4" t="s">
        <v>150</v>
      </c>
      <c r="D66" s="15" t="s">
        <v>131</v>
      </c>
      <c r="E66" s="922">
        <v>81600</v>
      </c>
    </row>
    <row r="67" customHeight="1" spans="1:5">
      <c r="A67" s="10">
        <v>8</v>
      </c>
      <c r="B67" s="11" t="s">
        <v>151</v>
      </c>
      <c r="C67" s="4" t="s">
        <v>152</v>
      </c>
      <c r="D67" s="10" t="s">
        <v>153</v>
      </c>
      <c r="E67" s="922">
        <v>81600</v>
      </c>
    </row>
    <row r="68" s="1" customFormat="1" customHeight="1" spans="1:5">
      <c r="A68" s="10">
        <v>9</v>
      </c>
      <c r="B68" s="11" t="s">
        <v>154</v>
      </c>
      <c r="C68" s="4" t="s">
        <v>83</v>
      </c>
      <c r="D68" s="10" t="s">
        <v>75</v>
      </c>
      <c r="E68" s="922">
        <v>81600</v>
      </c>
    </row>
    <row r="69" customHeight="1" spans="1:5">
      <c r="A69" s="10">
        <v>10</v>
      </c>
      <c r="B69" s="11" t="s">
        <v>155</v>
      </c>
      <c r="C69" s="4" t="s">
        <v>152</v>
      </c>
      <c r="D69" s="10" t="s">
        <v>156</v>
      </c>
      <c r="E69" s="911">
        <v>64800</v>
      </c>
    </row>
    <row r="70" customHeight="1" spans="1:5">
      <c r="A70" s="10">
        <v>11</v>
      </c>
      <c r="B70" s="11" t="s">
        <v>157</v>
      </c>
      <c r="C70" s="4" t="s">
        <v>152</v>
      </c>
      <c r="D70" s="10" t="s">
        <v>156</v>
      </c>
      <c r="E70" s="911">
        <v>64800</v>
      </c>
    </row>
    <row r="71" s="1" customFormat="1" ht="18.75" customHeight="1" spans="1:5">
      <c r="A71" s="10">
        <v>12</v>
      </c>
      <c r="B71" s="18" t="s">
        <v>158</v>
      </c>
      <c r="C71" s="4" t="s">
        <v>152</v>
      </c>
      <c r="D71" s="10" t="s">
        <v>99</v>
      </c>
      <c r="E71" s="911">
        <v>64800</v>
      </c>
    </row>
    <row r="72" ht="25.5" customHeight="1" spans="1:5">
      <c r="A72" s="10"/>
      <c r="B72" s="20" t="s">
        <v>120</v>
      </c>
      <c r="C72" s="21">
        <v>12</v>
      </c>
      <c r="D72" s="21"/>
      <c r="E72" s="915">
        <f>SUM(E60:E71)</f>
        <v>1519200</v>
      </c>
    </row>
    <row r="73" customHeight="1" spans="1:5">
      <c r="A73" s="10"/>
      <c r="B73" s="22"/>
      <c r="C73" s="21"/>
      <c r="D73" s="21"/>
      <c r="E73" s="916"/>
    </row>
    <row r="74" customHeight="1" spans="1:5">
      <c r="A74" s="10"/>
      <c r="B74" s="20" t="s">
        <v>159</v>
      </c>
      <c r="C74" s="21"/>
      <c r="D74" s="21"/>
      <c r="E74" s="916"/>
    </row>
    <row r="75" customHeight="1" spans="1:5">
      <c r="A75" s="10">
        <v>1</v>
      </c>
      <c r="B75" s="11" t="s">
        <v>160</v>
      </c>
      <c r="C75" s="12" t="s">
        <v>161</v>
      </c>
      <c r="D75" s="15" t="s">
        <v>124</v>
      </c>
      <c r="E75" s="911">
        <v>324000</v>
      </c>
    </row>
    <row r="76" customHeight="1" spans="1:5">
      <c r="A76" s="10">
        <v>2</v>
      </c>
      <c r="B76" s="11" t="s">
        <v>162</v>
      </c>
      <c r="C76" s="12" t="s">
        <v>485</v>
      </c>
      <c r="D76" s="15" t="s">
        <v>486</v>
      </c>
      <c r="E76" s="911">
        <v>151200</v>
      </c>
    </row>
    <row r="77" customHeight="1" spans="1:5">
      <c r="A77" s="10"/>
      <c r="B77" s="20" t="s">
        <v>120</v>
      </c>
      <c r="C77" s="21">
        <v>2</v>
      </c>
      <c r="D77" s="21"/>
      <c r="E77" s="915">
        <f>SUM(E75:E76)</f>
        <v>475200</v>
      </c>
    </row>
    <row r="78" customHeight="1" spans="1:5">
      <c r="A78" s="10"/>
      <c r="B78" s="20"/>
      <c r="C78" s="21"/>
      <c r="D78" s="21"/>
      <c r="E78" s="916"/>
    </row>
    <row r="79" customHeight="1" spans="1:5">
      <c r="A79" s="10"/>
      <c r="B79" s="20" t="s">
        <v>164</v>
      </c>
      <c r="C79" s="21"/>
      <c r="D79" s="21"/>
      <c r="E79" s="916"/>
    </row>
    <row r="80" customHeight="1" spans="1:5">
      <c r="A80" s="10">
        <v>1</v>
      </c>
      <c r="B80" s="14" t="s">
        <v>165</v>
      </c>
      <c r="C80" s="4" t="s">
        <v>166</v>
      </c>
      <c r="D80" s="10" t="s">
        <v>36</v>
      </c>
      <c r="E80" s="911">
        <v>324000</v>
      </c>
    </row>
    <row r="81" customHeight="1" spans="1:5">
      <c r="A81" s="10">
        <v>2</v>
      </c>
      <c r="B81" s="11" t="s">
        <v>167</v>
      </c>
      <c r="C81" s="4" t="s">
        <v>52</v>
      </c>
      <c r="D81" s="10" t="s">
        <v>47</v>
      </c>
      <c r="E81" s="911">
        <v>108000</v>
      </c>
    </row>
    <row r="82" s="1" customFormat="1" customHeight="1" spans="1:5">
      <c r="A82" s="10">
        <v>3</v>
      </c>
      <c r="B82" s="18" t="s">
        <v>168</v>
      </c>
      <c r="C82" s="17" t="s">
        <v>169</v>
      </c>
      <c r="D82" s="15" t="s">
        <v>64</v>
      </c>
      <c r="E82" s="911">
        <v>108000</v>
      </c>
    </row>
    <row r="83" s="1" customFormat="1" customHeight="1" spans="1:5">
      <c r="A83" s="10">
        <v>4</v>
      </c>
      <c r="B83" s="18" t="s">
        <v>170</v>
      </c>
      <c r="C83" s="17" t="s">
        <v>169</v>
      </c>
      <c r="D83" s="15" t="s">
        <v>64</v>
      </c>
      <c r="E83" s="911">
        <v>108000</v>
      </c>
    </row>
    <row r="84" customHeight="1" spans="1:5">
      <c r="A84" s="10">
        <v>5</v>
      </c>
      <c r="B84" s="11" t="s">
        <v>171</v>
      </c>
      <c r="C84" s="17" t="s">
        <v>169</v>
      </c>
      <c r="D84" s="10" t="s">
        <v>67</v>
      </c>
      <c r="E84" s="911">
        <v>108000</v>
      </c>
    </row>
    <row r="85" customHeight="1" spans="1:5">
      <c r="A85" s="10">
        <v>6</v>
      </c>
      <c r="B85" s="11" t="s">
        <v>172</v>
      </c>
      <c r="C85" s="17" t="s">
        <v>72</v>
      </c>
      <c r="D85" s="10" t="s">
        <v>173</v>
      </c>
      <c r="E85" s="911">
        <v>81600</v>
      </c>
    </row>
    <row r="86" customHeight="1" spans="1:5">
      <c r="A86" s="10">
        <v>7</v>
      </c>
      <c r="B86" s="11" t="s">
        <v>174</v>
      </c>
      <c r="C86" s="17" t="s">
        <v>72</v>
      </c>
      <c r="D86" s="10" t="s">
        <v>173</v>
      </c>
      <c r="E86" s="911">
        <v>81600</v>
      </c>
    </row>
    <row r="87" customHeight="1" spans="1:5">
      <c r="A87" s="10">
        <v>8</v>
      </c>
      <c r="B87" s="11" t="s">
        <v>175</v>
      </c>
      <c r="C87" s="4" t="s">
        <v>176</v>
      </c>
      <c r="D87" s="15" t="s">
        <v>67</v>
      </c>
      <c r="E87" s="911">
        <v>108000</v>
      </c>
    </row>
    <row r="88" s="1" customFormat="1" customHeight="1" spans="1:5">
      <c r="A88" s="10">
        <v>9</v>
      </c>
      <c r="B88" s="14" t="s">
        <v>177</v>
      </c>
      <c r="C88" s="17" t="s">
        <v>178</v>
      </c>
      <c r="D88" s="10" t="s">
        <v>131</v>
      </c>
      <c r="E88" s="911">
        <v>81600</v>
      </c>
    </row>
    <row r="89" ht="21.6" customHeight="1" spans="1:5">
      <c r="A89" s="10">
        <v>10</v>
      </c>
      <c r="B89" s="11" t="s">
        <v>179</v>
      </c>
      <c r="C89" s="4" t="s">
        <v>72</v>
      </c>
      <c r="D89" s="10" t="s">
        <v>180</v>
      </c>
      <c r="E89" s="911">
        <v>81600</v>
      </c>
    </row>
    <row r="90" s="1" customFormat="1" ht="18.75" customHeight="1" spans="1:5">
      <c r="A90" s="10">
        <v>11</v>
      </c>
      <c r="B90" s="18" t="s">
        <v>181</v>
      </c>
      <c r="C90" s="4" t="s">
        <v>182</v>
      </c>
      <c r="D90" s="10" t="s">
        <v>99</v>
      </c>
      <c r="E90" s="911">
        <v>64800</v>
      </c>
    </row>
    <row r="91" ht="27" customHeight="1" spans="1:5">
      <c r="A91" s="10"/>
      <c r="B91" s="20" t="s">
        <v>120</v>
      </c>
      <c r="C91" s="21">
        <v>11</v>
      </c>
      <c r="D91" s="21"/>
      <c r="E91" s="915">
        <f>SUM(E80:E90)</f>
        <v>1255200</v>
      </c>
    </row>
    <row r="92" customHeight="1" spans="1:5">
      <c r="A92" s="10"/>
      <c r="B92" s="22"/>
      <c r="C92" s="21"/>
      <c r="D92" s="21"/>
      <c r="E92" s="916"/>
    </row>
    <row r="93" customHeight="1" spans="1:5">
      <c r="A93" s="10"/>
      <c r="B93" s="20" t="s">
        <v>183</v>
      </c>
      <c r="C93" s="21"/>
      <c r="D93" s="21"/>
      <c r="E93" s="916"/>
    </row>
    <row r="94" customHeight="1" spans="1:5">
      <c r="A94" s="10">
        <v>1</v>
      </c>
      <c r="B94" s="11" t="s">
        <v>184</v>
      </c>
      <c r="C94" s="4" t="s">
        <v>185</v>
      </c>
      <c r="D94" s="10" t="s">
        <v>124</v>
      </c>
      <c r="E94" s="911">
        <v>324000</v>
      </c>
    </row>
    <row r="95" customHeight="1" spans="1:5">
      <c r="A95" s="10">
        <v>2</v>
      </c>
      <c r="B95" s="11" t="s">
        <v>186</v>
      </c>
      <c r="C95" s="4" t="s">
        <v>187</v>
      </c>
      <c r="D95" s="10" t="s">
        <v>50</v>
      </c>
      <c r="E95" s="911">
        <v>151200</v>
      </c>
    </row>
    <row r="96" customHeight="1" spans="1:5">
      <c r="A96" s="10">
        <v>3</v>
      </c>
      <c r="B96" s="11" t="s">
        <v>188</v>
      </c>
      <c r="C96" s="4" t="s">
        <v>189</v>
      </c>
      <c r="D96" s="10" t="s">
        <v>50</v>
      </c>
      <c r="E96" s="911">
        <v>151200</v>
      </c>
    </row>
    <row r="97" customHeight="1" spans="1:5">
      <c r="A97" s="10">
        <v>4</v>
      </c>
      <c r="B97" s="11" t="s">
        <v>190</v>
      </c>
      <c r="C97" s="4" t="s">
        <v>191</v>
      </c>
      <c r="D97" s="15" t="s">
        <v>192</v>
      </c>
      <c r="E97" s="911">
        <v>108000</v>
      </c>
    </row>
    <row r="98" customHeight="1" spans="1:5">
      <c r="A98" s="10">
        <v>5</v>
      </c>
      <c r="B98" s="11" t="s">
        <v>193</v>
      </c>
      <c r="C98" s="12" t="s">
        <v>194</v>
      </c>
      <c r="D98" s="15" t="s">
        <v>64</v>
      </c>
      <c r="E98" s="911">
        <v>108000</v>
      </c>
    </row>
    <row r="99" s="1" customFormat="1" customHeight="1" spans="1:5">
      <c r="A99" s="10">
        <v>6</v>
      </c>
      <c r="B99" s="11" t="s">
        <v>195</v>
      </c>
      <c r="C99" s="4" t="s">
        <v>196</v>
      </c>
      <c r="D99" s="15" t="s">
        <v>64</v>
      </c>
      <c r="E99" s="911">
        <v>108000</v>
      </c>
    </row>
    <row r="100" customHeight="1" spans="1:5">
      <c r="A100" s="10">
        <v>7</v>
      </c>
      <c r="B100" s="11" t="s">
        <v>197</v>
      </c>
      <c r="C100" s="4" t="s">
        <v>198</v>
      </c>
      <c r="D100" s="10" t="s">
        <v>70</v>
      </c>
      <c r="E100" s="911">
        <v>81600</v>
      </c>
    </row>
    <row r="101" s="1" customFormat="1" customHeight="1" spans="1:5">
      <c r="A101" s="10">
        <v>8</v>
      </c>
      <c r="B101" s="11" t="s">
        <v>199</v>
      </c>
      <c r="C101" s="4" t="s">
        <v>200</v>
      </c>
      <c r="D101" s="10" t="s">
        <v>75</v>
      </c>
      <c r="E101" s="911">
        <v>81600</v>
      </c>
    </row>
    <row r="102" customHeight="1" spans="1:5">
      <c r="A102" s="10">
        <v>9</v>
      </c>
      <c r="B102" s="11" t="s">
        <v>201</v>
      </c>
      <c r="C102" s="4" t="s">
        <v>182</v>
      </c>
      <c r="D102" s="10" t="s">
        <v>86</v>
      </c>
      <c r="E102" s="911">
        <v>64800</v>
      </c>
    </row>
    <row r="103" s="1" customFormat="1" ht="18.75" customHeight="1" spans="1:5">
      <c r="A103" s="10">
        <v>10</v>
      </c>
      <c r="B103" s="18" t="s">
        <v>202</v>
      </c>
      <c r="C103" s="4" t="s">
        <v>182</v>
      </c>
      <c r="D103" s="10" t="s">
        <v>99</v>
      </c>
      <c r="E103" s="911">
        <v>64800</v>
      </c>
    </row>
    <row r="104" customHeight="1" spans="1:5">
      <c r="A104" s="10">
        <v>11</v>
      </c>
      <c r="B104" s="11" t="s">
        <v>203</v>
      </c>
      <c r="C104" s="4" t="s">
        <v>204</v>
      </c>
      <c r="D104" s="10" t="s">
        <v>105</v>
      </c>
      <c r="E104" s="911">
        <v>64800</v>
      </c>
    </row>
    <row r="105" customHeight="1" spans="1:5">
      <c r="A105" s="10"/>
      <c r="B105" s="20" t="s">
        <v>120</v>
      </c>
      <c r="C105" s="21">
        <v>11</v>
      </c>
      <c r="D105" s="21"/>
      <c r="E105" s="915">
        <f>SUM(E94:E104)</f>
        <v>1308000</v>
      </c>
    </row>
    <row r="106" customHeight="1" spans="1:5">
      <c r="A106" s="10"/>
      <c r="B106" s="20"/>
      <c r="C106" s="21"/>
      <c r="D106" s="21"/>
      <c r="E106" s="916"/>
    </row>
    <row r="107" customHeight="1" spans="1:5">
      <c r="A107" s="10"/>
      <c r="B107" s="20" t="s">
        <v>205</v>
      </c>
      <c r="C107" s="25"/>
      <c r="D107" s="21"/>
      <c r="E107" s="916"/>
    </row>
    <row r="108" customHeight="1" spans="1:5">
      <c r="A108" s="10">
        <v>1</v>
      </c>
      <c r="B108" s="11" t="s">
        <v>206</v>
      </c>
      <c r="C108" s="4" t="s">
        <v>207</v>
      </c>
      <c r="D108" s="10" t="s">
        <v>140</v>
      </c>
      <c r="E108" s="911">
        <v>324000</v>
      </c>
    </row>
    <row r="109" customHeight="1" spans="1:5">
      <c r="A109" s="10">
        <v>2</v>
      </c>
      <c r="B109" s="11" t="s">
        <v>208</v>
      </c>
      <c r="C109" s="4" t="s">
        <v>209</v>
      </c>
      <c r="D109" s="10" t="s">
        <v>210</v>
      </c>
      <c r="E109" s="911">
        <v>216000</v>
      </c>
    </row>
    <row r="110" ht="21.6" customHeight="1" spans="1:5">
      <c r="A110" s="10">
        <v>3</v>
      </c>
      <c r="B110" s="11" t="s">
        <v>211</v>
      </c>
      <c r="C110" s="4" t="s">
        <v>52</v>
      </c>
      <c r="D110" s="15" t="s">
        <v>47</v>
      </c>
      <c r="E110" s="911">
        <v>108000</v>
      </c>
    </row>
    <row r="111" ht="21.6" customHeight="1" spans="1:5">
      <c r="A111" s="10">
        <v>4</v>
      </c>
      <c r="B111" s="11" t="s">
        <v>212</v>
      </c>
      <c r="C111" s="4" t="s">
        <v>52</v>
      </c>
      <c r="D111" s="15" t="s">
        <v>47</v>
      </c>
      <c r="E111" s="911">
        <v>108000</v>
      </c>
    </row>
    <row r="112" ht="21.6" customHeight="1" spans="1:5">
      <c r="A112" s="10">
        <v>5</v>
      </c>
      <c r="B112" s="11" t="s">
        <v>213</v>
      </c>
      <c r="C112" s="12" t="s">
        <v>52</v>
      </c>
      <c r="D112" s="15" t="s">
        <v>214</v>
      </c>
      <c r="E112" s="911">
        <v>108000</v>
      </c>
    </row>
    <row r="113" ht="21.6" customHeight="1" spans="1:5">
      <c r="A113" s="10">
        <v>6</v>
      </c>
      <c r="B113" s="11" t="s">
        <v>215</v>
      </c>
      <c r="C113" s="17" t="s">
        <v>72</v>
      </c>
      <c r="D113" s="15" t="s">
        <v>173</v>
      </c>
      <c r="E113" s="911">
        <v>81600</v>
      </c>
    </row>
    <row r="114" ht="21.6" customHeight="1" spans="1:5">
      <c r="A114" s="10">
        <v>7</v>
      </c>
      <c r="B114" s="11" t="s">
        <v>216</v>
      </c>
      <c r="C114" s="17" t="s">
        <v>217</v>
      </c>
      <c r="D114" s="15" t="s">
        <v>218</v>
      </c>
      <c r="E114" s="911">
        <v>108000</v>
      </c>
    </row>
    <row r="115" s="1" customFormat="1" customHeight="1" spans="1:5">
      <c r="A115" s="10">
        <v>8</v>
      </c>
      <c r="B115" s="18" t="s">
        <v>219</v>
      </c>
      <c r="C115" s="4" t="s">
        <v>150</v>
      </c>
      <c r="D115" s="15" t="s">
        <v>131</v>
      </c>
      <c r="E115" s="922">
        <v>81600</v>
      </c>
    </row>
    <row r="116" ht="21.6" customHeight="1" spans="1:5">
      <c r="A116" s="10">
        <v>9</v>
      </c>
      <c r="B116" s="11" t="s">
        <v>220</v>
      </c>
      <c r="C116" s="4" t="s">
        <v>221</v>
      </c>
      <c r="D116" s="10" t="s">
        <v>153</v>
      </c>
      <c r="E116" s="922">
        <v>81600</v>
      </c>
    </row>
    <row r="117" s="1" customFormat="1" ht="18.75" customHeight="1" spans="1:5">
      <c r="A117" s="10">
        <v>10</v>
      </c>
      <c r="B117" s="18" t="s">
        <v>222</v>
      </c>
      <c r="C117" s="4" t="s">
        <v>152</v>
      </c>
      <c r="D117" s="10" t="s">
        <v>99</v>
      </c>
      <c r="E117" s="911">
        <v>64800</v>
      </c>
    </row>
    <row r="118" s="1" customFormat="1" ht="18.75" customHeight="1" spans="1:5">
      <c r="A118" s="10">
        <v>11</v>
      </c>
      <c r="B118" s="18" t="s">
        <v>223</v>
      </c>
      <c r="C118" s="4" t="s">
        <v>152</v>
      </c>
      <c r="D118" s="10" t="s">
        <v>99</v>
      </c>
      <c r="E118" s="911">
        <v>64800</v>
      </c>
    </row>
    <row r="119" ht="21.6" customHeight="1" spans="1:5">
      <c r="A119" s="10">
        <v>12</v>
      </c>
      <c r="B119" s="11" t="s">
        <v>224</v>
      </c>
      <c r="C119" s="4" t="s">
        <v>152</v>
      </c>
      <c r="D119" s="15" t="s">
        <v>225</v>
      </c>
      <c r="E119" s="911">
        <v>64800</v>
      </c>
    </row>
    <row r="120" customHeight="1" spans="1:5">
      <c r="A120" s="10"/>
      <c r="B120" s="20" t="s">
        <v>120</v>
      </c>
      <c r="C120" s="21">
        <v>12</v>
      </c>
      <c r="D120" s="21"/>
      <c r="E120" s="915">
        <f>SUM(E108:E119)</f>
        <v>1411200</v>
      </c>
    </row>
    <row r="121" customHeight="1" spans="1:5">
      <c r="A121" s="10"/>
      <c r="B121" s="22"/>
      <c r="C121" s="21"/>
      <c r="D121" s="21"/>
      <c r="E121" s="916"/>
    </row>
    <row r="122" customHeight="1" spans="1:5">
      <c r="A122" s="10"/>
      <c r="B122" s="20" t="s">
        <v>226</v>
      </c>
      <c r="C122" s="21"/>
      <c r="D122" s="21"/>
      <c r="E122" s="916"/>
    </row>
    <row r="123" customHeight="1" spans="1:5">
      <c r="A123" s="10">
        <v>1</v>
      </c>
      <c r="B123" s="14" t="s">
        <v>227</v>
      </c>
      <c r="C123" s="4" t="s">
        <v>228</v>
      </c>
      <c r="D123" s="16" t="s">
        <v>124</v>
      </c>
      <c r="E123" s="911">
        <v>324000</v>
      </c>
    </row>
    <row r="124" customHeight="1" spans="1:5">
      <c r="A124" s="10">
        <v>2</v>
      </c>
      <c r="B124" s="11" t="s">
        <v>229</v>
      </c>
      <c r="C124" s="4" t="s">
        <v>230</v>
      </c>
      <c r="D124" s="15" t="s">
        <v>192</v>
      </c>
      <c r="E124" s="911">
        <v>108000</v>
      </c>
    </row>
    <row r="125" customHeight="1" spans="1:5">
      <c r="A125" s="10">
        <v>3</v>
      </c>
      <c r="B125" s="11" t="s">
        <v>231</v>
      </c>
      <c r="C125" s="12" t="s">
        <v>232</v>
      </c>
      <c r="D125" s="15" t="s">
        <v>218</v>
      </c>
      <c r="E125" s="911">
        <v>108000</v>
      </c>
    </row>
    <row r="126" s="1" customFormat="1" customHeight="1" spans="1:5">
      <c r="A126" s="10">
        <v>4</v>
      </c>
      <c r="B126" s="11" t="s">
        <v>233</v>
      </c>
      <c r="C126" s="4" t="s">
        <v>234</v>
      </c>
      <c r="D126" s="15" t="s">
        <v>64</v>
      </c>
      <c r="E126" s="911">
        <v>108000</v>
      </c>
    </row>
    <row r="127" customHeight="1" spans="1:5">
      <c r="A127" s="10">
        <v>5</v>
      </c>
      <c r="B127" s="11" t="s">
        <v>235</v>
      </c>
      <c r="C127" s="4" t="s">
        <v>234</v>
      </c>
      <c r="D127" s="15" t="s">
        <v>64</v>
      </c>
      <c r="E127" s="911">
        <v>108000</v>
      </c>
    </row>
    <row r="128" customHeight="1" spans="1:5">
      <c r="A128" s="10">
        <v>6</v>
      </c>
      <c r="B128" s="11" t="s">
        <v>236</v>
      </c>
      <c r="C128" s="4" t="s">
        <v>200</v>
      </c>
      <c r="D128" s="15" t="s">
        <v>153</v>
      </c>
      <c r="E128" s="922">
        <v>81600</v>
      </c>
    </row>
    <row r="129" s="1" customFormat="1" customHeight="1" spans="1:5">
      <c r="A129" s="10">
        <v>7</v>
      </c>
      <c r="B129" s="18" t="s">
        <v>237</v>
      </c>
      <c r="C129" s="12" t="s">
        <v>238</v>
      </c>
      <c r="D129" s="15" t="s">
        <v>75</v>
      </c>
      <c r="E129" s="922">
        <v>81600</v>
      </c>
    </row>
    <row r="130" customHeight="1" spans="1:5">
      <c r="A130" s="4"/>
      <c r="B130" s="20" t="s">
        <v>120</v>
      </c>
      <c r="C130" s="21">
        <v>7</v>
      </c>
      <c r="D130" s="26"/>
      <c r="E130" s="915">
        <f>SUM(E123:E129)</f>
        <v>919200</v>
      </c>
    </row>
    <row r="131" customHeight="1" spans="1:5">
      <c r="A131" s="4"/>
      <c r="B131" s="22"/>
      <c r="C131" s="21"/>
      <c r="D131" s="26"/>
      <c r="E131" s="916"/>
    </row>
    <row r="132" customHeight="1" spans="1:5">
      <c r="A132" s="4"/>
      <c r="B132" s="20" t="s">
        <v>239</v>
      </c>
      <c r="C132" s="4"/>
      <c r="D132" s="4"/>
      <c r="E132" s="917"/>
    </row>
    <row r="133" customHeight="1" spans="1:5">
      <c r="A133" s="4">
        <v>1</v>
      </c>
      <c r="B133" s="11" t="s">
        <v>240</v>
      </c>
      <c r="C133" s="12" t="s">
        <v>241</v>
      </c>
      <c r="D133" s="15" t="s">
        <v>124</v>
      </c>
      <c r="E133" s="911">
        <v>324000</v>
      </c>
    </row>
    <row r="134" customHeight="1" spans="1:5">
      <c r="A134" s="4">
        <v>2</v>
      </c>
      <c r="B134" s="11" t="s">
        <v>242</v>
      </c>
      <c r="C134" s="4" t="s">
        <v>243</v>
      </c>
      <c r="D134" s="16" t="s">
        <v>36</v>
      </c>
      <c r="E134" s="911">
        <v>216000</v>
      </c>
    </row>
    <row r="135" customHeight="1" spans="1:5">
      <c r="A135" s="4">
        <v>3</v>
      </c>
      <c r="B135" s="11" t="s">
        <v>244</v>
      </c>
      <c r="C135" s="4" t="s">
        <v>245</v>
      </c>
      <c r="D135" s="10" t="s">
        <v>214</v>
      </c>
      <c r="E135" s="911">
        <v>108000</v>
      </c>
    </row>
    <row r="136" customHeight="1" spans="1:5">
      <c r="A136" s="4">
        <v>4</v>
      </c>
      <c r="B136" s="11" t="s">
        <v>246</v>
      </c>
      <c r="C136" s="4" t="s">
        <v>245</v>
      </c>
      <c r="D136" s="10" t="s">
        <v>214</v>
      </c>
      <c r="E136" s="911">
        <v>108000</v>
      </c>
    </row>
    <row r="137" s="1" customFormat="1" customHeight="1" spans="1:5">
      <c r="A137" s="4">
        <v>5</v>
      </c>
      <c r="B137" s="18" t="s">
        <v>247</v>
      </c>
      <c r="C137" s="4" t="s">
        <v>248</v>
      </c>
      <c r="D137" s="15" t="s">
        <v>131</v>
      </c>
      <c r="E137" s="922">
        <v>81600</v>
      </c>
    </row>
    <row r="138" customHeight="1" spans="1:5">
      <c r="A138" s="4">
        <v>6</v>
      </c>
      <c r="B138" s="11" t="s">
        <v>249</v>
      </c>
      <c r="C138" s="4" t="s">
        <v>250</v>
      </c>
      <c r="D138" s="15" t="s">
        <v>251</v>
      </c>
      <c r="E138" s="922">
        <v>64800</v>
      </c>
    </row>
    <row r="139" customHeight="1" spans="1:5">
      <c r="A139" s="4">
        <v>7</v>
      </c>
      <c r="B139" s="18" t="s">
        <v>252</v>
      </c>
      <c r="C139" s="4" t="s">
        <v>250</v>
      </c>
      <c r="D139" s="10" t="s">
        <v>99</v>
      </c>
      <c r="E139" s="922">
        <v>64800</v>
      </c>
    </row>
    <row r="140" customHeight="1" spans="1:5">
      <c r="A140" s="4">
        <v>8</v>
      </c>
      <c r="B140" s="18" t="s">
        <v>253</v>
      </c>
      <c r="C140" s="4" t="s">
        <v>250</v>
      </c>
      <c r="D140" s="15" t="s">
        <v>105</v>
      </c>
      <c r="E140" s="922">
        <v>64800</v>
      </c>
    </row>
    <row r="141" s="1" customFormat="1" customHeight="1" spans="1:5">
      <c r="A141" s="4">
        <v>9</v>
      </c>
      <c r="B141" s="18" t="s">
        <v>254</v>
      </c>
      <c r="C141" s="4" t="s">
        <v>250</v>
      </c>
      <c r="D141" s="15" t="s">
        <v>111</v>
      </c>
      <c r="E141" s="922">
        <v>64800</v>
      </c>
    </row>
    <row r="142" s="1" customFormat="1" customHeight="1" spans="1:5">
      <c r="A142" s="4">
        <v>10</v>
      </c>
      <c r="B142" s="18" t="s">
        <v>255</v>
      </c>
      <c r="C142" s="4" t="s">
        <v>250</v>
      </c>
      <c r="D142" s="15" t="s">
        <v>111</v>
      </c>
      <c r="E142" s="922">
        <v>64800</v>
      </c>
    </row>
    <row r="143" s="1" customFormat="1" customHeight="1" spans="1:5">
      <c r="A143" s="4">
        <v>11</v>
      </c>
      <c r="B143" s="18" t="s">
        <v>256</v>
      </c>
      <c r="C143" s="4" t="s">
        <v>250</v>
      </c>
      <c r="D143" s="15" t="s">
        <v>111</v>
      </c>
      <c r="E143" s="922">
        <v>64800</v>
      </c>
    </row>
    <row r="144" ht="25.5" customHeight="1" spans="1:5">
      <c r="A144" s="4"/>
      <c r="B144" s="20" t="s">
        <v>120</v>
      </c>
      <c r="C144" s="21">
        <v>11</v>
      </c>
      <c r="D144" s="4"/>
      <c r="E144" s="918">
        <f>SUM(E133:E143)</f>
        <v>1226400</v>
      </c>
    </row>
    <row r="145" customHeight="1" spans="1:5">
      <c r="A145" s="4"/>
      <c r="B145" s="20"/>
      <c r="C145" s="21"/>
      <c r="D145" s="4"/>
      <c r="E145" s="918"/>
    </row>
    <row r="146" customHeight="1" spans="1:5">
      <c r="A146" s="10"/>
      <c r="B146" s="20" t="s">
        <v>257</v>
      </c>
      <c r="C146" s="21"/>
      <c r="D146" s="21"/>
      <c r="E146" s="916"/>
    </row>
    <row r="147" s="1" customFormat="1" customHeight="1" spans="1:5">
      <c r="A147" s="10">
        <v>1</v>
      </c>
      <c r="B147" s="11" t="s">
        <v>258</v>
      </c>
      <c r="C147" s="17" t="s">
        <v>145</v>
      </c>
      <c r="D147" s="10" t="s">
        <v>50</v>
      </c>
      <c r="E147" s="911">
        <v>151200</v>
      </c>
    </row>
    <row r="148" ht="18.75" customHeight="1" spans="1:5">
      <c r="A148" s="10">
        <v>2</v>
      </c>
      <c r="B148" s="11" t="s">
        <v>259</v>
      </c>
      <c r="C148" s="4" t="s">
        <v>260</v>
      </c>
      <c r="D148" s="15" t="s">
        <v>261</v>
      </c>
      <c r="E148" s="911">
        <v>81600</v>
      </c>
    </row>
    <row r="149" s="1" customFormat="1" ht="18.75" customHeight="1" spans="1:5">
      <c r="A149" s="10">
        <v>4</v>
      </c>
      <c r="B149" s="18" t="s">
        <v>262</v>
      </c>
      <c r="C149" s="4" t="s">
        <v>152</v>
      </c>
      <c r="D149" s="10" t="s">
        <v>99</v>
      </c>
      <c r="E149" s="911">
        <v>64800</v>
      </c>
    </row>
    <row r="150" s="1" customFormat="1" ht="18.75" customHeight="1" spans="1:5">
      <c r="A150" s="10">
        <v>5</v>
      </c>
      <c r="B150" s="18" t="s">
        <v>263</v>
      </c>
      <c r="C150" s="4" t="s">
        <v>152</v>
      </c>
      <c r="D150" s="10" t="s">
        <v>99</v>
      </c>
      <c r="E150" s="911">
        <v>64800</v>
      </c>
    </row>
    <row r="151" s="1" customFormat="1" ht="18.75" customHeight="1" spans="1:5">
      <c r="A151" s="10">
        <v>6</v>
      </c>
      <c r="B151" s="18" t="s">
        <v>264</v>
      </c>
      <c r="C151" s="4" t="s">
        <v>152</v>
      </c>
      <c r="D151" s="10" t="s">
        <v>99</v>
      </c>
      <c r="E151" s="911">
        <v>64800</v>
      </c>
    </row>
    <row r="152" s="1" customFormat="1" ht="18.75" customHeight="1" spans="1:5">
      <c r="A152" s="10">
        <v>7</v>
      </c>
      <c r="B152" s="18" t="s">
        <v>265</v>
      </c>
      <c r="C152" s="4" t="s">
        <v>152</v>
      </c>
      <c r="D152" s="10" t="s">
        <v>99</v>
      </c>
      <c r="E152" s="911">
        <v>64800</v>
      </c>
    </row>
    <row r="153" s="1" customFormat="1" customHeight="1" spans="1:5">
      <c r="A153" s="10">
        <v>8</v>
      </c>
      <c r="B153" s="18" t="s">
        <v>266</v>
      </c>
      <c r="C153" s="12" t="s">
        <v>267</v>
      </c>
      <c r="D153" s="15" t="s">
        <v>111</v>
      </c>
      <c r="E153" s="911">
        <v>64800</v>
      </c>
    </row>
    <row r="154" ht="24.75" customHeight="1" spans="1:5">
      <c r="A154" s="4"/>
      <c r="B154" s="20" t="s">
        <v>120</v>
      </c>
      <c r="C154" s="21">
        <v>8</v>
      </c>
      <c r="D154" s="26"/>
      <c r="E154" s="915">
        <f>SUM(E147:E153)</f>
        <v>556800</v>
      </c>
    </row>
    <row r="155" ht="24.75" customHeight="1" spans="1:5">
      <c r="A155" s="4"/>
      <c r="B155" s="20"/>
      <c r="C155" s="21"/>
      <c r="D155" s="26"/>
      <c r="E155" s="915"/>
    </row>
    <row r="156" ht="24.75" customHeight="1" spans="1:5">
      <c r="A156" s="10"/>
      <c r="B156" s="20" t="s">
        <v>268</v>
      </c>
      <c r="C156" s="21"/>
      <c r="D156" s="21"/>
      <c r="E156" s="916"/>
    </row>
    <row r="157" s="1" customFormat="1" ht="18.75" customHeight="1" spans="1:5">
      <c r="A157" s="4">
        <v>1</v>
      </c>
      <c r="B157" s="18" t="s">
        <v>269</v>
      </c>
      <c r="C157" s="4" t="s">
        <v>270</v>
      </c>
      <c r="D157" s="10" t="s">
        <v>99</v>
      </c>
      <c r="E157" s="911">
        <v>64800</v>
      </c>
    </row>
    <row r="158" ht="24.75" customHeight="1" spans="1:5">
      <c r="A158" s="4">
        <v>2</v>
      </c>
      <c r="B158" s="11" t="s">
        <v>271</v>
      </c>
      <c r="C158" s="4" t="s">
        <v>272</v>
      </c>
      <c r="D158" s="10" t="s">
        <v>111</v>
      </c>
      <c r="E158" s="911">
        <v>64800</v>
      </c>
    </row>
    <row r="159" s="1" customFormat="1" customHeight="1" spans="1:5">
      <c r="A159" s="4">
        <v>3</v>
      </c>
      <c r="B159" s="18" t="s">
        <v>273</v>
      </c>
      <c r="C159" s="12" t="s">
        <v>274</v>
      </c>
      <c r="D159" s="15" t="s">
        <v>275</v>
      </c>
      <c r="E159" s="911">
        <v>64800</v>
      </c>
    </row>
    <row r="160" ht="24.75" customHeight="1" spans="1:5">
      <c r="A160" s="4">
        <v>4</v>
      </c>
      <c r="B160" s="11" t="s">
        <v>276</v>
      </c>
      <c r="C160" s="4" t="s">
        <v>277</v>
      </c>
      <c r="D160" s="10" t="s">
        <v>111</v>
      </c>
      <c r="E160" s="911">
        <v>64800</v>
      </c>
    </row>
    <row r="161" customHeight="1" spans="1:5">
      <c r="A161" s="4"/>
      <c r="B161" s="20" t="s">
        <v>120</v>
      </c>
      <c r="C161" s="21">
        <v>4</v>
      </c>
      <c r="D161" s="26"/>
      <c r="E161" s="915">
        <f>SUM(E157:E160)</f>
        <v>259200</v>
      </c>
    </row>
    <row r="162" customHeight="1" spans="1:5">
      <c r="A162" s="4"/>
      <c r="B162" s="20"/>
      <c r="C162" s="21"/>
      <c r="D162" s="26"/>
      <c r="E162" s="915"/>
    </row>
    <row r="163" customHeight="1" spans="1:5">
      <c r="A163" s="4"/>
      <c r="B163" s="20" t="s">
        <v>278</v>
      </c>
      <c r="C163" s="21"/>
      <c r="D163" s="21"/>
      <c r="E163" s="916"/>
    </row>
    <row r="164" customHeight="1" spans="1:5">
      <c r="A164" s="4">
        <v>1</v>
      </c>
      <c r="B164" s="11" t="s">
        <v>279</v>
      </c>
      <c r="C164" s="12" t="s">
        <v>280</v>
      </c>
      <c r="D164" s="15" t="s">
        <v>124</v>
      </c>
      <c r="E164" s="911">
        <v>324000</v>
      </c>
    </row>
    <row r="165" customHeight="1" spans="1:5">
      <c r="A165" s="4">
        <v>2</v>
      </c>
      <c r="B165" s="11" t="s">
        <v>281</v>
      </c>
      <c r="C165" s="12" t="s">
        <v>282</v>
      </c>
      <c r="D165" s="15" t="s">
        <v>36</v>
      </c>
      <c r="E165" s="911">
        <v>216000</v>
      </c>
    </row>
    <row r="166" customHeight="1" spans="1:5">
      <c r="A166" s="4">
        <v>3</v>
      </c>
      <c r="B166" s="14" t="s">
        <v>283</v>
      </c>
      <c r="C166" s="12" t="s">
        <v>282</v>
      </c>
      <c r="D166" s="15" t="s">
        <v>36</v>
      </c>
      <c r="E166" s="911">
        <v>216000</v>
      </c>
    </row>
    <row r="167" customHeight="1" spans="1:5">
      <c r="A167" s="4">
        <v>4</v>
      </c>
      <c r="B167" s="11" t="s">
        <v>284</v>
      </c>
      <c r="C167" s="12" t="s">
        <v>285</v>
      </c>
      <c r="D167" s="15" t="s">
        <v>50</v>
      </c>
      <c r="E167" s="911">
        <v>151200</v>
      </c>
    </row>
    <row r="168" customHeight="1" spans="1:5">
      <c r="A168" s="4">
        <v>5</v>
      </c>
      <c r="B168" s="11" t="s">
        <v>286</v>
      </c>
      <c r="C168" s="12" t="s">
        <v>285</v>
      </c>
      <c r="D168" s="15" t="s">
        <v>42</v>
      </c>
      <c r="E168" s="911">
        <v>151200</v>
      </c>
    </row>
    <row r="169" customHeight="1" spans="1:5">
      <c r="A169" s="4">
        <v>6</v>
      </c>
      <c r="B169" s="11" t="s">
        <v>287</v>
      </c>
      <c r="C169" s="12" t="s">
        <v>288</v>
      </c>
      <c r="D169" s="15" t="s">
        <v>47</v>
      </c>
      <c r="E169" s="911">
        <v>108000</v>
      </c>
    </row>
    <row r="170" customHeight="1" spans="1:5">
      <c r="A170" s="4">
        <v>7</v>
      </c>
      <c r="B170" s="11" t="s">
        <v>289</v>
      </c>
      <c r="C170" s="12" t="s">
        <v>288</v>
      </c>
      <c r="D170" s="15" t="s">
        <v>192</v>
      </c>
      <c r="E170" s="911">
        <v>108000</v>
      </c>
    </row>
    <row r="171" s="1" customFormat="1" customHeight="1" spans="1:5">
      <c r="A171" s="4">
        <v>8</v>
      </c>
      <c r="B171" s="18" t="s">
        <v>290</v>
      </c>
      <c r="C171" s="12" t="s">
        <v>291</v>
      </c>
      <c r="D171" s="15" t="s">
        <v>99</v>
      </c>
      <c r="E171" s="911">
        <v>64800</v>
      </c>
    </row>
    <row r="172" customHeight="1" spans="1:5">
      <c r="A172" s="4">
        <v>9</v>
      </c>
      <c r="B172" s="11" t="s">
        <v>292</v>
      </c>
      <c r="C172" s="4" t="s">
        <v>293</v>
      </c>
      <c r="D172" s="15" t="s">
        <v>81</v>
      </c>
      <c r="E172" s="911">
        <v>81600</v>
      </c>
    </row>
    <row r="173" customHeight="1" spans="1:5">
      <c r="A173" s="4">
        <v>10</v>
      </c>
      <c r="B173" s="18" t="s">
        <v>294</v>
      </c>
      <c r="C173" s="12" t="s">
        <v>295</v>
      </c>
      <c r="D173" s="15" t="s">
        <v>105</v>
      </c>
      <c r="E173" s="911">
        <v>64800</v>
      </c>
    </row>
    <row r="174" customHeight="1" spans="1:5">
      <c r="A174" s="4">
        <v>11</v>
      </c>
      <c r="B174" s="18" t="s">
        <v>296</v>
      </c>
      <c r="C174" s="12" t="s">
        <v>291</v>
      </c>
      <c r="D174" s="15" t="s">
        <v>105</v>
      </c>
      <c r="E174" s="911">
        <v>64800</v>
      </c>
    </row>
    <row r="175" customHeight="1" spans="1:5">
      <c r="A175" s="4">
        <v>12</v>
      </c>
      <c r="B175" s="18" t="s">
        <v>297</v>
      </c>
      <c r="C175" s="12" t="s">
        <v>295</v>
      </c>
      <c r="D175" s="15" t="s">
        <v>108</v>
      </c>
      <c r="E175" s="911">
        <v>64800</v>
      </c>
    </row>
    <row r="176" ht="28.5" customHeight="1" spans="1:5">
      <c r="A176" s="4"/>
      <c r="B176" s="20" t="s">
        <v>120</v>
      </c>
      <c r="C176" s="26" t="s">
        <v>298</v>
      </c>
      <c r="D176" s="15"/>
      <c r="E176" s="913">
        <f>SUM(E164:E175)</f>
        <v>1615200</v>
      </c>
    </row>
    <row r="177" customHeight="1" spans="1:5">
      <c r="A177" s="4"/>
      <c r="B177" s="22"/>
      <c r="C177" s="26"/>
      <c r="D177" s="15"/>
      <c r="E177" s="916"/>
    </row>
    <row r="178" customHeight="1" spans="1:5">
      <c r="A178" s="4"/>
      <c r="B178" s="20" t="s">
        <v>299</v>
      </c>
      <c r="C178" s="12"/>
      <c r="D178" s="15"/>
      <c r="E178" s="911"/>
    </row>
    <row r="179" customHeight="1" spans="1:5">
      <c r="A179" s="27">
        <v>1</v>
      </c>
      <c r="B179" s="14" t="s">
        <v>300</v>
      </c>
      <c r="C179" s="4" t="s">
        <v>301</v>
      </c>
      <c r="D179" s="10" t="s">
        <v>487</v>
      </c>
      <c r="E179" s="911">
        <v>324000</v>
      </c>
    </row>
    <row r="180" customHeight="1" spans="1:5">
      <c r="A180" s="27">
        <v>2</v>
      </c>
      <c r="B180" s="14" t="s">
        <v>302</v>
      </c>
      <c r="C180" s="4" t="s">
        <v>488</v>
      </c>
      <c r="D180" s="16" t="s">
        <v>36</v>
      </c>
      <c r="E180" s="911">
        <v>216000</v>
      </c>
    </row>
    <row r="181" customHeight="1" spans="1:5">
      <c r="A181" s="27">
        <v>3</v>
      </c>
      <c r="B181" s="11" t="s">
        <v>305</v>
      </c>
      <c r="C181" s="12" t="s">
        <v>306</v>
      </c>
      <c r="D181" s="15" t="s">
        <v>50</v>
      </c>
      <c r="E181" s="911">
        <v>151200</v>
      </c>
    </row>
    <row r="182" customHeight="1" spans="1:5">
      <c r="A182" s="27">
        <v>4</v>
      </c>
      <c r="B182" s="11" t="s">
        <v>307</v>
      </c>
      <c r="C182" s="4" t="s">
        <v>489</v>
      </c>
      <c r="D182" s="15" t="s">
        <v>50</v>
      </c>
      <c r="E182" s="911">
        <v>151200</v>
      </c>
    </row>
    <row r="183" customHeight="1" spans="1:5">
      <c r="A183" s="27">
        <v>5</v>
      </c>
      <c r="B183" s="11" t="s">
        <v>309</v>
      </c>
      <c r="C183" s="4" t="s">
        <v>489</v>
      </c>
      <c r="D183" s="15" t="s">
        <v>50</v>
      </c>
      <c r="E183" s="911">
        <v>151200</v>
      </c>
    </row>
    <row r="184" customHeight="1" spans="1:5">
      <c r="A184" s="27">
        <v>6</v>
      </c>
      <c r="B184" s="11" t="s">
        <v>310</v>
      </c>
      <c r="C184" s="4" t="s">
        <v>311</v>
      </c>
      <c r="D184" s="10" t="s">
        <v>53</v>
      </c>
      <c r="E184" s="911">
        <v>108000</v>
      </c>
    </row>
    <row r="185" customHeight="1" spans="1:5">
      <c r="A185" s="27">
        <v>7</v>
      </c>
      <c r="B185" s="11" t="s">
        <v>312</v>
      </c>
      <c r="C185" s="12" t="s">
        <v>232</v>
      </c>
      <c r="D185" s="15" t="s">
        <v>64</v>
      </c>
      <c r="E185" s="911">
        <v>108000</v>
      </c>
    </row>
    <row r="186" customHeight="1" spans="1:5">
      <c r="A186" s="27">
        <v>8</v>
      </c>
      <c r="B186" s="11" t="s">
        <v>313</v>
      </c>
      <c r="C186" s="4" t="s">
        <v>314</v>
      </c>
      <c r="D186" s="15" t="s">
        <v>64</v>
      </c>
      <c r="E186" s="911">
        <v>108000</v>
      </c>
    </row>
    <row r="187" customHeight="1" spans="1:5">
      <c r="A187" s="27">
        <v>9</v>
      </c>
      <c r="B187" s="11" t="s">
        <v>315</v>
      </c>
      <c r="C187" s="12" t="s">
        <v>316</v>
      </c>
      <c r="D187" s="15" t="s">
        <v>67</v>
      </c>
      <c r="E187" s="911">
        <v>108000</v>
      </c>
    </row>
    <row r="188" customHeight="1" spans="1:5">
      <c r="A188" s="27">
        <v>10</v>
      </c>
      <c r="B188" s="11" t="s">
        <v>317</v>
      </c>
      <c r="C188" s="12" t="s">
        <v>318</v>
      </c>
      <c r="D188" s="15" t="s">
        <v>173</v>
      </c>
      <c r="E188" s="911">
        <v>81600</v>
      </c>
    </row>
    <row r="189" customHeight="1" spans="1:5">
      <c r="A189" s="27">
        <v>11</v>
      </c>
      <c r="B189" s="18" t="s">
        <v>319</v>
      </c>
      <c r="C189" s="4" t="s">
        <v>320</v>
      </c>
      <c r="D189" s="15" t="s">
        <v>70</v>
      </c>
      <c r="E189" s="911">
        <v>81600</v>
      </c>
    </row>
    <row r="190" customHeight="1" spans="1:5">
      <c r="A190" s="27">
        <v>12</v>
      </c>
      <c r="B190" s="11" t="s">
        <v>321</v>
      </c>
      <c r="C190" s="4" t="s">
        <v>320</v>
      </c>
      <c r="D190" s="15" t="s">
        <v>131</v>
      </c>
      <c r="E190" s="911">
        <v>81600</v>
      </c>
    </row>
    <row r="191" customHeight="1" spans="1:5">
      <c r="A191" s="27">
        <v>13</v>
      </c>
      <c r="B191" s="11" t="s">
        <v>322</v>
      </c>
      <c r="C191" s="4" t="s">
        <v>320</v>
      </c>
      <c r="D191" s="15" t="s">
        <v>131</v>
      </c>
      <c r="E191" s="911">
        <v>81600</v>
      </c>
    </row>
    <row r="192" customHeight="1" spans="1:5">
      <c r="A192" s="27">
        <v>14</v>
      </c>
      <c r="B192" s="11" t="s">
        <v>323</v>
      </c>
      <c r="C192" s="4" t="s">
        <v>320</v>
      </c>
      <c r="D192" s="15" t="s">
        <v>131</v>
      </c>
      <c r="E192" s="911">
        <v>81600</v>
      </c>
    </row>
    <row r="193" customHeight="1" spans="1:5">
      <c r="A193" s="27">
        <v>15</v>
      </c>
      <c r="B193" s="11" t="s">
        <v>324</v>
      </c>
      <c r="C193" s="4" t="s">
        <v>320</v>
      </c>
      <c r="D193" s="15" t="s">
        <v>70</v>
      </c>
      <c r="E193" s="911">
        <v>81600</v>
      </c>
    </row>
    <row r="194" customHeight="1" spans="1:5">
      <c r="A194" s="27">
        <v>16</v>
      </c>
      <c r="B194" s="11" t="s">
        <v>325</v>
      </c>
      <c r="C194" s="12" t="s">
        <v>326</v>
      </c>
      <c r="D194" s="15" t="s">
        <v>153</v>
      </c>
      <c r="E194" s="911">
        <v>81600</v>
      </c>
    </row>
    <row r="195" customHeight="1" spans="1:5">
      <c r="A195" s="27">
        <v>17</v>
      </c>
      <c r="B195" s="11" t="s">
        <v>327</v>
      </c>
      <c r="C195" s="12" t="s">
        <v>328</v>
      </c>
      <c r="D195" s="10" t="s">
        <v>81</v>
      </c>
      <c r="E195" s="911">
        <v>81600</v>
      </c>
    </row>
    <row r="196" customHeight="1" spans="1:5">
      <c r="A196" s="27">
        <v>18</v>
      </c>
      <c r="B196" s="11" t="s">
        <v>329</v>
      </c>
      <c r="C196" s="4" t="s">
        <v>330</v>
      </c>
      <c r="D196" s="15" t="s">
        <v>131</v>
      </c>
      <c r="E196" s="911">
        <v>81600</v>
      </c>
    </row>
    <row r="197" customHeight="1" spans="1:5">
      <c r="A197" s="27">
        <v>19</v>
      </c>
      <c r="B197" s="11" t="s">
        <v>331</v>
      </c>
      <c r="C197" s="4" t="s">
        <v>332</v>
      </c>
      <c r="D197" s="15" t="s">
        <v>75</v>
      </c>
      <c r="E197" s="911">
        <v>81600</v>
      </c>
    </row>
    <row r="198" customHeight="1" spans="1:5">
      <c r="A198" s="27">
        <v>20</v>
      </c>
      <c r="B198" s="11" t="s">
        <v>333</v>
      </c>
      <c r="C198" s="4" t="s">
        <v>330</v>
      </c>
      <c r="D198" s="15" t="s">
        <v>131</v>
      </c>
      <c r="E198" s="911">
        <v>81600</v>
      </c>
    </row>
    <row r="199" customHeight="1" spans="1:5">
      <c r="A199" s="27">
        <v>21</v>
      </c>
      <c r="B199" s="11" t="s">
        <v>334</v>
      </c>
      <c r="C199" s="4" t="s">
        <v>335</v>
      </c>
      <c r="D199" s="15" t="s">
        <v>81</v>
      </c>
      <c r="E199" s="911">
        <v>81600</v>
      </c>
    </row>
    <row r="200" customHeight="1" spans="1:5">
      <c r="A200" s="27">
        <v>22</v>
      </c>
      <c r="B200" s="18" t="s">
        <v>336</v>
      </c>
      <c r="C200" s="12" t="s">
        <v>337</v>
      </c>
      <c r="D200" s="15" t="s">
        <v>86</v>
      </c>
      <c r="E200" s="922">
        <v>64800</v>
      </c>
    </row>
    <row r="201" customHeight="1" spans="1:5">
      <c r="A201" s="27">
        <v>23</v>
      </c>
      <c r="B201" s="18" t="s">
        <v>338</v>
      </c>
      <c r="C201" s="12" t="s">
        <v>337</v>
      </c>
      <c r="D201" s="15" t="s">
        <v>86</v>
      </c>
      <c r="E201" s="922">
        <v>64800</v>
      </c>
    </row>
    <row r="202" s="1" customFormat="1" ht="18.75" customHeight="1" spans="1:5">
      <c r="A202" s="27">
        <v>24</v>
      </c>
      <c r="B202" s="18" t="s">
        <v>339</v>
      </c>
      <c r="C202" s="4" t="s">
        <v>340</v>
      </c>
      <c r="D202" s="10" t="s">
        <v>99</v>
      </c>
      <c r="E202" s="922">
        <v>64800</v>
      </c>
    </row>
    <row r="203" s="1" customFormat="1" customHeight="1" spans="1:5">
      <c r="A203" s="27">
        <v>25</v>
      </c>
      <c r="B203" s="18" t="s">
        <v>341</v>
      </c>
      <c r="C203" s="12" t="s">
        <v>342</v>
      </c>
      <c r="D203" s="10" t="s">
        <v>225</v>
      </c>
      <c r="E203" s="922">
        <v>64800</v>
      </c>
    </row>
    <row r="204" customHeight="1" spans="1:5">
      <c r="A204" s="27">
        <v>26</v>
      </c>
      <c r="B204" s="18" t="s">
        <v>343</v>
      </c>
      <c r="C204" s="12" t="s">
        <v>344</v>
      </c>
      <c r="D204" s="15" t="s">
        <v>105</v>
      </c>
      <c r="E204" s="922">
        <v>64800</v>
      </c>
    </row>
    <row r="205" customHeight="1" spans="1:5">
      <c r="A205" s="27">
        <v>27</v>
      </c>
      <c r="B205" s="18" t="s">
        <v>345</v>
      </c>
      <c r="C205" s="12" t="s">
        <v>346</v>
      </c>
      <c r="D205" s="15" t="s">
        <v>105</v>
      </c>
      <c r="E205" s="922">
        <v>64800</v>
      </c>
    </row>
    <row r="206" customHeight="1" spans="1:5">
      <c r="A206" s="27">
        <v>28</v>
      </c>
      <c r="B206" s="18" t="s">
        <v>347</v>
      </c>
      <c r="C206" s="12" t="s">
        <v>348</v>
      </c>
      <c r="D206" s="15" t="s">
        <v>105</v>
      </c>
      <c r="E206" s="922">
        <v>64800</v>
      </c>
    </row>
    <row r="207" customHeight="1" spans="1:5">
      <c r="A207" s="27">
        <v>29</v>
      </c>
      <c r="B207" s="18" t="s">
        <v>349</v>
      </c>
      <c r="C207" s="4" t="s">
        <v>88</v>
      </c>
      <c r="D207" s="10" t="s">
        <v>225</v>
      </c>
      <c r="E207" s="922">
        <v>64800</v>
      </c>
    </row>
    <row r="208" customHeight="1" spans="1:5">
      <c r="A208" s="27">
        <v>30</v>
      </c>
      <c r="B208" s="18" t="s">
        <v>350</v>
      </c>
      <c r="C208" s="12" t="s">
        <v>346</v>
      </c>
      <c r="D208" s="15" t="s">
        <v>105</v>
      </c>
      <c r="E208" s="922">
        <v>64800</v>
      </c>
    </row>
    <row r="209" customHeight="1" spans="1:6">
      <c r="A209" s="27">
        <v>31</v>
      </c>
      <c r="B209" s="18" t="s">
        <v>351</v>
      </c>
      <c r="C209" s="12" t="s">
        <v>352</v>
      </c>
      <c r="D209" s="15" t="s">
        <v>108</v>
      </c>
      <c r="E209" s="922">
        <v>64800</v>
      </c>
    </row>
    <row r="210" customHeight="1" spans="1:6">
      <c r="A210" s="27">
        <v>32</v>
      </c>
      <c r="B210" s="18" t="s">
        <v>353</v>
      </c>
      <c r="C210" s="12" t="s">
        <v>352</v>
      </c>
      <c r="D210" s="15" t="s">
        <v>108</v>
      </c>
      <c r="E210" s="922">
        <v>64800</v>
      </c>
    </row>
    <row r="211" s="1" customFormat="1" customHeight="1" spans="1:6">
      <c r="A211" s="27">
        <v>33</v>
      </c>
      <c r="B211" s="18" t="s">
        <v>354</v>
      </c>
      <c r="C211" s="12" t="s">
        <v>342</v>
      </c>
      <c r="D211" s="15" t="s">
        <v>111</v>
      </c>
      <c r="E211" s="922">
        <v>64800</v>
      </c>
    </row>
    <row r="212" s="1" customFormat="1" customHeight="1" spans="1:6">
      <c r="A212" s="27">
        <v>34</v>
      </c>
      <c r="B212" s="18" t="s">
        <v>355</v>
      </c>
      <c r="C212" s="12" t="s">
        <v>342</v>
      </c>
      <c r="D212" s="15" t="s">
        <v>111</v>
      </c>
      <c r="E212" s="922">
        <v>64800</v>
      </c>
    </row>
    <row r="213" s="1" customFormat="1" customHeight="1" spans="1:6">
      <c r="A213" s="27">
        <v>35</v>
      </c>
      <c r="B213" s="18" t="s">
        <v>356</v>
      </c>
      <c r="C213" s="12" t="s">
        <v>342</v>
      </c>
      <c r="D213" s="15" t="s">
        <v>111</v>
      </c>
      <c r="E213" s="922">
        <v>64800</v>
      </c>
    </row>
    <row r="214" s="1" customFormat="1" customHeight="1" spans="1:6">
      <c r="A214" s="27">
        <v>36</v>
      </c>
      <c r="B214" s="18" t="s">
        <v>357</v>
      </c>
      <c r="C214" s="12" t="s">
        <v>342</v>
      </c>
      <c r="D214" s="15" t="s">
        <v>275</v>
      </c>
      <c r="E214" s="922">
        <v>64800</v>
      </c>
      <c r="F214" s="13"/>
    </row>
    <row r="215" s="1" customFormat="1" customHeight="1" spans="1:6">
      <c r="A215" s="27">
        <v>37</v>
      </c>
      <c r="B215" s="18" t="s">
        <v>358</v>
      </c>
      <c r="C215" s="12" t="s">
        <v>342</v>
      </c>
      <c r="D215" s="15" t="s">
        <v>275</v>
      </c>
      <c r="E215" s="922">
        <v>64800</v>
      </c>
      <c r="F215" s="13"/>
    </row>
    <row r="216" customHeight="1" spans="1:6">
      <c r="A216" s="27">
        <v>38</v>
      </c>
      <c r="B216" s="11" t="s">
        <v>359</v>
      </c>
      <c r="C216" s="12" t="s">
        <v>360</v>
      </c>
      <c r="D216" s="15" t="s">
        <v>361</v>
      </c>
      <c r="E216" s="1102">
        <v>54000</v>
      </c>
    </row>
    <row r="217" customHeight="1" spans="1:6">
      <c r="A217" s="27">
        <v>39</v>
      </c>
      <c r="B217" s="11" t="s">
        <v>362</v>
      </c>
      <c r="C217" s="12" t="s">
        <v>360</v>
      </c>
      <c r="D217" s="15" t="s">
        <v>361</v>
      </c>
      <c r="E217" s="1102">
        <v>54000</v>
      </c>
    </row>
    <row r="218" customHeight="1" spans="1:6">
      <c r="A218" s="27">
        <v>40</v>
      </c>
      <c r="B218" s="11" t="s">
        <v>363</v>
      </c>
      <c r="C218" s="12" t="s">
        <v>360</v>
      </c>
      <c r="D218" s="15" t="s">
        <v>361</v>
      </c>
      <c r="E218" s="1102">
        <v>54000</v>
      </c>
    </row>
    <row r="219" customHeight="1" spans="1:6">
      <c r="A219" s="27">
        <v>41</v>
      </c>
      <c r="B219" s="11" t="s">
        <v>364</v>
      </c>
      <c r="C219" s="12" t="s">
        <v>360</v>
      </c>
      <c r="D219" s="15" t="s">
        <v>361</v>
      </c>
      <c r="E219" s="1102">
        <v>54000</v>
      </c>
    </row>
    <row r="220" customHeight="1" spans="1:6">
      <c r="A220" s="27">
        <v>42</v>
      </c>
      <c r="B220" s="11" t="s">
        <v>365</v>
      </c>
      <c r="C220" s="12" t="s">
        <v>360</v>
      </c>
      <c r="D220" s="15" t="s">
        <v>366</v>
      </c>
      <c r="E220" s="1102">
        <v>54000</v>
      </c>
    </row>
    <row r="221" customHeight="1" spans="1:6">
      <c r="A221" s="27">
        <v>43</v>
      </c>
      <c r="B221" s="11" t="s">
        <v>367</v>
      </c>
      <c r="C221" s="12" t="s">
        <v>360</v>
      </c>
      <c r="D221" s="15" t="s">
        <v>366</v>
      </c>
      <c r="E221" s="1102">
        <v>54000</v>
      </c>
    </row>
    <row r="222" customHeight="1" spans="1:6">
      <c r="A222" s="27">
        <v>44</v>
      </c>
      <c r="B222" s="14" t="s">
        <v>368</v>
      </c>
      <c r="C222" s="12" t="s">
        <v>360</v>
      </c>
      <c r="D222" s="15" t="s">
        <v>366</v>
      </c>
      <c r="E222" s="1102">
        <v>54000</v>
      </c>
    </row>
    <row r="223" customHeight="1" spans="1:6">
      <c r="A223" s="27">
        <v>45</v>
      </c>
      <c r="B223" s="11" t="s">
        <v>369</v>
      </c>
      <c r="C223" s="12" t="s">
        <v>360</v>
      </c>
      <c r="D223" s="15" t="s">
        <v>366</v>
      </c>
      <c r="E223" s="1102">
        <v>54000</v>
      </c>
    </row>
    <row r="224" customHeight="1" spans="1:6">
      <c r="A224" s="27">
        <v>46</v>
      </c>
      <c r="B224" s="18" t="s">
        <v>370</v>
      </c>
      <c r="C224" s="12" t="s">
        <v>360</v>
      </c>
      <c r="D224" s="15" t="s">
        <v>366</v>
      </c>
      <c r="E224" s="1102">
        <v>54000</v>
      </c>
    </row>
    <row r="225" customHeight="1" spans="1:5">
      <c r="A225" s="27">
        <v>47</v>
      </c>
      <c r="B225" s="11" t="s">
        <v>371</v>
      </c>
      <c r="C225" s="12" t="s">
        <v>360</v>
      </c>
      <c r="D225" s="15" t="s">
        <v>372</v>
      </c>
      <c r="E225" s="1102">
        <v>54000</v>
      </c>
    </row>
    <row r="226" customHeight="1" spans="1:5">
      <c r="A226" s="27">
        <v>48</v>
      </c>
      <c r="B226" s="11" t="s">
        <v>373</v>
      </c>
      <c r="C226" s="12" t="s">
        <v>360</v>
      </c>
      <c r="D226" s="15" t="s">
        <v>372</v>
      </c>
      <c r="E226" s="1102">
        <v>54000</v>
      </c>
    </row>
    <row r="227" customHeight="1" spans="1:5">
      <c r="A227" s="27">
        <v>49</v>
      </c>
      <c r="B227" s="18" t="s">
        <v>374</v>
      </c>
      <c r="C227" s="12" t="s">
        <v>360</v>
      </c>
      <c r="D227" s="15" t="s">
        <v>375</v>
      </c>
      <c r="E227" s="1102">
        <v>54000</v>
      </c>
    </row>
    <row r="228" customHeight="1" spans="1:5">
      <c r="A228" s="27">
        <v>50</v>
      </c>
      <c r="B228" s="11" t="s">
        <v>376</v>
      </c>
      <c r="C228" s="12" t="s">
        <v>360</v>
      </c>
      <c r="D228" s="15" t="s">
        <v>377</v>
      </c>
      <c r="E228" s="1102">
        <v>54000</v>
      </c>
    </row>
    <row r="229" customHeight="1" spans="1:5">
      <c r="A229" s="27">
        <v>51</v>
      </c>
      <c r="B229" s="11" t="s">
        <v>378</v>
      </c>
      <c r="C229" s="12" t="s">
        <v>360</v>
      </c>
      <c r="D229" s="15" t="s">
        <v>377</v>
      </c>
      <c r="E229" s="1102">
        <v>54000</v>
      </c>
    </row>
    <row r="230" customHeight="1" spans="1:5">
      <c r="A230" s="27">
        <v>52</v>
      </c>
      <c r="B230" s="11" t="s">
        <v>379</v>
      </c>
      <c r="C230" s="12" t="s">
        <v>360</v>
      </c>
      <c r="D230" s="15" t="s">
        <v>377</v>
      </c>
      <c r="E230" s="1102">
        <v>54000</v>
      </c>
    </row>
    <row r="231" customHeight="1" spans="1:5">
      <c r="A231" s="27">
        <v>53</v>
      </c>
      <c r="B231" s="11" t="s">
        <v>380</v>
      </c>
      <c r="C231" s="12" t="s">
        <v>360</v>
      </c>
      <c r="D231" s="15" t="s">
        <v>377</v>
      </c>
      <c r="E231" s="1102">
        <v>54000</v>
      </c>
    </row>
    <row r="232" customHeight="1" spans="1:5">
      <c r="A232" s="27">
        <v>54</v>
      </c>
      <c r="B232" s="11" t="s">
        <v>381</v>
      </c>
      <c r="C232" s="12" t="s">
        <v>360</v>
      </c>
      <c r="D232" s="15" t="s">
        <v>377</v>
      </c>
      <c r="E232" s="1102">
        <v>54000</v>
      </c>
    </row>
    <row r="233" customHeight="1" spans="1:5">
      <c r="A233" s="27">
        <v>55</v>
      </c>
      <c r="B233" s="11" t="s">
        <v>382</v>
      </c>
      <c r="C233" s="12" t="s">
        <v>360</v>
      </c>
      <c r="D233" s="15" t="s">
        <v>377</v>
      </c>
      <c r="E233" s="1102">
        <v>54000</v>
      </c>
    </row>
    <row r="234" customHeight="1" spans="1:5">
      <c r="A234" s="27">
        <v>56</v>
      </c>
      <c r="B234" s="18" t="s">
        <v>383</v>
      </c>
      <c r="C234" s="12" t="s">
        <v>360</v>
      </c>
      <c r="D234" s="15" t="s">
        <v>384</v>
      </c>
      <c r="E234" s="1102">
        <v>54000</v>
      </c>
    </row>
    <row r="235" customHeight="1" spans="1:5">
      <c r="A235" s="27">
        <v>57</v>
      </c>
      <c r="B235" s="18" t="s">
        <v>385</v>
      </c>
      <c r="C235" s="12" t="s">
        <v>360</v>
      </c>
      <c r="D235" s="15" t="s">
        <v>377</v>
      </c>
      <c r="E235" s="1102">
        <v>54000</v>
      </c>
    </row>
    <row r="236" customHeight="1" spans="1:5">
      <c r="A236" s="27">
        <v>58</v>
      </c>
      <c r="B236" s="11" t="s">
        <v>386</v>
      </c>
      <c r="C236" s="12" t="s">
        <v>387</v>
      </c>
      <c r="D236" s="15" t="s">
        <v>388</v>
      </c>
      <c r="E236" s="911">
        <v>43200</v>
      </c>
    </row>
    <row r="237" customHeight="1" spans="1:5">
      <c r="A237" s="27">
        <v>59</v>
      </c>
      <c r="B237" s="18" t="s">
        <v>389</v>
      </c>
      <c r="C237" s="12" t="s">
        <v>390</v>
      </c>
      <c r="D237" s="15" t="s">
        <v>391</v>
      </c>
      <c r="E237" s="911">
        <v>43200</v>
      </c>
    </row>
    <row r="238" customHeight="1" spans="1:5">
      <c r="A238" s="27">
        <v>60</v>
      </c>
      <c r="B238" s="18" t="s">
        <v>392</v>
      </c>
      <c r="C238" s="12" t="s">
        <v>390</v>
      </c>
      <c r="D238" s="15" t="s">
        <v>393</v>
      </c>
      <c r="E238" s="911">
        <v>43200</v>
      </c>
    </row>
    <row r="239" customHeight="1" spans="1:5">
      <c r="A239" s="27">
        <v>61</v>
      </c>
      <c r="B239" s="18" t="s">
        <v>394</v>
      </c>
      <c r="C239" s="12" t="s">
        <v>390</v>
      </c>
      <c r="D239" s="15" t="s">
        <v>395</v>
      </c>
      <c r="E239" s="911">
        <v>43200</v>
      </c>
    </row>
    <row r="240" customHeight="1" spans="1:5">
      <c r="A240" s="27">
        <v>62</v>
      </c>
      <c r="B240" s="18" t="s">
        <v>396</v>
      </c>
      <c r="C240" s="12" t="s">
        <v>397</v>
      </c>
      <c r="D240" s="15" t="s">
        <v>398</v>
      </c>
      <c r="E240" s="911">
        <v>43200</v>
      </c>
    </row>
    <row r="241" customHeight="1" spans="1:5">
      <c r="A241" s="27">
        <v>63</v>
      </c>
      <c r="B241" s="18" t="s">
        <v>399</v>
      </c>
      <c r="C241" s="12" t="s">
        <v>397</v>
      </c>
      <c r="D241" s="15" t="s">
        <v>398</v>
      </c>
      <c r="E241" s="911">
        <v>43200</v>
      </c>
    </row>
    <row r="242" customHeight="1" spans="1:5">
      <c r="A242" s="27">
        <v>64</v>
      </c>
      <c r="B242" s="18" t="s">
        <v>400</v>
      </c>
      <c r="C242" s="12" t="s">
        <v>397</v>
      </c>
      <c r="D242" s="15" t="s">
        <v>398</v>
      </c>
      <c r="E242" s="911">
        <v>43200</v>
      </c>
    </row>
    <row r="243" customHeight="1" spans="1:5">
      <c r="A243" s="27">
        <v>65</v>
      </c>
      <c r="B243" s="18" t="s">
        <v>401</v>
      </c>
      <c r="C243" s="12" t="s">
        <v>402</v>
      </c>
      <c r="D243" s="15" t="s">
        <v>403</v>
      </c>
      <c r="E243" s="911">
        <v>43200</v>
      </c>
    </row>
    <row r="244" customHeight="1" spans="1:5">
      <c r="A244" s="27">
        <v>66</v>
      </c>
      <c r="B244" s="18" t="s">
        <v>404</v>
      </c>
      <c r="C244" s="12" t="s">
        <v>402</v>
      </c>
      <c r="D244" s="15" t="s">
        <v>403</v>
      </c>
      <c r="E244" s="911">
        <v>43200</v>
      </c>
    </row>
    <row r="245" ht="30.75" customHeight="1" spans="1:5">
      <c r="A245" s="27"/>
      <c r="B245" s="8" t="s">
        <v>120</v>
      </c>
      <c r="C245" s="28" t="s">
        <v>405</v>
      </c>
      <c r="D245" s="29"/>
      <c r="E245" s="915">
        <f>SUM(E179:E244)</f>
        <v>4910400</v>
      </c>
    </row>
    <row r="246" ht="30" customHeight="1" spans="1:5">
      <c r="A246" s="4"/>
      <c r="B246" s="30" t="s">
        <v>406</v>
      </c>
      <c r="C246" s="31">
        <f>C47+C57+C72+C77+C91+C105+C120+C130+C144+C161+C176+C245</f>
        <v>195</v>
      </c>
      <c r="D246" s="32"/>
      <c r="E246" s="923">
        <f>E245+E176+E161+E154+E144+E130+E120+E105+E91+E77+E72+E57+E47</f>
        <v>20868000</v>
      </c>
    </row>
  </sheetData>
  <pageMargins left="0.236220472440945" right="0.236220472440945" top="0.984251968503937" bottom="0.984251968503937" header="0.511811023622047" footer="0.511811023622047"/>
  <pageSetup paperSize="9" scale="81" orientation="portrait" horizontalDpi="1200" verticalDpi="1200"/>
  <headerFooter alignWithMargins="0"/>
  <rowBreaks count="6" manualBreakCount="6">
    <brk id="37" max="4" man="1"/>
    <brk id="72" max="4" man="1"/>
    <brk id="105" max="4" man="1"/>
    <brk id="139" max="4" man="1"/>
    <brk id="171" max="4" man="1"/>
    <brk id="207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10"/>
    </sheetView>
  </sheetViews>
  <sheetFormatPr defaultColWidth="8.70909090909091" defaultRowHeight="12.5" outlineLevelCol="2"/>
  <cols>
    <col min="1" max="1" width="6.09090909090909" customWidth="1"/>
    <col min="2" max="2" width="29" customWidth="1"/>
    <col min="3" max="3" width="14.6363636363636"/>
  </cols>
  <sheetData>
    <row r="1" ht="25" customHeight="1" spans="1:3">
      <c r="A1" s="1013" t="s">
        <v>490</v>
      </c>
      <c r="B1" s="1013"/>
      <c r="C1" s="1013"/>
    </row>
    <row r="2" ht="16" customHeight="1" spans="1:3">
      <c r="A2" s="721"/>
      <c r="B2" s="721"/>
      <c r="C2" s="82" t="s">
        <v>21</v>
      </c>
    </row>
    <row r="3" ht="23.1" customHeight="1" spans="1:3">
      <c r="A3" s="722">
        <v>1</v>
      </c>
      <c r="B3" s="722" t="s">
        <v>491</v>
      </c>
      <c r="C3" s="610">
        <f>'SALLAH WELF'!E246</f>
        <v>20868000</v>
      </c>
    </row>
    <row r="4" ht="23.1" customHeight="1" spans="1:3">
      <c r="A4" s="722">
        <v>2</v>
      </c>
      <c r="B4" s="722" t="s">
        <v>492</v>
      </c>
      <c r="C4" s="610">
        <f>'[22]Sallah Welf'!$E$89</f>
        <v>4550400</v>
      </c>
    </row>
    <row r="5" ht="23.1" customHeight="1" spans="1:3">
      <c r="A5" s="722">
        <v>3</v>
      </c>
      <c r="B5" s="722" t="s">
        <v>493</v>
      </c>
      <c r="C5" s="610">
        <f>'[23]Sallah Welf Contr'!$E$26</f>
        <v>2313600</v>
      </c>
    </row>
    <row r="6" ht="23.1" customHeight="1" spans="1:3">
      <c r="A6" s="722">
        <v>4</v>
      </c>
      <c r="B6" s="722" t="s">
        <v>494</v>
      </c>
      <c r="C6" s="610">
        <f>'[23]Sallah Welf New Contr'!$E$26</f>
        <v>1363200</v>
      </c>
    </row>
    <row r="7" ht="23.1" customHeight="1" spans="1:3">
      <c r="A7" s="722">
        <v>5</v>
      </c>
      <c r="B7" s="722" t="s">
        <v>495</v>
      </c>
      <c r="C7" s="610">
        <f>'[23]Sal Welfr CASUAL, SABB &amp; NYSC'!$D$101</f>
        <v>54000</v>
      </c>
    </row>
    <row r="8" ht="23.1" customHeight="1" spans="1:3">
      <c r="A8" s="722">
        <v>6</v>
      </c>
      <c r="B8" s="722" t="s">
        <v>496</v>
      </c>
      <c r="C8" s="610">
        <f>'[23]Sallah Welfr CONSULTANTS'!$D$17</f>
        <v>928800</v>
      </c>
    </row>
    <row r="9" ht="23.1" customHeight="1" spans="1:3">
      <c r="A9" s="722">
        <v>7</v>
      </c>
      <c r="B9" s="722" t="s">
        <v>497</v>
      </c>
      <c r="C9" s="1030">
        <f>'[24]Sallah Welfare'!$E$141</f>
        <v>2035000</v>
      </c>
    </row>
    <row r="10" ht="23.1" customHeight="1" spans="1:3">
      <c r="A10" s="722"/>
      <c r="B10" s="267" t="s">
        <v>498</v>
      </c>
      <c r="C10" s="1101">
        <f>SUM(C3:C9)</f>
        <v>32113000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9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H247" sqref="H247"/>
    </sheetView>
  </sheetViews>
  <sheetFormatPr defaultColWidth="9.13636363636364" defaultRowHeight="20.1" customHeight="1"/>
  <cols>
    <col min="1" max="1" width="5.42727272727273" style="1" customWidth="1"/>
    <col min="2" max="2" width="40.3" style="1" customWidth="1"/>
    <col min="3" max="3" width="36.6727272727273" style="1" customWidth="1"/>
    <col min="4" max="4" width="12.7090909090909" style="1" customWidth="1"/>
    <col min="5" max="5" width="16.9090909090909" style="1" customWidth="1"/>
    <col min="6" max="7" width="16.4545454545455" style="1" customWidth="1"/>
    <col min="8" max="8" width="16.9090909090909" style="1" customWidth="1"/>
    <col min="9" max="10" width="12.5272727272727" style="1" customWidth="1"/>
    <col min="11" max="16384" width="9.13636363636364" style="1"/>
  </cols>
  <sheetData>
    <row r="1" ht="27" customHeight="1" spans="1:8">
      <c r="A1" s="370" t="s">
        <v>0</v>
      </c>
      <c r="B1" s="370"/>
      <c r="C1" s="370"/>
      <c r="D1" s="370"/>
      <c r="E1" s="370"/>
    </row>
    <row r="2" ht="33.75" customHeight="1" spans="1:8">
      <c r="A2" s="236" t="s">
        <v>499</v>
      </c>
      <c r="B2" s="77"/>
      <c r="C2" s="77"/>
      <c r="D2" s="76"/>
      <c r="E2" s="78"/>
    </row>
    <row r="3" ht="9.75" customHeight="1"/>
    <row r="4" ht="49.5" customHeight="1" spans="1:8">
      <c r="A4" s="4"/>
      <c r="B4" s="5" t="s">
        <v>2</v>
      </c>
      <c r="C4" s="6" t="s">
        <v>3</v>
      </c>
      <c r="D4" s="79" t="s">
        <v>4</v>
      </c>
      <c r="E4" s="80" t="s">
        <v>484</v>
      </c>
      <c r="F4" s="80" t="s">
        <v>500</v>
      </c>
      <c r="G4" s="80" t="s">
        <v>501</v>
      </c>
      <c r="H4" s="80" t="s">
        <v>502</v>
      </c>
    </row>
    <row r="5" ht="17.25" customHeight="1" spans="1:8">
      <c r="C5" s="81"/>
      <c r="D5" s="8"/>
      <c r="E5" s="82" t="s">
        <v>21</v>
      </c>
      <c r="F5" s="82" t="s">
        <v>21</v>
      </c>
      <c r="G5" s="82" t="s">
        <v>21</v>
      </c>
      <c r="H5" s="82" t="s">
        <v>21</v>
      </c>
    </row>
    <row r="6" customHeight="1" spans="1:8">
      <c r="A6" s="9" t="s">
        <v>22</v>
      </c>
      <c r="B6" s="8" t="s">
        <v>23</v>
      </c>
      <c r="C6" s="8"/>
      <c r="D6" s="8"/>
      <c r="E6" s="82"/>
      <c r="F6" s="21"/>
      <c r="G6" s="21"/>
      <c r="H6" s="82"/>
    </row>
    <row r="7" customHeight="1" spans="1:8">
      <c r="A7" s="10">
        <v>1</v>
      </c>
      <c r="B7" s="11" t="s">
        <v>24</v>
      </c>
      <c r="C7" s="12" t="s">
        <v>25</v>
      </c>
      <c r="D7" s="12" t="s">
        <v>26</v>
      </c>
      <c r="E7" s="85">
        <v>2000000</v>
      </c>
      <c r="F7" s="85"/>
      <c r="G7" s="85"/>
      <c r="H7" s="220">
        <f t="shared" ref="H7:H17" si="0">E7</f>
        <v>2000000</v>
      </c>
    </row>
    <row r="8" customHeight="1" spans="1:8">
      <c r="A8" s="10">
        <v>2</v>
      </c>
      <c r="B8" s="11" t="s">
        <v>27</v>
      </c>
      <c r="C8" s="12" t="s">
        <v>28</v>
      </c>
      <c r="D8" s="10" t="s">
        <v>29</v>
      </c>
      <c r="E8" s="85">
        <v>350000</v>
      </c>
      <c r="F8" s="85"/>
      <c r="G8" s="85"/>
      <c r="H8" s="220">
        <f t="shared" si="0"/>
        <v>350000</v>
      </c>
    </row>
    <row r="9" customHeight="1" spans="1:8">
      <c r="A9" s="10">
        <v>3</v>
      </c>
      <c r="B9" s="14" t="s">
        <v>30</v>
      </c>
      <c r="C9" s="4" t="s">
        <v>31</v>
      </c>
      <c r="D9" s="10" t="s">
        <v>29</v>
      </c>
      <c r="E9" s="85">
        <v>700000</v>
      </c>
      <c r="F9" s="85"/>
      <c r="G9" s="85"/>
      <c r="H9" s="220">
        <f t="shared" si="0"/>
        <v>700000</v>
      </c>
    </row>
    <row r="10" customHeight="1" spans="1:8">
      <c r="A10" s="10">
        <v>4</v>
      </c>
      <c r="B10" s="11" t="s">
        <v>32</v>
      </c>
      <c r="C10" s="17" t="s">
        <v>33</v>
      </c>
      <c r="D10" s="10" t="s">
        <v>29</v>
      </c>
      <c r="E10" s="85">
        <v>700000</v>
      </c>
      <c r="F10" s="85"/>
      <c r="G10" s="85"/>
      <c r="H10" s="220">
        <f t="shared" si="0"/>
        <v>700000</v>
      </c>
    </row>
    <row r="11" customHeight="1" spans="1:8">
      <c r="A11" s="10">
        <v>5</v>
      </c>
      <c r="B11" s="11" t="s">
        <v>34</v>
      </c>
      <c r="C11" s="12" t="s">
        <v>35</v>
      </c>
      <c r="D11" s="15" t="s">
        <v>36</v>
      </c>
      <c r="E11" s="85">
        <v>700000</v>
      </c>
      <c r="F11" s="85"/>
      <c r="G11" s="85"/>
      <c r="H11" s="220">
        <f t="shared" si="0"/>
        <v>700000</v>
      </c>
    </row>
    <row r="12" customHeight="1" spans="1:8">
      <c r="A12" s="10">
        <v>6</v>
      </c>
      <c r="B12" s="11" t="s">
        <v>37</v>
      </c>
      <c r="C12" s="4" t="s">
        <v>38</v>
      </c>
      <c r="D12" s="10" t="s">
        <v>39</v>
      </c>
      <c r="E12" s="85">
        <v>700000</v>
      </c>
      <c r="F12" s="85"/>
      <c r="G12" s="85"/>
      <c r="H12" s="220">
        <f t="shared" si="0"/>
        <v>700000</v>
      </c>
    </row>
    <row r="13" customHeight="1" spans="1:8">
      <c r="A13" s="10">
        <v>7</v>
      </c>
      <c r="B13" s="11" t="s">
        <v>40</v>
      </c>
      <c r="C13" s="4" t="s">
        <v>41</v>
      </c>
      <c r="D13" s="15" t="s">
        <v>42</v>
      </c>
      <c r="E13" s="85">
        <v>700000</v>
      </c>
      <c r="F13" s="85"/>
      <c r="G13" s="85"/>
      <c r="H13" s="220">
        <f t="shared" si="0"/>
        <v>700000</v>
      </c>
    </row>
    <row r="14" customHeight="1" spans="1:8">
      <c r="A14" s="10">
        <v>8</v>
      </c>
      <c r="B14" s="14" t="s">
        <v>43</v>
      </c>
      <c r="C14" s="17" t="s">
        <v>44</v>
      </c>
      <c r="D14" s="15" t="s">
        <v>39</v>
      </c>
      <c r="E14" s="85">
        <v>700000</v>
      </c>
      <c r="F14" s="85"/>
      <c r="G14" s="85"/>
      <c r="H14" s="220">
        <f t="shared" si="0"/>
        <v>700000</v>
      </c>
    </row>
    <row r="15" customHeight="1" spans="1:8">
      <c r="A15" s="10">
        <v>9</v>
      </c>
      <c r="B15" s="11" t="s">
        <v>45</v>
      </c>
      <c r="C15" s="4" t="s">
        <v>46</v>
      </c>
      <c r="D15" s="10" t="s">
        <v>47</v>
      </c>
      <c r="E15" s="85">
        <v>500000</v>
      </c>
      <c r="F15" s="85"/>
      <c r="G15" s="85">
        <f t="shared" ref="G13:G24" si="1">E15</f>
        <v>500000</v>
      </c>
      <c r="H15" s="220"/>
    </row>
    <row r="16" customHeight="1" spans="1:8">
      <c r="A16" s="10">
        <v>10</v>
      </c>
      <c r="B16" s="11" t="s">
        <v>48</v>
      </c>
      <c r="C16" s="4" t="s">
        <v>49</v>
      </c>
      <c r="D16" s="10" t="s">
        <v>50</v>
      </c>
      <c r="E16" s="85">
        <v>700000</v>
      </c>
      <c r="F16" s="85"/>
      <c r="G16" s="85"/>
      <c r="H16" s="220">
        <f>E16</f>
        <v>700000</v>
      </c>
    </row>
    <row r="17" customHeight="1" spans="1:8">
      <c r="A17" s="10">
        <v>11</v>
      </c>
      <c r="B17" s="11" t="s">
        <v>51</v>
      </c>
      <c r="C17" s="12" t="s">
        <v>52</v>
      </c>
      <c r="D17" s="10" t="s">
        <v>53</v>
      </c>
      <c r="E17" s="85">
        <v>500000</v>
      </c>
      <c r="F17" s="85"/>
      <c r="G17" s="85">
        <f t="shared" si="1"/>
        <v>500000</v>
      </c>
      <c r="H17" s="220"/>
    </row>
    <row r="18" customHeight="1" spans="1:8">
      <c r="A18" s="10">
        <v>12</v>
      </c>
      <c r="B18" s="18" t="s">
        <v>54</v>
      </c>
      <c r="C18" s="4" t="s">
        <v>55</v>
      </c>
      <c r="D18" s="15" t="s">
        <v>56</v>
      </c>
      <c r="E18" s="85">
        <v>500000</v>
      </c>
      <c r="F18" s="85"/>
      <c r="G18" s="85">
        <f t="shared" si="1"/>
        <v>500000</v>
      </c>
      <c r="H18" s="220"/>
    </row>
    <row r="19" customHeight="1" spans="1:8">
      <c r="A19" s="10">
        <v>13</v>
      </c>
      <c r="B19" s="18" t="s">
        <v>57</v>
      </c>
      <c r="C19" s="4" t="s">
        <v>58</v>
      </c>
      <c r="D19" s="15" t="s">
        <v>59</v>
      </c>
      <c r="E19" s="85">
        <v>250000</v>
      </c>
      <c r="F19" s="85"/>
      <c r="G19" s="85">
        <f t="shared" si="1"/>
        <v>250000</v>
      </c>
      <c r="H19" s="4"/>
    </row>
    <row r="20" customHeight="1" spans="1:8">
      <c r="A20" s="10">
        <v>14</v>
      </c>
      <c r="B20" s="18" t="s">
        <v>60</v>
      </c>
      <c r="C20" s="4" t="s">
        <v>61</v>
      </c>
      <c r="D20" s="15" t="s">
        <v>59</v>
      </c>
      <c r="E20" s="85">
        <v>500000</v>
      </c>
      <c r="F20" s="85"/>
      <c r="G20" s="85">
        <f t="shared" si="1"/>
        <v>500000</v>
      </c>
      <c r="H20" s="833"/>
    </row>
    <row r="21" customHeight="1" spans="1:8">
      <c r="A21" s="10">
        <v>15</v>
      </c>
      <c r="B21" s="11" t="s">
        <v>62</v>
      </c>
      <c r="C21" s="12" t="s">
        <v>63</v>
      </c>
      <c r="D21" s="15" t="s">
        <v>64</v>
      </c>
      <c r="E21" s="85">
        <v>500000</v>
      </c>
      <c r="F21" s="85"/>
      <c r="G21" s="85">
        <f t="shared" si="1"/>
        <v>500000</v>
      </c>
      <c r="H21" s="220"/>
    </row>
    <row r="22" ht="18.75" customHeight="1" spans="1:8">
      <c r="A22" s="10">
        <v>16</v>
      </c>
      <c r="B22" s="11" t="s">
        <v>65</v>
      </c>
      <c r="C22" s="4" t="s">
        <v>66</v>
      </c>
      <c r="D22" s="15" t="s">
        <v>67</v>
      </c>
      <c r="E22" s="85">
        <v>500000</v>
      </c>
      <c r="F22" s="85"/>
      <c r="G22" s="85">
        <f t="shared" si="1"/>
        <v>500000</v>
      </c>
      <c r="H22" s="220"/>
    </row>
    <row r="23" customHeight="1" spans="1:8">
      <c r="A23" s="10">
        <v>17</v>
      </c>
      <c r="B23" s="14" t="s">
        <v>68</v>
      </c>
      <c r="C23" s="17" t="s">
        <v>69</v>
      </c>
      <c r="D23" s="10" t="s">
        <v>70</v>
      </c>
      <c r="E23" s="85">
        <v>400000</v>
      </c>
      <c r="F23" s="85"/>
      <c r="G23" s="85">
        <f t="shared" si="1"/>
        <v>400000</v>
      </c>
      <c r="H23" s="220"/>
    </row>
    <row r="24" ht="21.6" customHeight="1" spans="1:8">
      <c r="A24" s="10">
        <v>18</v>
      </c>
      <c r="B24" s="11" t="s">
        <v>71</v>
      </c>
      <c r="C24" s="17" t="s">
        <v>72</v>
      </c>
      <c r="D24" s="15" t="s">
        <v>70</v>
      </c>
      <c r="E24" s="85">
        <v>400000</v>
      </c>
      <c r="F24" s="85"/>
      <c r="G24" s="85">
        <f t="shared" si="1"/>
        <v>400000</v>
      </c>
      <c r="H24" s="220"/>
    </row>
    <row r="25" customHeight="1" spans="1:8">
      <c r="A25" s="10">
        <v>19</v>
      </c>
      <c r="B25" s="14" t="s">
        <v>73</v>
      </c>
      <c r="C25" s="17" t="s">
        <v>74</v>
      </c>
      <c r="D25" s="10" t="s">
        <v>75</v>
      </c>
      <c r="E25" s="85">
        <v>300000</v>
      </c>
      <c r="F25" s="85">
        <f t="shared" ref="F25:F46" si="2">E25</f>
        <v>300000</v>
      </c>
      <c r="G25" s="85"/>
      <c r="H25" s="220"/>
    </row>
    <row r="26" customHeight="1" spans="1:8">
      <c r="A26" s="10">
        <v>20</v>
      </c>
      <c r="B26" s="14" t="s">
        <v>76</v>
      </c>
      <c r="C26" s="17" t="s">
        <v>77</v>
      </c>
      <c r="D26" s="10" t="s">
        <v>78</v>
      </c>
      <c r="E26" s="85">
        <v>300000</v>
      </c>
      <c r="F26" s="85">
        <f t="shared" si="2"/>
        <v>300000</v>
      </c>
      <c r="G26" s="85"/>
      <c r="H26" s="220"/>
    </row>
    <row r="27" ht="18.75" customHeight="1" spans="1:8">
      <c r="A27" s="10">
        <v>21</v>
      </c>
      <c r="B27" s="18" t="s">
        <v>79</v>
      </c>
      <c r="C27" s="12" t="s">
        <v>80</v>
      </c>
      <c r="D27" s="15" t="s">
        <v>81</v>
      </c>
      <c r="E27" s="85">
        <v>300000</v>
      </c>
      <c r="F27" s="85">
        <f t="shared" si="2"/>
        <v>300000</v>
      </c>
      <c r="G27" s="85"/>
      <c r="H27" s="220"/>
    </row>
    <row r="28" customHeight="1" spans="1:8">
      <c r="A28" s="10">
        <v>22</v>
      </c>
      <c r="B28" s="11" t="s">
        <v>82</v>
      </c>
      <c r="C28" s="4" t="s">
        <v>83</v>
      </c>
      <c r="D28" s="15" t="s">
        <v>75</v>
      </c>
      <c r="E28" s="85">
        <v>300000</v>
      </c>
      <c r="F28" s="85">
        <f t="shared" si="2"/>
        <v>300000</v>
      </c>
      <c r="G28" s="85"/>
      <c r="H28" s="220"/>
    </row>
    <row r="29" ht="18.75" customHeight="1" spans="1:8">
      <c r="A29" s="10">
        <v>23</v>
      </c>
      <c r="B29" s="18" t="s">
        <v>84</v>
      </c>
      <c r="C29" s="12" t="s">
        <v>85</v>
      </c>
      <c r="D29" s="15" t="s">
        <v>156</v>
      </c>
      <c r="E29" s="85">
        <v>300000</v>
      </c>
      <c r="F29" s="85">
        <f t="shared" si="2"/>
        <v>300000</v>
      </c>
      <c r="G29" s="85"/>
      <c r="H29" s="220"/>
    </row>
    <row r="30" ht="18.75" customHeight="1" spans="1:8">
      <c r="A30" s="10">
        <v>24</v>
      </c>
      <c r="B30" s="18" t="s">
        <v>87</v>
      </c>
      <c r="C30" s="4" t="s">
        <v>88</v>
      </c>
      <c r="D30" s="10" t="s">
        <v>86</v>
      </c>
      <c r="E30" s="85">
        <v>300000</v>
      </c>
      <c r="F30" s="85">
        <f t="shared" si="2"/>
        <v>300000</v>
      </c>
      <c r="G30" s="85"/>
      <c r="H30" s="220"/>
    </row>
    <row r="31" ht="18.75" customHeight="1" spans="1:8">
      <c r="A31" s="10">
        <v>25</v>
      </c>
      <c r="B31" s="18" t="s">
        <v>89</v>
      </c>
      <c r="C31" s="4" t="s">
        <v>90</v>
      </c>
      <c r="D31" s="15" t="s">
        <v>81</v>
      </c>
      <c r="E31" s="85">
        <v>300000</v>
      </c>
      <c r="F31" s="85">
        <f t="shared" si="2"/>
        <v>300000</v>
      </c>
      <c r="G31" s="85"/>
      <c r="H31" s="220"/>
    </row>
    <row r="32" ht="18.75" customHeight="1" spans="1:8">
      <c r="A32" s="10">
        <v>26</v>
      </c>
      <c r="B32" s="18" t="s">
        <v>91</v>
      </c>
      <c r="C32" s="4" t="s">
        <v>92</v>
      </c>
      <c r="D32" s="15" t="s">
        <v>81</v>
      </c>
      <c r="E32" s="85">
        <v>300000</v>
      </c>
      <c r="F32" s="85">
        <f t="shared" si="2"/>
        <v>300000</v>
      </c>
      <c r="G32" s="85"/>
      <c r="H32" s="220"/>
    </row>
    <row r="33" ht="18.75" customHeight="1" spans="1:8">
      <c r="A33" s="10">
        <v>27</v>
      </c>
      <c r="B33" s="18" t="s">
        <v>93</v>
      </c>
      <c r="C33" s="4" t="s">
        <v>94</v>
      </c>
      <c r="D33" s="10" t="s">
        <v>86</v>
      </c>
      <c r="E33" s="85">
        <v>300000</v>
      </c>
      <c r="F33" s="85">
        <f t="shared" si="2"/>
        <v>300000</v>
      </c>
      <c r="G33" s="85"/>
      <c r="H33" s="220"/>
    </row>
    <row r="34" ht="18.75" customHeight="1" spans="1:8">
      <c r="A34" s="10">
        <v>28</v>
      </c>
      <c r="B34" s="18" t="s">
        <v>95</v>
      </c>
      <c r="C34" s="4" t="s">
        <v>96</v>
      </c>
      <c r="D34" s="15" t="s">
        <v>81</v>
      </c>
      <c r="E34" s="85">
        <v>300000</v>
      </c>
      <c r="F34" s="85">
        <f t="shared" si="2"/>
        <v>300000</v>
      </c>
      <c r="G34" s="85"/>
      <c r="H34" s="220"/>
    </row>
    <row r="35" s="1" customFormat="1" ht="18.75" customHeight="1" spans="1:8">
      <c r="A35" s="10">
        <v>29</v>
      </c>
      <c r="B35" s="18" t="s">
        <v>97</v>
      </c>
      <c r="C35" s="4" t="s">
        <v>98</v>
      </c>
      <c r="D35" s="10" t="s">
        <v>99</v>
      </c>
      <c r="E35" s="85">
        <v>300000</v>
      </c>
      <c r="F35" s="85">
        <f t="shared" si="2"/>
        <v>300000</v>
      </c>
      <c r="G35" s="85"/>
      <c r="H35" s="220"/>
    </row>
    <row r="36" s="1" customFormat="1" ht="18.75" customHeight="1" spans="1:8">
      <c r="A36" s="10">
        <v>30</v>
      </c>
      <c r="B36" s="18" t="s">
        <v>100</v>
      </c>
      <c r="C36" s="4" t="s">
        <v>98</v>
      </c>
      <c r="D36" s="10" t="s">
        <v>99</v>
      </c>
      <c r="E36" s="85">
        <v>300000</v>
      </c>
      <c r="F36" s="85">
        <f t="shared" si="2"/>
        <v>300000</v>
      </c>
      <c r="G36" s="85"/>
      <c r="H36" s="220"/>
    </row>
    <row r="37" s="1" customFormat="1" ht="18.75" customHeight="1" spans="1:8">
      <c r="A37" s="10">
        <v>31</v>
      </c>
      <c r="B37" s="18" t="s">
        <v>101</v>
      </c>
      <c r="C37" s="4" t="s">
        <v>85</v>
      </c>
      <c r="D37" s="10" t="s">
        <v>99</v>
      </c>
      <c r="E37" s="85">
        <v>300000</v>
      </c>
      <c r="F37" s="85">
        <f t="shared" si="2"/>
        <v>300000</v>
      </c>
      <c r="G37" s="85"/>
      <c r="H37" s="220"/>
    </row>
    <row r="38" s="1" customFormat="1" ht="18.75" customHeight="1" spans="1:8">
      <c r="A38" s="10">
        <v>32</v>
      </c>
      <c r="B38" s="18" t="s">
        <v>102</v>
      </c>
      <c r="C38" s="4" t="s">
        <v>94</v>
      </c>
      <c r="D38" s="10" t="s">
        <v>99</v>
      </c>
      <c r="E38" s="85">
        <v>300000</v>
      </c>
      <c r="F38" s="85">
        <f t="shared" si="2"/>
        <v>300000</v>
      </c>
      <c r="G38" s="85"/>
      <c r="H38" s="220"/>
    </row>
    <row r="39" ht="18.75" customHeight="1" spans="1:8">
      <c r="A39" s="10">
        <v>33</v>
      </c>
      <c r="B39" s="18" t="s">
        <v>103</v>
      </c>
      <c r="C39" s="12" t="s">
        <v>104</v>
      </c>
      <c r="D39" s="15" t="s">
        <v>105</v>
      </c>
      <c r="E39" s="85">
        <v>300000</v>
      </c>
      <c r="F39" s="85">
        <f t="shared" si="2"/>
        <v>300000</v>
      </c>
      <c r="G39" s="85"/>
      <c r="H39" s="220"/>
    </row>
    <row r="40" ht="18.75" customHeight="1" spans="1:8">
      <c r="A40" s="10">
        <v>34</v>
      </c>
      <c r="B40" s="18" t="s">
        <v>106</v>
      </c>
      <c r="C40" s="12" t="s">
        <v>107</v>
      </c>
      <c r="D40" s="15" t="s">
        <v>108</v>
      </c>
      <c r="E40" s="85">
        <v>300000</v>
      </c>
      <c r="F40" s="85">
        <f t="shared" si="2"/>
        <v>300000</v>
      </c>
      <c r="G40" s="85"/>
      <c r="H40" s="220"/>
    </row>
    <row r="41" s="1" customFormat="1" customHeight="1" spans="1:8">
      <c r="A41" s="10">
        <v>35</v>
      </c>
      <c r="B41" s="18" t="s">
        <v>109</v>
      </c>
      <c r="C41" s="12" t="s">
        <v>110</v>
      </c>
      <c r="D41" s="15" t="s">
        <v>111</v>
      </c>
      <c r="E41" s="85">
        <v>300000</v>
      </c>
      <c r="F41" s="85">
        <f t="shared" si="2"/>
        <v>300000</v>
      </c>
      <c r="G41" s="85"/>
      <c r="H41" s="220"/>
    </row>
    <row r="42" s="1" customFormat="1" customHeight="1" spans="1:8">
      <c r="A42" s="10">
        <v>36</v>
      </c>
      <c r="B42" s="18" t="s">
        <v>112</v>
      </c>
      <c r="C42" s="12" t="s">
        <v>113</v>
      </c>
      <c r="D42" s="15" t="s">
        <v>111</v>
      </c>
      <c r="E42" s="85">
        <v>300000</v>
      </c>
      <c r="F42" s="85">
        <f t="shared" si="2"/>
        <v>300000</v>
      </c>
      <c r="G42" s="85"/>
      <c r="H42" s="220"/>
    </row>
    <row r="43" s="1" customFormat="1" customHeight="1" spans="1:8">
      <c r="A43" s="10">
        <v>37</v>
      </c>
      <c r="B43" s="18" t="s">
        <v>114</v>
      </c>
      <c r="C43" s="12" t="s">
        <v>113</v>
      </c>
      <c r="D43" s="15" t="s">
        <v>111</v>
      </c>
      <c r="E43" s="85">
        <v>300000</v>
      </c>
      <c r="F43" s="85">
        <f t="shared" si="2"/>
        <v>300000</v>
      </c>
      <c r="G43" s="85"/>
      <c r="H43" s="220"/>
    </row>
    <row r="44" s="1" customFormat="1" customHeight="1" spans="1:8">
      <c r="A44" s="10">
        <v>38</v>
      </c>
      <c r="B44" s="18" t="s">
        <v>115</v>
      </c>
      <c r="C44" s="12" t="s">
        <v>116</v>
      </c>
      <c r="D44" s="15" t="s">
        <v>111</v>
      </c>
      <c r="E44" s="85">
        <v>300000</v>
      </c>
      <c r="F44" s="85">
        <f t="shared" si="2"/>
        <v>300000</v>
      </c>
      <c r="G44" s="85"/>
      <c r="H44" s="220"/>
    </row>
    <row r="45" s="1" customFormat="1" customHeight="1" spans="1:8">
      <c r="A45" s="10">
        <v>39</v>
      </c>
      <c r="B45" s="18" t="s">
        <v>117</v>
      </c>
      <c r="C45" s="12" t="s">
        <v>113</v>
      </c>
      <c r="D45" s="15" t="s">
        <v>111</v>
      </c>
      <c r="E45" s="85">
        <v>300000</v>
      </c>
      <c r="F45" s="85">
        <f t="shared" si="2"/>
        <v>300000</v>
      </c>
      <c r="G45" s="85"/>
      <c r="H45" s="220"/>
    </row>
    <row r="46" s="1" customFormat="1" customHeight="1" spans="1:8">
      <c r="A46" s="10">
        <v>40</v>
      </c>
      <c r="B46" s="18" t="s">
        <v>118</v>
      </c>
      <c r="C46" s="12" t="s">
        <v>119</v>
      </c>
      <c r="D46" s="15" t="s">
        <v>111</v>
      </c>
      <c r="E46" s="85">
        <v>300000</v>
      </c>
      <c r="F46" s="85">
        <f t="shared" si="2"/>
        <v>300000</v>
      </c>
      <c r="G46" s="85"/>
      <c r="H46" s="220"/>
    </row>
    <row r="47" ht="26.25" customHeight="1" spans="1:8">
      <c r="A47" s="10"/>
      <c r="B47" s="20" t="s">
        <v>120</v>
      </c>
      <c r="C47" s="21">
        <v>40</v>
      </c>
      <c r="D47" s="15"/>
      <c r="E47" s="221">
        <f>SUM(E7:E46)</f>
        <v>17900000</v>
      </c>
      <c r="F47" s="221">
        <f>SUM(F7:F46)</f>
        <v>6600000</v>
      </c>
      <c r="G47" s="221">
        <f>SUM(G7:G46)</f>
        <v>4050000</v>
      </c>
      <c r="H47" s="221">
        <f>SUM(H7:H46)</f>
        <v>7250000</v>
      </c>
    </row>
    <row r="48" ht="18.75" customHeight="1" spans="1:8">
      <c r="A48" s="10"/>
      <c r="B48" s="22"/>
      <c r="C48" s="4"/>
      <c r="D48" s="15"/>
      <c r="E48" s="221"/>
      <c r="F48" s="221"/>
      <c r="G48" s="221"/>
      <c r="H48" s="220"/>
    </row>
    <row r="49" ht="18.75" customHeight="1" spans="1:8">
      <c r="A49" s="10"/>
      <c r="B49" s="20" t="s">
        <v>121</v>
      </c>
      <c r="C49" s="4"/>
      <c r="D49" s="15"/>
      <c r="E49" s="85"/>
      <c r="F49" s="85"/>
      <c r="G49" s="85"/>
      <c r="H49" s="220"/>
    </row>
    <row r="50" ht="18.75" customHeight="1" spans="1:8">
      <c r="A50" s="10">
        <v>1</v>
      </c>
      <c r="B50" s="18" t="s">
        <v>122</v>
      </c>
      <c r="C50" s="4" t="s">
        <v>123</v>
      </c>
      <c r="D50" s="10" t="s">
        <v>124</v>
      </c>
      <c r="E50" s="85">
        <v>1000000</v>
      </c>
      <c r="F50" s="85"/>
      <c r="G50" s="85"/>
      <c r="H50" s="220">
        <f>E50</f>
        <v>1000000</v>
      </c>
    </row>
    <row r="51" customHeight="1" spans="1:8">
      <c r="A51" s="10">
        <v>2</v>
      </c>
      <c r="B51" s="11" t="s">
        <v>125</v>
      </c>
      <c r="C51" s="12" t="s">
        <v>126</v>
      </c>
      <c r="D51" s="15" t="s">
        <v>50</v>
      </c>
      <c r="E51" s="85">
        <v>700000</v>
      </c>
      <c r="F51" s="85"/>
      <c r="G51" s="85"/>
      <c r="H51" s="220">
        <f>E51</f>
        <v>700000</v>
      </c>
    </row>
    <row r="52" ht="18.75" customHeight="1" spans="1:8">
      <c r="A52" s="10">
        <v>3</v>
      </c>
      <c r="B52" s="18" t="s">
        <v>127</v>
      </c>
      <c r="C52" s="4" t="s">
        <v>128</v>
      </c>
      <c r="D52" s="10" t="s">
        <v>78</v>
      </c>
      <c r="E52" s="85">
        <v>300000</v>
      </c>
      <c r="F52" s="85">
        <f t="shared" ref="F52:F56" si="3">E52</f>
        <v>300000</v>
      </c>
      <c r="G52" s="85"/>
      <c r="H52" s="220"/>
    </row>
    <row r="53" ht="18.75" customHeight="1" spans="1:8">
      <c r="A53" s="10">
        <v>4</v>
      </c>
      <c r="B53" s="11" t="s">
        <v>129</v>
      </c>
      <c r="C53" s="4" t="s">
        <v>130</v>
      </c>
      <c r="D53" s="15" t="s">
        <v>131</v>
      </c>
      <c r="E53" s="220">
        <v>400000</v>
      </c>
      <c r="F53" s="85"/>
      <c r="G53" s="85">
        <f>E53</f>
        <v>400000</v>
      </c>
      <c r="H53" s="220"/>
    </row>
    <row r="54" s="1" customFormat="1" customHeight="1" spans="1:8">
      <c r="A54" s="10">
        <v>5</v>
      </c>
      <c r="B54" s="18" t="s">
        <v>132</v>
      </c>
      <c r="C54" s="4" t="s">
        <v>128</v>
      </c>
      <c r="D54" s="15" t="s">
        <v>99</v>
      </c>
      <c r="E54" s="85">
        <v>300000</v>
      </c>
      <c r="F54" s="85">
        <f t="shared" si="3"/>
        <v>300000</v>
      </c>
      <c r="G54" s="85"/>
      <c r="H54" s="220"/>
    </row>
    <row r="55" ht="18.75" customHeight="1" spans="1:8">
      <c r="A55" s="10">
        <v>6</v>
      </c>
      <c r="B55" s="11" t="s">
        <v>133</v>
      </c>
      <c r="C55" s="4" t="s">
        <v>134</v>
      </c>
      <c r="D55" s="15" t="s">
        <v>86</v>
      </c>
      <c r="E55" s="85">
        <v>300000</v>
      </c>
      <c r="F55" s="85">
        <f t="shared" si="3"/>
        <v>300000</v>
      </c>
      <c r="G55" s="85"/>
      <c r="H55" s="220"/>
    </row>
    <row r="56" s="1" customFormat="1" customHeight="1" spans="1:8">
      <c r="A56" s="10">
        <v>7</v>
      </c>
      <c r="B56" s="18" t="s">
        <v>135</v>
      </c>
      <c r="C56" s="12" t="s">
        <v>136</v>
      </c>
      <c r="D56" s="15" t="s">
        <v>111</v>
      </c>
      <c r="E56" s="85">
        <v>300000</v>
      </c>
      <c r="F56" s="85">
        <f t="shared" si="3"/>
        <v>300000</v>
      </c>
      <c r="G56" s="85"/>
      <c r="H56" s="220"/>
    </row>
    <row r="57" ht="19.5" customHeight="1" spans="1:8">
      <c r="A57" s="10"/>
      <c r="B57" s="14"/>
      <c r="C57" s="21">
        <v>7</v>
      </c>
      <c r="D57" s="10"/>
      <c r="E57" s="221">
        <f>SUM(E50:E56)</f>
        <v>3300000</v>
      </c>
      <c r="F57" s="221">
        <f>SUM(F50:F56)</f>
        <v>1200000</v>
      </c>
      <c r="G57" s="221">
        <f>SUM(G50:G56)</f>
        <v>400000</v>
      </c>
      <c r="H57" s="221">
        <f>SUM(H50:H56)</f>
        <v>1700000</v>
      </c>
    </row>
    <row r="58" customHeight="1" spans="1:8">
      <c r="A58" s="10"/>
      <c r="B58" s="14"/>
      <c r="C58" s="4"/>
      <c r="D58" s="10"/>
      <c r="E58" s="221"/>
      <c r="F58" s="221"/>
      <c r="G58" s="221"/>
      <c r="H58" s="220"/>
    </row>
    <row r="59" customHeight="1" spans="1:8">
      <c r="A59" s="10"/>
      <c r="B59" s="23" t="s">
        <v>137</v>
      </c>
      <c r="C59" s="5"/>
      <c r="D59" s="24"/>
      <c r="E59" s="221"/>
      <c r="F59" s="221"/>
      <c r="G59" s="221"/>
      <c r="H59" s="220"/>
    </row>
    <row r="60" customHeight="1" spans="1:8">
      <c r="A60" s="10">
        <v>1</v>
      </c>
      <c r="B60" s="11" t="s">
        <v>138</v>
      </c>
      <c r="C60" s="4" t="s">
        <v>139</v>
      </c>
      <c r="D60" s="10" t="s">
        <v>140</v>
      </c>
      <c r="E60" s="85">
        <v>1000000</v>
      </c>
      <c r="F60" s="85"/>
      <c r="G60" s="85"/>
      <c r="H60" s="220">
        <f t="shared" ref="H60:H65" si="4">E60</f>
        <v>1000000</v>
      </c>
    </row>
    <row r="61" customHeight="1" spans="1:8">
      <c r="A61" s="10">
        <v>2</v>
      </c>
      <c r="B61" s="11" t="s">
        <v>141</v>
      </c>
      <c r="C61" s="4" t="s">
        <v>142</v>
      </c>
      <c r="D61" s="10" t="s">
        <v>143</v>
      </c>
      <c r="E61" s="85">
        <v>700000</v>
      </c>
      <c r="F61" s="85"/>
      <c r="G61" s="85"/>
      <c r="H61" s="220">
        <f t="shared" si="4"/>
        <v>700000</v>
      </c>
    </row>
    <row r="62" customHeight="1" spans="1:8">
      <c r="A62" s="10">
        <v>3</v>
      </c>
      <c r="B62" s="11" t="s">
        <v>144</v>
      </c>
      <c r="C62" s="4" t="s">
        <v>145</v>
      </c>
      <c r="D62" s="10" t="s">
        <v>39</v>
      </c>
      <c r="E62" s="85">
        <v>700000</v>
      </c>
      <c r="F62" s="85"/>
      <c r="G62" s="85"/>
      <c r="H62" s="220">
        <f t="shared" si="4"/>
        <v>700000</v>
      </c>
    </row>
    <row r="63" customHeight="1" spans="1:8">
      <c r="A63" s="10">
        <v>4</v>
      </c>
      <c r="B63" s="11" t="s">
        <v>146</v>
      </c>
      <c r="C63" s="4" t="s">
        <v>145</v>
      </c>
      <c r="D63" s="10" t="s">
        <v>39</v>
      </c>
      <c r="E63" s="85">
        <v>700000</v>
      </c>
      <c r="F63" s="85"/>
      <c r="G63" s="85"/>
      <c r="H63" s="220">
        <f t="shared" si="4"/>
        <v>700000</v>
      </c>
    </row>
    <row r="64" customHeight="1" spans="1:8">
      <c r="A64" s="10">
        <v>5</v>
      </c>
      <c r="B64" s="14" t="s">
        <v>147</v>
      </c>
      <c r="C64" s="4" t="s">
        <v>145</v>
      </c>
      <c r="D64" s="10" t="s">
        <v>50</v>
      </c>
      <c r="E64" s="85">
        <v>700000</v>
      </c>
      <c r="F64" s="85"/>
      <c r="G64" s="85"/>
      <c r="H64" s="220">
        <f t="shared" si="4"/>
        <v>700000</v>
      </c>
    </row>
    <row r="65" customFormat="1" customHeight="1" spans="1:8">
      <c r="A65" s="10">
        <v>6</v>
      </c>
      <c r="B65" s="14" t="s">
        <v>148</v>
      </c>
      <c r="C65" s="4" t="s">
        <v>145</v>
      </c>
      <c r="D65" s="10" t="s">
        <v>50</v>
      </c>
      <c r="E65" s="85">
        <v>700000</v>
      </c>
      <c r="F65" s="85"/>
      <c r="G65" s="85"/>
      <c r="H65" s="220">
        <f t="shared" si="4"/>
        <v>700000</v>
      </c>
    </row>
    <row r="66" s="1" customFormat="1" customHeight="1" spans="1:8">
      <c r="A66" s="10">
        <v>7</v>
      </c>
      <c r="B66" s="18" t="s">
        <v>149</v>
      </c>
      <c r="C66" s="4" t="s">
        <v>150</v>
      </c>
      <c r="D66" s="15" t="s">
        <v>131</v>
      </c>
      <c r="E66" s="220">
        <v>400000</v>
      </c>
      <c r="F66" s="85"/>
      <c r="G66" s="85">
        <f>E66</f>
        <v>400000</v>
      </c>
      <c r="H66" s="220"/>
    </row>
    <row r="67" customHeight="1" spans="1:8">
      <c r="A67" s="10">
        <v>8</v>
      </c>
      <c r="B67" s="11" t="s">
        <v>151</v>
      </c>
      <c r="C67" s="4" t="s">
        <v>152</v>
      </c>
      <c r="D67" s="10" t="s">
        <v>153</v>
      </c>
      <c r="E67" s="85">
        <v>300000</v>
      </c>
      <c r="F67" s="85">
        <f t="shared" ref="F67:F71" si="5">E67</f>
        <v>300000</v>
      </c>
      <c r="G67" s="85"/>
      <c r="H67" s="220"/>
    </row>
    <row r="68" s="1" customFormat="1" customHeight="1" spans="1:8">
      <c r="A68" s="10">
        <v>9</v>
      </c>
      <c r="B68" s="11" t="s">
        <v>154</v>
      </c>
      <c r="C68" s="4" t="s">
        <v>83</v>
      </c>
      <c r="D68" s="10" t="s">
        <v>75</v>
      </c>
      <c r="E68" s="85">
        <v>300000</v>
      </c>
      <c r="F68" s="85">
        <f t="shared" si="5"/>
        <v>300000</v>
      </c>
      <c r="G68" s="85"/>
      <c r="H68" s="220"/>
    </row>
    <row r="69" customHeight="1" spans="1:8">
      <c r="A69" s="10">
        <v>10</v>
      </c>
      <c r="B69" s="11" t="s">
        <v>155</v>
      </c>
      <c r="C69" s="4" t="s">
        <v>152</v>
      </c>
      <c r="D69" s="10" t="s">
        <v>156</v>
      </c>
      <c r="E69" s="85">
        <v>300000</v>
      </c>
      <c r="F69" s="85">
        <f t="shared" si="5"/>
        <v>300000</v>
      </c>
      <c r="G69" s="85"/>
      <c r="H69" s="220"/>
    </row>
    <row r="70" customHeight="1" spans="1:8">
      <c r="A70" s="10">
        <v>11</v>
      </c>
      <c r="B70" s="11" t="s">
        <v>157</v>
      </c>
      <c r="C70" s="4" t="s">
        <v>152</v>
      </c>
      <c r="D70" s="10" t="s">
        <v>156</v>
      </c>
      <c r="E70" s="85">
        <v>300000</v>
      </c>
      <c r="F70" s="85">
        <f t="shared" si="5"/>
        <v>300000</v>
      </c>
      <c r="G70" s="85"/>
      <c r="H70" s="220"/>
    </row>
    <row r="71" s="1" customFormat="1" ht="18.75" customHeight="1" spans="1:8">
      <c r="A71" s="10">
        <v>12</v>
      </c>
      <c r="B71" s="18" t="s">
        <v>158</v>
      </c>
      <c r="C71" s="4" t="s">
        <v>152</v>
      </c>
      <c r="D71" s="10" t="s">
        <v>99</v>
      </c>
      <c r="E71" s="85">
        <v>300000</v>
      </c>
      <c r="F71" s="85">
        <f t="shared" si="5"/>
        <v>300000</v>
      </c>
      <c r="G71" s="85"/>
      <c r="H71" s="220"/>
    </row>
    <row r="72" ht="25.5" customHeight="1" spans="1:8">
      <c r="A72" s="10"/>
      <c r="B72" s="20" t="s">
        <v>120</v>
      </c>
      <c r="C72" s="21">
        <v>12</v>
      </c>
      <c r="D72" s="21"/>
      <c r="E72" s="93">
        <f>SUM(E60:E71)</f>
        <v>6400000</v>
      </c>
      <c r="F72" s="93">
        <f>SUM(F60:F71)</f>
        <v>1500000</v>
      </c>
      <c r="G72" s="93">
        <f>SUM(G60:G71)</f>
        <v>400000</v>
      </c>
      <c r="H72" s="93">
        <f>SUM(H60:H71)</f>
        <v>4500000</v>
      </c>
    </row>
    <row r="73" customHeight="1" spans="1:8">
      <c r="A73" s="10"/>
      <c r="B73" s="22"/>
      <c r="C73" s="21"/>
      <c r="D73" s="21"/>
      <c r="E73" s="156"/>
      <c r="F73" s="156"/>
      <c r="G73" s="156"/>
      <c r="H73" s="220"/>
    </row>
    <row r="74" customHeight="1" spans="1:8">
      <c r="A74" s="10"/>
      <c r="B74" s="20" t="s">
        <v>159</v>
      </c>
      <c r="C74" s="21"/>
      <c r="D74" s="21"/>
      <c r="E74" s="156"/>
      <c r="F74" s="156"/>
      <c r="G74" s="156"/>
      <c r="H74" s="220"/>
    </row>
    <row r="75" customHeight="1" spans="1:8">
      <c r="A75" s="10">
        <v>1</v>
      </c>
      <c r="B75" s="11" t="s">
        <v>160</v>
      </c>
      <c r="C75" s="12" t="s">
        <v>161</v>
      </c>
      <c r="D75" s="15" t="s">
        <v>124</v>
      </c>
      <c r="E75" s="85">
        <v>500000</v>
      </c>
      <c r="F75" s="85"/>
      <c r="G75" s="85"/>
      <c r="H75" s="220">
        <f t="shared" ref="H75:H81" si="6">E75</f>
        <v>500000</v>
      </c>
    </row>
    <row r="76" customHeight="1" spans="1:8">
      <c r="A76" s="10">
        <v>2</v>
      </c>
      <c r="B76" s="11" t="s">
        <v>162</v>
      </c>
      <c r="C76" s="12" t="s">
        <v>503</v>
      </c>
      <c r="D76" s="15" t="s">
        <v>504</v>
      </c>
      <c r="E76" s="85">
        <v>700000</v>
      </c>
      <c r="F76" s="85"/>
      <c r="G76" s="85"/>
      <c r="H76" s="220">
        <f t="shared" si="6"/>
        <v>700000</v>
      </c>
    </row>
    <row r="77" customHeight="1" spans="1:8">
      <c r="A77" s="10"/>
      <c r="B77" s="20" t="s">
        <v>120</v>
      </c>
      <c r="C77" s="21">
        <v>2</v>
      </c>
      <c r="D77" s="21"/>
      <c r="E77" s="93">
        <f>SUM(E75:E76)</f>
        <v>1200000</v>
      </c>
      <c r="F77" s="93">
        <f>SUM(F75:F76)</f>
        <v>0</v>
      </c>
      <c r="G77" s="93">
        <f>SUM(G75:G76)</f>
        <v>0</v>
      </c>
      <c r="H77" s="93">
        <f>SUM(H75:H76)</f>
        <v>1200000</v>
      </c>
    </row>
    <row r="78" customHeight="1" spans="1:8">
      <c r="A78" s="10"/>
      <c r="B78" s="20"/>
      <c r="C78" s="21"/>
      <c r="D78" s="21"/>
      <c r="E78" s="156"/>
      <c r="F78" s="156"/>
      <c r="G78" s="156"/>
      <c r="H78" s="220"/>
    </row>
    <row r="79" customHeight="1" spans="1:8">
      <c r="A79" s="10"/>
      <c r="B79" s="20" t="s">
        <v>164</v>
      </c>
      <c r="C79" s="21"/>
      <c r="D79" s="21"/>
      <c r="E79" s="156"/>
      <c r="F79" s="156"/>
      <c r="G79" s="156"/>
      <c r="H79" s="220"/>
    </row>
    <row r="80" customHeight="1" spans="1:8">
      <c r="A80" s="10">
        <v>1</v>
      </c>
      <c r="B80" s="14" t="s">
        <v>165</v>
      </c>
      <c r="C80" s="4" t="s">
        <v>166</v>
      </c>
      <c r="D80" s="10" t="s">
        <v>36</v>
      </c>
      <c r="E80" s="85">
        <v>1000000</v>
      </c>
      <c r="F80" s="85"/>
      <c r="G80" s="85"/>
      <c r="H80" s="220">
        <f t="shared" si="6"/>
        <v>1000000</v>
      </c>
    </row>
    <row r="81" customHeight="1" spans="1:8">
      <c r="A81" s="10">
        <v>2</v>
      </c>
      <c r="B81" s="11" t="s">
        <v>167</v>
      </c>
      <c r="C81" s="4" t="s">
        <v>52</v>
      </c>
      <c r="D81" s="10" t="s">
        <v>47</v>
      </c>
      <c r="E81" s="85">
        <v>500000</v>
      </c>
      <c r="F81" s="85"/>
      <c r="G81" s="85">
        <f t="shared" ref="G81:G89" si="7">E81</f>
        <v>500000</v>
      </c>
      <c r="H81" s="220"/>
    </row>
    <row r="82" s="1" customFormat="1" customHeight="1" spans="1:8">
      <c r="A82" s="10">
        <v>3</v>
      </c>
      <c r="B82" s="18" t="s">
        <v>168</v>
      </c>
      <c r="C82" s="17" t="s">
        <v>217</v>
      </c>
      <c r="D82" s="15" t="s">
        <v>64</v>
      </c>
      <c r="E82" s="85">
        <v>500000</v>
      </c>
      <c r="F82" s="85"/>
      <c r="G82" s="85">
        <f t="shared" si="7"/>
        <v>500000</v>
      </c>
      <c r="H82" s="220"/>
    </row>
    <row r="83" s="1" customFormat="1" customHeight="1" spans="1:8">
      <c r="A83" s="10">
        <v>4</v>
      </c>
      <c r="B83" s="18" t="s">
        <v>170</v>
      </c>
      <c r="C83" s="17" t="s">
        <v>217</v>
      </c>
      <c r="D83" s="15" t="s">
        <v>64</v>
      </c>
      <c r="E83" s="85">
        <v>500000</v>
      </c>
      <c r="F83" s="85"/>
      <c r="G83" s="85">
        <f t="shared" si="7"/>
        <v>500000</v>
      </c>
      <c r="H83" s="220"/>
    </row>
    <row r="84" customHeight="1" spans="1:8">
      <c r="A84" s="10">
        <v>5</v>
      </c>
      <c r="B84" s="11" t="s">
        <v>171</v>
      </c>
      <c r="C84" s="4" t="s">
        <v>152</v>
      </c>
      <c r="D84" s="10" t="s">
        <v>173</v>
      </c>
      <c r="E84" s="85">
        <v>400000</v>
      </c>
      <c r="F84" s="85"/>
      <c r="G84" s="85">
        <f t="shared" si="7"/>
        <v>400000</v>
      </c>
      <c r="H84" s="220"/>
    </row>
    <row r="85" customHeight="1" spans="1:8">
      <c r="A85" s="10">
        <v>6</v>
      </c>
      <c r="B85" s="11" t="s">
        <v>172</v>
      </c>
      <c r="C85" s="17" t="s">
        <v>72</v>
      </c>
      <c r="D85" s="10" t="s">
        <v>173</v>
      </c>
      <c r="E85" s="85">
        <v>400000</v>
      </c>
      <c r="F85" s="85"/>
      <c r="G85" s="85">
        <f t="shared" si="7"/>
        <v>400000</v>
      </c>
      <c r="H85" s="220"/>
    </row>
    <row r="86" customHeight="1" spans="1:8">
      <c r="A86" s="10">
        <v>7</v>
      </c>
      <c r="B86" s="11" t="s">
        <v>174</v>
      </c>
      <c r="C86" s="17" t="s">
        <v>72</v>
      </c>
      <c r="D86" s="10" t="s">
        <v>173</v>
      </c>
      <c r="E86" s="85">
        <v>400000</v>
      </c>
      <c r="F86" s="85"/>
      <c r="G86" s="85">
        <f t="shared" si="7"/>
        <v>400000</v>
      </c>
      <c r="H86" s="220"/>
    </row>
    <row r="87" customHeight="1" spans="1:8">
      <c r="A87" s="10">
        <v>8</v>
      </c>
      <c r="B87" s="11" t="s">
        <v>175</v>
      </c>
      <c r="C87" s="4" t="s">
        <v>176</v>
      </c>
      <c r="D87" s="15" t="s">
        <v>67</v>
      </c>
      <c r="E87" s="85">
        <v>500000</v>
      </c>
      <c r="F87" s="85"/>
      <c r="G87" s="85">
        <f t="shared" si="7"/>
        <v>500000</v>
      </c>
      <c r="H87" s="220"/>
    </row>
    <row r="88" s="1" customFormat="1" customHeight="1" spans="1:8">
      <c r="A88" s="10">
        <v>9</v>
      </c>
      <c r="B88" s="14" t="s">
        <v>177</v>
      </c>
      <c r="C88" s="17" t="s">
        <v>178</v>
      </c>
      <c r="D88" s="10" t="s">
        <v>131</v>
      </c>
      <c r="E88" s="85">
        <v>400000</v>
      </c>
      <c r="F88" s="85"/>
      <c r="G88" s="85">
        <f t="shared" si="7"/>
        <v>400000</v>
      </c>
      <c r="H88" s="220"/>
    </row>
    <row r="89" ht="21.6" customHeight="1" spans="1:8">
      <c r="A89" s="10">
        <v>10</v>
      </c>
      <c r="B89" s="11" t="s">
        <v>179</v>
      </c>
      <c r="C89" s="4" t="s">
        <v>152</v>
      </c>
      <c r="D89" s="10" t="s">
        <v>131</v>
      </c>
      <c r="E89" s="85">
        <v>400000</v>
      </c>
      <c r="F89" s="85"/>
      <c r="G89" s="85">
        <f t="shared" si="7"/>
        <v>400000</v>
      </c>
      <c r="H89" s="220"/>
    </row>
    <row r="90" s="1" customFormat="1" ht="18.75" customHeight="1" spans="1:8">
      <c r="A90" s="10">
        <v>11</v>
      </c>
      <c r="B90" s="18" t="s">
        <v>181</v>
      </c>
      <c r="C90" s="4" t="s">
        <v>182</v>
      </c>
      <c r="D90" s="10" t="s">
        <v>99</v>
      </c>
      <c r="E90" s="85">
        <v>300000</v>
      </c>
      <c r="F90" s="85">
        <f>E90</f>
        <v>300000</v>
      </c>
      <c r="G90" s="85"/>
      <c r="H90" s="220"/>
    </row>
    <row r="91" ht="27" customHeight="1" spans="1:8">
      <c r="A91" s="10"/>
      <c r="B91" s="20" t="s">
        <v>120</v>
      </c>
      <c r="C91" s="21">
        <v>11</v>
      </c>
      <c r="D91" s="21"/>
      <c r="E91" s="93">
        <f>SUM(E80:E90)</f>
        <v>5300000</v>
      </c>
      <c r="F91" s="93">
        <f>SUM(F80:F90)</f>
        <v>300000</v>
      </c>
      <c r="G91" s="93">
        <f>SUM(G80:G90)</f>
        <v>4000000</v>
      </c>
      <c r="H91" s="93">
        <f>SUM(H80:H90)</f>
        <v>1000000</v>
      </c>
    </row>
    <row r="92" customHeight="1" spans="1:8">
      <c r="A92" s="10"/>
      <c r="B92" s="22"/>
      <c r="C92" s="21"/>
      <c r="D92" s="21"/>
      <c r="E92" s="156"/>
      <c r="F92" s="156"/>
      <c r="G92" s="156"/>
      <c r="H92" s="220"/>
    </row>
    <row r="93" customHeight="1" spans="1:8">
      <c r="A93" s="10"/>
      <c r="B93" s="20" t="s">
        <v>183</v>
      </c>
      <c r="C93" s="21"/>
      <c r="D93" s="21"/>
      <c r="E93" s="156"/>
      <c r="F93" s="156"/>
      <c r="G93" s="156"/>
      <c r="H93" s="220"/>
    </row>
    <row r="94" customHeight="1" spans="1:8">
      <c r="A94" s="10">
        <v>1</v>
      </c>
      <c r="B94" s="11" t="s">
        <v>184</v>
      </c>
      <c r="C94" s="4" t="s">
        <v>185</v>
      </c>
      <c r="D94" s="10" t="s">
        <v>124</v>
      </c>
      <c r="E94" s="85">
        <v>1000000</v>
      </c>
      <c r="F94" s="85"/>
      <c r="G94" s="85"/>
      <c r="H94" s="220">
        <f>E94</f>
        <v>1000000</v>
      </c>
    </row>
    <row r="95" customHeight="1" spans="1:8">
      <c r="A95" s="10">
        <v>2</v>
      </c>
      <c r="B95" s="11" t="s">
        <v>186</v>
      </c>
      <c r="C95" s="4" t="s">
        <v>187</v>
      </c>
      <c r="D95" s="10" t="s">
        <v>50</v>
      </c>
      <c r="E95" s="85">
        <v>700000</v>
      </c>
      <c r="F95" s="85"/>
      <c r="G95" s="85"/>
      <c r="H95" s="220">
        <f>E95</f>
        <v>700000</v>
      </c>
    </row>
    <row r="96" customHeight="1" spans="1:8">
      <c r="A96" s="10">
        <v>3</v>
      </c>
      <c r="B96" s="11" t="s">
        <v>188</v>
      </c>
      <c r="C96" s="4" t="s">
        <v>189</v>
      </c>
      <c r="D96" s="10" t="s">
        <v>50</v>
      </c>
      <c r="E96" s="85">
        <v>700000</v>
      </c>
      <c r="F96" s="85"/>
      <c r="G96" s="85"/>
      <c r="H96" s="220">
        <f>E96</f>
        <v>700000</v>
      </c>
    </row>
    <row r="97" customHeight="1" spans="1:8">
      <c r="A97" s="10">
        <v>4</v>
      </c>
      <c r="B97" s="11" t="s">
        <v>190</v>
      </c>
      <c r="C97" s="4" t="s">
        <v>191</v>
      </c>
      <c r="D97" s="15" t="s">
        <v>192</v>
      </c>
      <c r="E97" s="85">
        <v>500000</v>
      </c>
      <c r="F97" s="85"/>
      <c r="G97" s="85">
        <f>E97</f>
        <v>500000</v>
      </c>
      <c r="H97" s="220"/>
    </row>
    <row r="98" customHeight="1" spans="1:8">
      <c r="A98" s="10">
        <v>5</v>
      </c>
      <c r="B98" s="11" t="s">
        <v>193</v>
      </c>
      <c r="C98" s="12" t="s">
        <v>194</v>
      </c>
      <c r="D98" s="15" t="s">
        <v>64</v>
      </c>
      <c r="E98" s="85">
        <v>500000</v>
      </c>
      <c r="F98" s="85"/>
      <c r="G98" s="85">
        <f>E98</f>
        <v>500000</v>
      </c>
      <c r="H98" s="220"/>
    </row>
    <row r="99" s="1" customFormat="1" customHeight="1" spans="1:8">
      <c r="A99" s="10">
        <v>6</v>
      </c>
      <c r="B99" s="11" t="s">
        <v>195</v>
      </c>
      <c r="C99" s="4" t="s">
        <v>196</v>
      </c>
      <c r="D99" s="15" t="s">
        <v>64</v>
      </c>
      <c r="E99" s="85">
        <v>500000</v>
      </c>
      <c r="F99" s="85"/>
      <c r="G99" s="85">
        <f>E99</f>
        <v>500000</v>
      </c>
      <c r="H99" s="220"/>
    </row>
    <row r="100" customHeight="1" spans="1:8">
      <c r="A100" s="10">
        <v>7</v>
      </c>
      <c r="B100" s="11" t="s">
        <v>197</v>
      </c>
      <c r="C100" s="4" t="s">
        <v>198</v>
      </c>
      <c r="D100" s="10" t="s">
        <v>70</v>
      </c>
      <c r="E100" s="85">
        <v>400000</v>
      </c>
      <c r="F100" s="85"/>
      <c r="G100" s="85">
        <f>E100</f>
        <v>400000</v>
      </c>
      <c r="H100" s="220"/>
    </row>
    <row r="101" s="1" customFormat="1" customHeight="1" spans="1:8">
      <c r="A101" s="10">
        <v>8</v>
      </c>
      <c r="B101" s="11" t="s">
        <v>199</v>
      </c>
      <c r="C101" s="4" t="s">
        <v>200</v>
      </c>
      <c r="D101" s="10" t="s">
        <v>75</v>
      </c>
      <c r="E101" s="85">
        <v>300000</v>
      </c>
      <c r="F101" s="85">
        <f t="shared" ref="F101:F104" si="8">E101</f>
        <v>300000</v>
      </c>
      <c r="G101" s="85"/>
      <c r="H101" s="220"/>
    </row>
    <row r="102" customHeight="1" spans="1:8">
      <c r="A102" s="10">
        <v>9</v>
      </c>
      <c r="B102" s="11" t="s">
        <v>201</v>
      </c>
      <c r="C102" s="4" t="s">
        <v>182</v>
      </c>
      <c r="D102" s="10" t="s">
        <v>86</v>
      </c>
      <c r="E102" s="85">
        <v>300000</v>
      </c>
      <c r="F102" s="85">
        <f t="shared" si="8"/>
        <v>300000</v>
      </c>
      <c r="G102" s="85"/>
      <c r="H102" s="220"/>
    </row>
    <row r="103" s="1" customFormat="1" ht="18.75" customHeight="1" spans="1:8">
      <c r="A103" s="10">
        <v>10</v>
      </c>
      <c r="B103" s="18" t="s">
        <v>202</v>
      </c>
      <c r="C103" s="4" t="s">
        <v>182</v>
      </c>
      <c r="D103" s="10" t="s">
        <v>99</v>
      </c>
      <c r="E103" s="85">
        <v>300000</v>
      </c>
      <c r="F103" s="85">
        <f t="shared" si="8"/>
        <v>300000</v>
      </c>
      <c r="G103" s="85"/>
      <c r="H103" s="220"/>
    </row>
    <row r="104" customHeight="1" spans="1:8">
      <c r="A104" s="10">
        <v>11</v>
      </c>
      <c r="B104" s="11" t="s">
        <v>203</v>
      </c>
      <c r="C104" s="4" t="s">
        <v>204</v>
      </c>
      <c r="D104" s="10" t="s">
        <v>105</v>
      </c>
      <c r="E104" s="85">
        <v>300000</v>
      </c>
      <c r="F104" s="85">
        <f t="shared" si="8"/>
        <v>300000</v>
      </c>
      <c r="G104" s="85"/>
      <c r="H104" s="220"/>
    </row>
    <row r="105" customHeight="1" spans="1:8">
      <c r="A105" s="10"/>
      <c r="B105" s="20" t="s">
        <v>120</v>
      </c>
      <c r="C105" s="21">
        <v>11</v>
      </c>
      <c r="D105" s="21"/>
      <c r="E105" s="93">
        <f>SUM(E94:E104)</f>
        <v>5500000</v>
      </c>
      <c r="F105" s="93">
        <f>SUM(F94:F104)</f>
        <v>1200000</v>
      </c>
      <c r="G105" s="93">
        <f>SUM(G94:G104)</f>
        <v>1900000</v>
      </c>
      <c r="H105" s="93">
        <f>SUM(H94:H104)</f>
        <v>2400000</v>
      </c>
    </row>
    <row r="106" customHeight="1" spans="1:8">
      <c r="A106" s="10"/>
      <c r="B106" s="20"/>
      <c r="C106" s="21"/>
      <c r="D106" s="21"/>
      <c r="E106" s="156"/>
      <c r="F106" s="156"/>
      <c r="G106" s="156"/>
      <c r="H106" s="220"/>
    </row>
    <row r="107" customHeight="1" spans="1:8">
      <c r="A107" s="10"/>
      <c r="B107" s="20" t="s">
        <v>205</v>
      </c>
      <c r="C107" s="25"/>
      <c r="D107" s="21"/>
      <c r="E107" s="156"/>
      <c r="F107" s="156"/>
      <c r="G107" s="156"/>
      <c r="H107" s="220"/>
    </row>
    <row r="108" customHeight="1" spans="1:8">
      <c r="A108" s="10">
        <v>1</v>
      </c>
      <c r="B108" s="11" t="s">
        <v>206</v>
      </c>
      <c r="C108" s="4" t="s">
        <v>207</v>
      </c>
      <c r="D108" s="10" t="s">
        <v>140</v>
      </c>
      <c r="E108" s="85">
        <v>1000000</v>
      </c>
      <c r="F108" s="85"/>
      <c r="G108" s="85"/>
      <c r="H108" s="220">
        <f>E108</f>
        <v>1000000</v>
      </c>
    </row>
    <row r="109" customHeight="1" spans="1:8">
      <c r="A109" s="10">
        <v>2</v>
      </c>
      <c r="B109" s="11" t="s">
        <v>208</v>
      </c>
      <c r="C109" s="4" t="s">
        <v>209</v>
      </c>
      <c r="D109" s="10" t="s">
        <v>210</v>
      </c>
      <c r="E109" s="85">
        <v>700000</v>
      </c>
      <c r="F109" s="85"/>
      <c r="G109" s="85"/>
      <c r="H109" s="220">
        <f>E109</f>
        <v>700000</v>
      </c>
    </row>
    <row r="110" ht="21.6" customHeight="1" spans="1:8">
      <c r="A110" s="10">
        <v>3</v>
      </c>
      <c r="B110" s="11" t="s">
        <v>211</v>
      </c>
      <c r="C110" s="4" t="s">
        <v>52</v>
      </c>
      <c r="D110" s="15" t="s">
        <v>47</v>
      </c>
      <c r="E110" s="85">
        <v>500000</v>
      </c>
      <c r="F110" s="85"/>
      <c r="G110" s="85">
        <f t="shared" ref="G110:G115" si="9">E110</f>
        <v>500000</v>
      </c>
      <c r="H110" s="220"/>
    </row>
    <row r="111" ht="21.6" customHeight="1" spans="1:8">
      <c r="A111" s="10">
        <v>4</v>
      </c>
      <c r="B111" s="11" t="s">
        <v>212</v>
      </c>
      <c r="C111" s="4" t="s">
        <v>52</v>
      </c>
      <c r="D111" s="15" t="s">
        <v>47</v>
      </c>
      <c r="E111" s="85">
        <v>500000</v>
      </c>
      <c r="F111" s="85"/>
      <c r="G111" s="85">
        <f t="shared" si="9"/>
        <v>500000</v>
      </c>
      <c r="H111" s="220"/>
    </row>
    <row r="112" ht="21.6" customHeight="1" spans="1:8">
      <c r="A112" s="10">
        <v>5</v>
      </c>
      <c r="B112" s="651" t="s">
        <v>213</v>
      </c>
      <c r="C112" s="12" t="s">
        <v>52</v>
      </c>
      <c r="D112" s="15" t="s">
        <v>214</v>
      </c>
      <c r="E112" s="85">
        <v>250000</v>
      </c>
      <c r="F112" s="85"/>
      <c r="G112" s="85">
        <f t="shared" si="9"/>
        <v>250000</v>
      </c>
      <c r="H112" s="220"/>
    </row>
    <row r="113" ht="21.6" customHeight="1" spans="1:8">
      <c r="A113" s="10">
        <v>6</v>
      </c>
      <c r="B113" s="11" t="s">
        <v>215</v>
      </c>
      <c r="C113" s="17" t="s">
        <v>72</v>
      </c>
      <c r="D113" s="15" t="s">
        <v>173</v>
      </c>
      <c r="E113" s="85">
        <v>400000</v>
      </c>
      <c r="F113" s="85"/>
      <c r="G113" s="85">
        <f t="shared" si="9"/>
        <v>400000</v>
      </c>
      <c r="H113" s="220"/>
    </row>
    <row r="114" ht="21.6" customHeight="1" spans="1:8">
      <c r="A114" s="10">
        <v>7</v>
      </c>
      <c r="B114" s="11" t="s">
        <v>216</v>
      </c>
      <c r="C114" s="17" t="s">
        <v>217</v>
      </c>
      <c r="D114" s="15" t="s">
        <v>218</v>
      </c>
      <c r="E114" s="85">
        <v>250000</v>
      </c>
      <c r="F114" s="85"/>
      <c r="G114" s="85">
        <f t="shared" si="9"/>
        <v>250000</v>
      </c>
      <c r="H114" s="220"/>
    </row>
    <row r="115" s="1" customFormat="1" customHeight="1" spans="1:8">
      <c r="A115" s="10">
        <v>8</v>
      </c>
      <c r="B115" s="18" t="s">
        <v>219</v>
      </c>
      <c r="C115" s="4" t="s">
        <v>150</v>
      </c>
      <c r="D115" s="15" t="s">
        <v>131</v>
      </c>
      <c r="E115" s="220">
        <v>400000</v>
      </c>
      <c r="F115" s="85"/>
      <c r="G115" s="85">
        <f t="shared" si="9"/>
        <v>400000</v>
      </c>
      <c r="H115" s="220"/>
    </row>
    <row r="116" ht="21.6" customHeight="1" spans="1:8">
      <c r="A116" s="10">
        <v>9</v>
      </c>
      <c r="B116" s="11" t="s">
        <v>220</v>
      </c>
      <c r="C116" s="4" t="s">
        <v>221</v>
      </c>
      <c r="D116" s="10" t="s">
        <v>153</v>
      </c>
      <c r="E116" s="220">
        <v>300000</v>
      </c>
      <c r="F116" s="85">
        <f t="shared" ref="F116:F119" si="10">E116</f>
        <v>300000</v>
      </c>
      <c r="G116" s="85"/>
      <c r="H116" s="220"/>
    </row>
    <row r="117" s="1" customFormat="1" ht="18.75" customHeight="1" spans="1:8">
      <c r="A117" s="10">
        <v>10</v>
      </c>
      <c r="B117" s="18" t="s">
        <v>222</v>
      </c>
      <c r="C117" s="4" t="s">
        <v>152</v>
      </c>
      <c r="D117" s="10" t="s">
        <v>99</v>
      </c>
      <c r="E117" s="220">
        <v>300000</v>
      </c>
      <c r="F117" s="85">
        <f t="shared" si="10"/>
        <v>300000</v>
      </c>
      <c r="G117" s="85"/>
      <c r="H117" s="220"/>
    </row>
    <row r="118" s="1" customFormat="1" ht="18.75" customHeight="1" spans="1:8">
      <c r="A118" s="10">
        <v>11</v>
      </c>
      <c r="B118" s="18" t="s">
        <v>223</v>
      </c>
      <c r="C118" s="4" t="s">
        <v>152</v>
      </c>
      <c r="D118" s="10" t="s">
        <v>99</v>
      </c>
      <c r="E118" s="220">
        <v>300000</v>
      </c>
      <c r="F118" s="85">
        <f t="shared" si="10"/>
        <v>300000</v>
      </c>
      <c r="G118" s="85"/>
      <c r="H118" s="220"/>
    </row>
    <row r="119" ht="21.6" customHeight="1" spans="1:8">
      <c r="A119" s="10">
        <v>12</v>
      </c>
      <c r="B119" s="11" t="s">
        <v>224</v>
      </c>
      <c r="C119" s="17" t="s">
        <v>505</v>
      </c>
      <c r="D119" s="15" t="s">
        <v>506</v>
      </c>
      <c r="E119" s="220">
        <v>300000</v>
      </c>
      <c r="F119" s="85">
        <f t="shared" si="10"/>
        <v>300000</v>
      </c>
      <c r="G119" s="85"/>
      <c r="H119" s="220"/>
    </row>
    <row r="120" customHeight="1" spans="1:8">
      <c r="A120" s="10"/>
      <c r="B120" s="20" t="s">
        <v>120</v>
      </c>
      <c r="C120" s="21">
        <v>12</v>
      </c>
      <c r="D120" s="21"/>
      <c r="E120" s="93">
        <f>SUM(E108:E119)</f>
        <v>5200000</v>
      </c>
      <c r="F120" s="93">
        <f>SUM(F108:F119)</f>
        <v>1200000</v>
      </c>
      <c r="G120" s="93">
        <f>SUM(G108:G119)</f>
        <v>2300000</v>
      </c>
      <c r="H120" s="93">
        <f>SUM(H108:H119)</f>
        <v>1700000</v>
      </c>
    </row>
    <row r="121" customHeight="1" spans="1:8">
      <c r="A121" s="10"/>
      <c r="B121" s="22"/>
      <c r="C121" s="21"/>
      <c r="D121" s="21"/>
      <c r="E121" s="156"/>
      <c r="F121" s="156"/>
      <c r="G121" s="156"/>
      <c r="H121" s="220"/>
    </row>
    <row r="122" customHeight="1" spans="1:8">
      <c r="A122" s="10"/>
      <c r="B122" s="20" t="s">
        <v>507</v>
      </c>
      <c r="C122" s="21"/>
      <c r="D122" s="21"/>
      <c r="E122" s="156"/>
      <c r="F122" s="156"/>
      <c r="G122" s="156"/>
      <c r="H122" s="220"/>
    </row>
    <row r="123" customHeight="1" spans="1:8">
      <c r="A123" s="10">
        <v>1</v>
      </c>
      <c r="B123" s="14" t="s">
        <v>227</v>
      </c>
      <c r="C123" s="4" t="s">
        <v>508</v>
      </c>
      <c r="D123" s="16" t="s">
        <v>124</v>
      </c>
      <c r="E123" s="85">
        <v>500000</v>
      </c>
      <c r="F123" s="85"/>
      <c r="G123" s="85"/>
      <c r="H123" s="220">
        <f>E123</f>
        <v>500000</v>
      </c>
    </row>
    <row r="124" customHeight="1" spans="1:8">
      <c r="A124" s="10">
        <v>2</v>
      </c>
      <c r="B124" s="11" t="s">
        <v>229</v>
      </c>
      <c r="C124" s="4" t="s">
        <v>230</v>
      </c>
      <c r="D124" s="15" t="s">
        <v>192</v>
      </c>
      <c r="E124" s="85">
        <v>500000</v>
      </c>
      <c r="F124" s="85"/>
      <c r="G124" s="85">
        <f>E124</f>
        <v>500000</v>
      </c>
      <c r="H124" s="220"/>
    </row>
    <row r="125" customHeight="1" spans="1:8">
      <c r="A125" s="10">
        <v>3</v>
      </c>
      <c r="B125" s="11" t="s">
        <v>231</v>
      </c>
      <c r="C125" s="12" t="s">
        <v>232</v>
      </c>
      <c r="D125" s="15" t="s">
        <v>218</v>
      </c>
      <c r="E125" s="85">
        <v>500000</v>
      </c>
      <c r="F125" s="85"/>
      <c r="G125" s="85">
        <f>E125</f>
        <v>500000</v>
      </c>
      <c r="H125" s="220"/>
    </row>
    <row r="126" s="1" customFormat="1" customHeight="1" spans="1:8">
      <c r="A126" s="10">
        <v>4</v>
      </c>
      <c r="B126" s="11" t="s">
        <v>233</v>
      </c>
      <c r="C126" s="4" t="s">
        <v>234</v>
      </c>
      <c r="D126" s="15" t="s">
        <v>64</v>
      </c>
      <c r="E126" s="85">
        <v>500000</v>
      </c>
      <c r="F126" s="85"/>
      <c r="G126" s="85">
        <f>E126</f>
        <v>500000</v>
      </c>
      <c r="H126" s="220"/>
    </row>
    <row r="127" customHeight="1" spans="1:8">
      <c r="A127" s="10">
        <v>5</v>
      </c>
      <c r="B127" s="11" t="s">
        <v>235</v>
      </c>
      <c r="C127" s="4" t="s">
        <v>234</v>
      </c>
      <c r="D127" s="15" t="s">
        <v>64</v>
      </c>
      <c r="E127" s="85">
        <v>500000</v>
      </c>
      <c r="F127" s="85"/>
      <c r="G127" s="85">
        <f>E127</f>
        <v>500000</v>
      </c>
      <c r="H127" s="220"/>
    </row>
    <row r="128" customHeight="1" spans="1:8">
      <c r="A128" s="10">
        <v>6</v>
      </c>
      <c r="B128" s="11" t="s">
        <v>236</v>
      </c>
      <c r="C128" s="4" t="s">
        <v>200</v>
      </c>
      <c r="D128" s="15" t="s">
        <v>153</v>
      </c>
      <c r="E128" s="220">
        <v>300000</v>
      </c>
      <c r="F128" s="85">
        <f>E128</f>
        <v>300000</v>
      </c>
      <c r="G128" s="85"/>
      <c r="H128" s="220"/>
    </row>
    <row r="129" s="1" customFormat="1" customHeight="1" spans="1:8">
      <c r="A129" s="10">
        <v>7</v>
      </c>
      <c r="B129" s="18" t="s">
        <v>237</v>
      </c>
      <c r="C129" s="12" t="s">
        <v>238</v>
      </c>
      <c r="D129" s="15" t="s">
        <v>75</v>
      </c>
      <c r="E129" s="220">
        <v>300000</v>
      </c>
      <c r="F129" s="85">
        <f>E129</f>
        <v>300000</v>
      </c>
      <c r="G129" s="85"/>
      <c r="H129" s="220"/>
    </row>
    <row r="130" customHeight="1" spans="1:8">
      <c r="A130" s="4"/>
      <c r="B130" s="20" t="s">
        <v>120</v>
      </c>
      <c r="C130" s="21">
        <v>7</v>
      </c>
      <c r="D130" s="26"/>
      <c r="E130" s="93">
        <f>SUM(E123:E129)</f>
        <v>3100000</v>
      </c>
      <c r="F130" s="93">
        <f>SUM(F123:F129)</f>
        <v>600000</v>
      </c>
      <c r="G130" s="93">
        <f>SUM(G123:G129)</f>
        <v>2000000</v>
      </c>
      <c r="H130" s="93">
        <f>SUM(H123:H129)</f>
        <v>500000</v>
      </c>
    </row>
    <row r="131" customHeight="1" spans="1:8">
      <c r="A131" s="4"/>
      <c r="B131" s="22"/>
      <c r="C131" s="21"/>
      <c r="D131" s="26"/>
      <c r="E131" s="156"/>
      <c r="F131" s="156"/>
      <c r="G131" s="156"/>
      <c r="H131" s="220"/>
    </row>
    <row r="132" customHeight="1" spans="1:8">
      <c r="A132" s="4"/>
      <c r="B132" s="20" t="s">
        <v>239</v>
      </c>
      <c r="C132" s="4"/>
      <c r="D132" s="4"/>
      <c r="E132" s="4"/>
      <c r="F132" s="4"/>
      <c r="G132" s="4"/>
      <c r="H132" s="220"/>
    </row>
    <row r="133" customHeight="1" spans="1:8">
      <c r="A133" s="4">
        <v>1</v>
      </c>
      <c r="B133" s="11" t="s">
        <v>242</v>
      </c>
      <c r="C133" s="4" t="s">
        <v>243</v>
      </c>
      <c r="D133" s="16" t="s">
        <v>36</v>
      </c>
      <c r="E133" s="85">
        <v>700000</v>
      </c>
      <c r="F133" s="85"/>
      <c r="G133" s="85"/>
      <c r="H133" s="220">
        <f>E133</f>
        <v>700000</v>
      </c>
    </row>
    <row r="134" customHeight="1" spans="1:8">
      <c r="A134" s="4">
        <v>2</v>
      </c>
      <c r="B134" s="11" t="s">
        <v>244</v>
      </c>
      <c r="C134" s="4" t="s">
        <v>245</v>
      </c>
      <c r="D134" s="10" t="s">
        <v>214</v>
      </c>
      <c r="E134" s="85">
        <v>500000</v>
      </c>
      <c r="F134" s="85"/>
      <c r="G134" s="85">
        <f>E134</f>
        <v>500000</v>
      </c>
      <c r="H134" s="220"/>
    </row>
    <row r="135" customHeight="1" spans="1:8">
      <c r="A135" s="4">
        <v>3</v>
      </c>
      <c r="B135" s="11" t="s">
        <v>246</v>
      </c>
      <c r="C135" s="4" t="s">
        <v>245</v>
      </c>
      <c r="D135" s="10" t="s">
        <v>214</v>
      </c>
      <c r="E135" s="85">
        <v>500000</v>
      </c>
      <c r="F135" s="85"/>
      <c r="G135" s="85">
        <f>E135</f>
        <v>500000</v>
      </c>
      <c r="H135" s="220"/>
    </row>
    <row r="136" s="1" customFormat="1" customHeight="1" spans="1:8">
      <c r="A136" s="4">
        <v>4</v>
      </c>
      <c r="B136" s="18" t="s">
        <v>247</v>
      </c>
      <c r="C136" s="4" t="s">
        <v>248</v>
      </c>
      <c r="D136" s="15" t="s">
        <v>131</v>
      </c>
      <c r="E136" s="220">
        <v>400000</v>
      </c>
      <c r="F136" s="85"/>
      <c r="G136" s="85">
        <f>E136</f>
        <v>400000</v>
      </c>
      <c r="H136" s="220"/>
    </row>
    <row r="137" customHeight="1" spans="1:8">
      <c r="A137" s="4">
        <v>5</v>
      </c>
      <c r="B137" s="11" t="s">
        <v>249</v>
      </c>
      <c r="C137" s="4" t="s">
        <v>250</v>
      </c>
      <c r="D137" s="15" t="s">
        <v>251</v>
      </c>
      <c r="E137" s="220">
        <v>300000</v>
      </c>
      <c r="F137" s="85">
        <f t="shared" ref="F137:F142" si="11">E137</f>
        <v>300000</v>
      </c>
      <c r="G137" s="85"/>
      <c r="H137" s="220"/>
    </row>
    <row r="138" customHeight="1" spans="1:8">
      <c r="A138" s="4">
        <v>6</v>
      </c>
      <c r="B138" s="18" t="s">
        <v>252</v>
      </c>
      <c r="C138" s="4" t="s">
        <v>250</v>
      </c>
      <c r="D138" s="10" t="s">
        <v>99</v>
      </c>
      <c r="E138" s="220">
        <v>300000</v>
      </c>
      <c r="F138" s="85">
        <f t="shared" si="11"/>
        <v>300000</v>
      </c>
      <c r="G138" s="85"/>
      <c r="H138" s="220"/>
    </row>
    <row r="139" customHeight="1" spans="1:8">
      <c r="A139" s="4">
        <v>7</v>
      </c>
      <c r="B139" s="18" t="s">
        <v>253</v>
      </c>
      <c r="C139" s="4" t="s">
        <v>250</v>
      </c>
      <c r="D139" s="15" t="s">
        <v>506</v>
      </c>
      <c r="E139" s="220">
        <v>300000</v>
      </c>
      <c r="F139" s="85">
        <f t="shared" si="11"/>
        <v>300000</v>
      </c>
      <c r="G139" s="85"/>
      <c r="H139" s="220"/>
    </row>
    <row r="140" s="1" customFormat="1" customHeight="1" spans="1:8">
      <c r="A140" s="4">
        <v>8</v>
      </c>
      <c r="B140" s="18" t="s">
        <v>254</v>
      </c>
      <c r="C140" s="4" t="s">
        <v>250</v>
      </c>
      <c r="D140" s="15" t="s">
        <v>111</v>
      </c>
      <c r="E140" s="220">
        <v>300000</v>
      </c>
      <c r="F140" s="85">
        <f t="shared" si="11"/>
        <v>300000</v>
      </c>
      <c r="G140" s="85"/>
      <c r="H140" s="220"/>
    </row>
    <row r="141" s="1" customFormat="1" customHeight="1" spans="1:8">
      <c r="A141" s="4">
        <v>9</v>
      </c>
      <c r="B141" s="18" t="s">
        <v>255</v>
      </c>
      <c r="C141" s="4" t="s">
        <v>250</v>
      </c>
      <c r="D141" s="15" t="s">
        <v>111</v>
      </c>
      <c r="E141" s="220">
        <v>300000</v>
      </c>
      <c r="F141" s="85">
        <f t="shared" si="11"/>
        <v>300000</v>
      </c>
      <c r="G141" s="85"/>
      <c r="H141" s="220"/>
    </row>
    <row r="142" s="1" customFormat="1" customHeight="1" spans="1:8">
      <c r="A142" s="4">
        <v>10</v>
      </c>
      <c r="B142" s="18" t="s">
        <v>256</v>
      </c>
      <c r="C142" s="4" t="s">
        <v>250</v>
      </c>
      <c r="D142" s="15" t="s">
        <v>111</v>
      </c>
      <c r="E142" s="220">
        <v>300000</v>
      </c>
      <c r="F142" s="85">
        <f t="shared" si="11"/>
        <v>300000</v>
      </c>
      <c r="G142" s="85"/>
      <c r="H142" s="220"/>
    </row>
    <row r="143" ht="25.5" customHeight="1" spans="1:8">
      <c r="A143" s="4"/>
      <c r="B143" s="20" t="s">
        <v>120</v>
      </c>
      <c r="C143" s="21">
        <v>10</v>
      </c>
      <c r="D143" s="4"/>
      <c r="E143" s="223">
        <f>SUM(E133:E142)</f>
        <v>3900000</v>
      </c>
      <c r="F143" s="223">
        <f>SUM(F133:F142)</f>
        <v>1800000</v>
      </c>
      <c r="G143" s="223">
        <f>SUM(G133:G142)</f>
        <v>1400000</v>
      </c>
      <c r="H143" s="223">
        <f>SUM(H133:H142)</f>
        <v>700000</v>
      </c>
    </row>
    <row r="144" customHeight="1" spans="1:8">
      <c r="A144" s="4"/>
      <c r="B144" s="20"/>
      <c r="C144" s="21"/>
      <c r="D144" s="4"/>
      <c r="E144" s="223"/>
      <c r="F144" s="223"/>
      <c r="G144" s="223"/>
      <c r="H144" s="521"/>
    </row>
    <row r="145" customHeight="1" spans="1:8">
      <c r="A145" s="10"/>
      <c r="B145" s="20" t="s">
        <v>257</v>
      </c>
      <c r="C145" s="21"/>
      <c r="D145" s="21"/>
      <c r="E145" s="156"/>
      <c r="F145" s="156"/>
      <c r="G145" s="156"/>
      <c r="H145" s="220"/>
    </row>
    <row r="146" s="1" customFormat="1" customHeight="1" spans="1:8">
      <c r="A146" s="10">
        <v>1</v>
      </c>
      <c r="B146" s="11" t="s">
        <v>258</v>
      </c>
      <c r="C146" s="17" t="s">
        <v>145</v>
      </c>
      <c r="D146" s="10" t="s">
        <v>50</v>
      </c>
      <c r="E146" s="85">
        <v>700000</v>
      </c>
      <c r="F146" s="85"/>
      <c r="G146" s="85"/>
      <c r="H146" s="220">
        <f>E146</f>
        <v>700000</v>
      </c>
    </row>
    <row r="147" ht="18.75" customHeight="1" spans="1:8">
      <c r="A147" s="10">
        <v>2</v>
      </c>
      <c r="B147" s="11" t="s">
        <v>259</v>
      </c>
      <c r="C147" s="4" t="s">
        <v>260</v>
      </c>
      <c r="D147" s="15" t="s">
        <v>261</v>
      </c>
      <c r="E147" s="85">
        <v>400000</v>
      </c>
      <c r="F147" s="85"/>
      <c r="G147" s="85">
        <f>E147</f>
        <v>400000</v>
      </c>
      <c r="H147" s="220"/>
    </row>
    <row r="148" s="1" customFormat="1" ht="18.75" customHeight="1" spans="1:8">
      <c r="A148" s="10">
        <v>3</v>
      </c>
      <c r="B148" s="18" t="s">
        <v>262</v>
      </c>
      <c r="C148" s="4" t="s">
        <v>152</v>
      </c>
      <c r="D148" s="10" t="s">
        <v>99</v>
      </c>
      <c r="E148" s="85">
        <v>300000</v>
      </c>
      <c r="F148" s="85">
        <f t="shared" ref="F148:F152" si="12">E148</f>
        <v>300000</v>
      </c>
      <c r="G148" s="85"/>
      <c r="H148" s="220"/>
    </row>
    <row r="149" s="1" customFormat="1" ht="18.75" customHeight="1" spans="1:8">
      <c r="A149" s="10">
        <v>4</v>
      </c>
      <c r="B149" s="18" t="s">
        <v>263</v>
      </c>
      <c r="C149" s="4" t="s">
        <v>152</v>
      </c>
      <c r="D149" s="10" t="s">
        <v>99</v>
      </c>
      <c r="E149" s="85">
        <v>300000</v>
      </c>
      <c r="F149" s="85">
        <f t="shared" si="12"/>
        <v>300000</v>
      </c>
      <c r="G149" s="85"/>
      <c r="H149" s="220"/>
    </row>
    <row r="150" s="1" customFormat="1" ht="18.75" customHeight="1" spans="1:8">
      <c r="A150" s="10">
        <v>5</v>
      </c>
      <c r="B150" s="18" t="s">
        <v>264</v>
      </c>
      <c r="C150" s="4" t="s">
        <v>152</v>
      </c>
      <c r="D150" s="10" t="s">
        <v>99</v>
      </c>
      <c r="E150" s="85">
        <v>300000</v>
      </c>
      <c r="F150" s="85">
        <f t="shared" si="12"/>
        <v>300000</v>
      </c>
      <c r="G150" s="85"/>
      <c r="H150" s="220"/>
    </row>
    <row r="151" s="1" customFormat="1" ht="18.75" customHeight="1" spans="1:8">
      <c r="A151" s="10">
        <v>6</v>
      </c>
      <c r="B151" s="18" t="s">
        <v>265</v>
      </c>
      <c r="C151" s="4" t="s">
        <v>152</v>
      </c>
      <c r="D151" s="10" t="s">
        <v>99</v>
      </c>
      <c r="E151" s="85">
        <v>300000</v>
      </c>
      <c r="F151" s="85">
        <f t="shared" si="12"/>
        <v>300000</v>
      </c>
      <c r="G151" s="85"/>
      <c r="H151" s="220"/>
    </row>
    <row r="152" s="1" customFormat="1" customHeight="1" spans="1:8">
      <c r="A152" s="10">
        <v>7</v>
      </c>
      <c r="B152" s="18" t="s">
        <v>266</v>
      </c>
      <c r="C152" s="12" t="s">
        <v>267</v>
      </c>
      <c r="D152" s="15" t="s">
        <v>111</v>
      </c>
      <c r="E152" s="85">
        <v>300000</v>
      </c>
      <c r="F152" s="85">
        <f t="shared" si="12"/>
        <v>300000</v>
      </c>
      <c r="G152" s="85"/>
      <c r="H152" s="220"/>
    </row>
    <row r="153" ht="24.75" customHeight="1" spans="1:8">
      <c r="A153" s="4"/>
      <c r="B153" s="20" t="s">
        <v>120</v>
      </c>
      <c r="C153" s="21">
        <v>7</v>
      </c>
      <c r="D153" s="26"/>
      <c r="E153" s="93">
        <f>SUM(E146:E152)</f>
        <v>2600000</v>
      </c>
      <c r="F153" s="93">
        <f>SUM(F146:F152)</f>
        <v>1500000</v>
      </c>
      <c r="G153" s="93">
        <f>SUM(G146:G152)</f>
        <v>400000</v>
      </c>
      <c r="H153" s="93">
        <f>SUM(H146:H152)</f>
        <v>700000</v>
      </c>
    </row>
    <row r="154" ht="24.75" customHeight="1" spans="1:8">
      <c r="A154" s="4"/>
      <c r="B154" s="20"/>
      <c r="C154" s="21"/>
      <c r="D154" s="26"/>
      <c r="E154" s="93"/>
      <c r="F154" s="93"/>
      <c r="G154" s="93"/>
      <c r="H154" s="93"/>
    </row>
    <row r="155" ht="24.75" customHeight="1" spans="1:8">
      <c r="A155" s="10"/>
      <c r="B155" s="20" t="s">
        <v>268</v>
      </c>
      <c r="C155" s="21"/>
      <c r="D155" s="21"/>
      <c r="E155" s="156"/>
      <c r="F155" s="156"/>
      <c r="G155" s="156"/>
      <c r="H155" s="220"/>
    </row>
    <row r="156" s="1" customFormat="1" ht="18.75" customHeight="1" spans="1:8">
      <c r="A156" s="4">
        <v>1</v>
      </c>
      <c r="B156" s="18" t="s">
        <v>269</v>
      </c>
      <c r="C156" s="4" t="s">
        <v>270</v>
      </c>
      <c r="D156" s="10" t="s">
        <v>99</v>
      </c>
      <c r="E156" s="85">
        <v>300000</v>
      </c>
      <c r="F156" s="85">
        <f t="shared" ref="F156:F159" si="13">E156</f>
        <v>300000</v>
      </c>
      <c r="G156" s="85"/>
      <c r="H156" s="220"/>
    </row>
    <row r="157" ht="24.75" customHeight="1" spans="1:8">
      <c r="A157" s="4">
        <v>2</v>
      </c>
      <c r="B157" s="11" t="s">
        <v>271</v>
      </c>
      <c r="C157" s="4" t="s">
        <v>272</v>
      </c>
      <c r="D157" s="10" t="s">
        <v>111</v>
      </c>
      <c r="E157" s="85">
        <v>300000</v>
      </c>
      <c r="F157" s="85">
        <f t="shared" si="13"/>
        <v>300000</v>
      </c>
      <c r="G157" s="85"/>
      <c r="H157" s="220"/>
    </row>
    <row r="158" s="1" customFormat="1" customHeight="1" spans="1:8">
      <c r="A158" s="4">
        <v>3</v>
      </c>
      <c r="B158" s="18" t="s">
        <v>273</v>
      </c>
      <c r="C158" s="12" t="s">
        <v>274</v>
      </c>
      <c r="D158" s="15" t="s">
        <v>275</v>
      </c>
      <c r="E158" s="85">
        <v>300000</v>
      </c>
      <c r="F158" s="85">
        <f t="shared" si="13"/>
        <v>300000</v>
      </c>
      <c r="G158" s="85"/>
      <c r="H158" s="220"/>
    </row>
    <row r="159" ht="24.75" customHeight="1" spans="1:8">
      <c r="A159" s="4">
        <v>4</v>
      </c>
      <c r="B159" s="11" t="s">
        <v>276</v>
      </c>
      <c r="C159" s="4" t="s">
        <v>277</v>
      </c>
      <c r="D159" s="10" t="s">
        <v>111</v>
      </c>
      <c r="E159" s="85">
        <v>300000</v>
      </c>
      <c r="F159" s="85">
        <f t="shared" si="13"/>
        <v>300000</v>
      </c>
      <c r="G159" s="85"/>
      <c r="H159" s="220"/>
    </row>
    <row r="160" customHeight="1" spans="1:8">
      <c r="A160" s="4"/>
      <c r="B160" s="20" t="s">
        <v>120</v>
      </c>
      <c r="C160" s="21">
        <v>4</v>
      </c>
      <c r="D160" s="26"/>
      <c r="E160" s="93">
        <f>SUM(E156:E159)</f>
        <v>1200000</v>
      </c>
      <c r="F160" s="93">
        <f>SUM(F156:F159)</f>
        <v>1200000</v>
      </c>
      <c r="G160" s="93">
        <f>SUM(G156:G159)</f>
        <v>0</v>
      </c>
      <c r="H160" s="93">
        <f>SUM(H156:H159)</f>
        <v>0</v>
      </c>
    </row>
    <row r="161" customHeight="1" spans="1:8">
      <c r="A161" s="4"/>
      <c r="B161" s="20"/>
      <c r="C161" s="21"/>
      <c r="D161" s="26"/>
      <c r="E161" s="93"/>
      <c r="F161" s="93"/>
      <c r="G161" s="93"/>
      <c r="H161" s="93"/>
    </row>
    <row r="162" customHeight="1" spans="1:8">
      <c r="A162" s="4"/>
      <c r="B162" s="20" t="s">
        <v>278</v>
      </c>
      <c r="C162" s="21"/>
      <c r="D162" s="21"/>
      <c r="E162" s="156"/>
      <c r="F162" s="156"/>
      <c r="G162" s="156"/>
      <c r="H162" s="220"/>
    </row>
    <row r="163" customHeight="1" spans="1:8">
      <c r="A163" s="4">
        <v>1</v>
      </c>
      <c r="B163" s="11" t="s">
        <v>279</v>
      </c>
      <c r="C163" s="12" t="s">
        <v>280</v>
      </c>
      <c r="D163" s="15" t="s">
        <v>124</v>
      </c>
      <c r="E163" s="85">
        <v>1000000</v>
      </c>
      <c r="F163" s="85"/>
      <c r="G163" s="85"/>
      <c r="H163" s="220">
        <f t="shared" ref="H163:H169" si="14">E163</f>
        <v>1000000</v>
      </c>
    </row>
    <row r="164" customHeight="1" spans="1:8">
      <c r="A164" s="4">
        <v>2</v>
      </c>
      <c r="B164" s="11" t="s">
        <v>281</v>
      </c>
      <c r="C164" s="12" t="s">
        <v>282</v>
      </c>
      <c r="D164" s="15" t="s">
        <v>36</v>
      </c>
      <c r="E164" s="85">
        <v>700000</v>
      </c>
      <c r="F164" s="85"/>
      <c r="G164" s="85"/>
      <c r="H164" s="220">
        <f t="shared" si="14"/>
        <v>700000</v>
      </c>
    </row>
    <row r="165" customHeight="1" spans="1:8">
      <c r="A165" s="4">
        <v>3</v>
      </c>
      <c r="B165" s="14" t="s">
        <v>283</v>
      </c>
      <c r="C165" s="12" t="s">
        <v>282</v>
      </c>
      <c r="D165" s="15" t="s">
        <v>36</v>
      </c>
      <c r="E165" s="85">
        <v>700000</v>
      </c>
      <c r="F165" s="85"/>
      <c r="G165" s="85"/>
      <c r="H165" s="220">
        <f t="shared" si="14"/>
        <v>700000</v>
      </c>
    </row>
    <row r="166" customHeight="1" spans="1:8">
      <c r="A166" s="4">
        <v>4</v>
      </c>
      <c r="B166" s="11" t="s">
        <v>284</v>
      </c>
      <c r="C166" s="12" t="s">
        <v>285</v>
      </c>
      <c r="D166" s="15" t="s">
        <v>50</v>
      </c>
      <c r="E166" s="85">
        <v>700000</v>
      </c>
      <c r="F166" s="85"/>
      <c r="G166" s="85"/>
      <c r="H166" s="220">
        <f t="shared" si="14"/>
        <v>700000</v>
      </c>
    </row>
    <row r="167" customHeight="1" spans="1:8">
      <c r="A167" s="4">
        <v>5</v>
      </c>
      <c r="B167" s="11" t="s">
        <v>286</v>
      </c>
      <c r="C167" s="12" t="s">
        <v>285</v>
      </c>
      <c r="D167" s="15" t="s">
        <v>42</v>
      </c>
      <c r="E167" s="85">
        <v>700000</v>
      </c>
      <c r="F167" s="85"/>
      <c r="G167" s="85"/>
      <c r="H167" s="220">
        <f t="shared" si="14"/>
        <v>700000</v>
      </c>
    </row>
    <row r="168" customHeight="1" spans="1:8">
      <c r="A168" s="4">
        <v>6</v>
      </c>
      <c r="B168" s="11" t="s">
        <v>287</v>
      </c>
      <c r="C168" s="12" t="s">
        <v>288</v>
      </c>
      <c r="D168" s="15" t="s">
        <v>47</v>
      </c>
      <c r="E168" s="85">
        <v>500000</v>
      </c>
      <c r="F168" s="85"/>
      <c r="G168" s="85">
        <f>E168</f>
        <v>500000</v>
      </c>
      <c r="H168" s="220"/>
    </row>
    <row r="169" customHeight="1" spans="1:8">
      <c r="A169" s="4">
        <v>7</v>
      </c>
      <c r="B169" s="11" t="s">
        <v>289</v>
      </c>
      <c r="C169" s="12" t="s">
        <v>288</v>
      </c>
      <c r="D169" s="15" t="s">
        <v>192</v>
      </c>
      <c r="E169" s="85">
        <v>500000</v>
      </c>
      <c r="F169" s="85"/>
      <c r="G169" s="85">
        <f>E169</f>
        <v>500000</v>
      </c>
      <c r="H169" s="220"/>
    </row>
    <row r="170" s="1" customFormat="1" customHeight="1" spans="1:8">
      <c r="A170" s="4">
        <v>8</v>
      </c>
      <c r="B170" s="18" t="s">
        <v>290</v>
      </c>
      <c r="C170" s="12" t="s">
        <v>291</v>
      </c>
      <c r="D170" s="15" t="s">
        <v>99</v>
      </c>
      <c r="E170" s="85">
        <v>300000</v>
      </c>
      <c r="F170" s="85">
        <f t="shared" ref="F170:F174" si="15">E170</f>
        <v>300000</v>
      </c>
      <c r="G170" s="85"/>
      <c r="H170" s="220"/>
    </row>
    <row r="171" customHeight="1" spans="1:8">
      <c r="A171" s="4">
        <v>9</v>
      </c>
      <c r="B171" s="11" t="s">
        <v>292</v>
      </c>
      <c r="C171" s="4" t="s">
        <v>293</v>
      </c>
      <c r="D171" s="15" t="s">
        <v>81</v>
      </c>
      <c r="E171" s="220">
        <v>300000</v>
      </c>
      <c r="F171" s="85">
        <f t="shared" si="15"/>
        <v>300000</v>
      </c>
      <c r="G171" s="85"/>
      <c r="H171" s="220"/>
    </row>
    <row r="172" customHeight="1" spans="1:8">
      <c r="A172" s="4">
        <v>10</v>
      </c>
      <c r="B172" s="18" t="s">
        <v>294</v>
      </c>
      <c r="C172" s="12" t="s">
        <v>295</v>
      </c>
      <c r="D172" s="15" t="s">
        <v>105</v>
      </c>
      <c r="E172" s="85">
        <v>300000</v>
      </c>
      <c r="F172" s="85">
        <f t="shared" si="15"/>
        <v>300000</v>
      </c>
      <c r="G172" s="85"/>
      <c r="H172" s="220"/>
    </row>
    <row r="173" customHeight="1" spans="1:8">
      <c r="A173" s="4">
        <v>11</v>
      </c>
      <c r="B173" s="18" t="s">
        <v>296</v>
      </c>
      <c r="C173" s="12" t="s">
        <v>291</v>
      </c>
      <c r="D173" s="15" t="s">
        <v>105</v>
      </c>
      <c r="E173" s="85">
        <v>300000</v>
      </c>
      <c r="F173" s="85">
        <f t="shared" si="15"/>
        <v>300000</v>
      </c>
      <c r="G173" s="85"/>
      <c r="H173" s="220"/>
    </row>
    <row r="174" customHeight="1" spans="1:8">
      <c r="A174" s="4">
        <v>12</v>
      </c>
      <c r="B174" s="18" t="s">
        <v>297</v>
      </c>
      <c r="C174" s="12" t="s">
        <v>295</v>
      </c>
      <c r="D174" s="15" t="s">
        <v>108</v>
      </c>
      <c r="E174" s="85">
        <v>300000</v>
      </c>
      <c r="F174" s="85">
        <f t="shared" si="15"/>
        <v>300000</v>
      </c>
      <c r="G174" s="85"/>
      <c r="H174" s="220"/>
    </row>
    <row r="175" ht="28.5" customHeight="1" spans="1:8">
      <c r="A175" s="4"/>
      <c r="B175" s="20" t="s">
        <v>120</v>
      </c>
      <c r="C175" s="26" t="s">
        <v>298</v>
      </c>
      <c r="D175" s="15"/>
      <c r="E175" s="221">
        <f>SUM(E163:E174)</f>
        <v>6300000</v>
      </c>
      <c r="F175" s="221">
        <f>SUM(F163:F174)</f>
        <v>1500000</v>
      </c>
      <c r="G175" s="221">
        <f>SUM(G163:G174)</f>
        <v>1000000</v>
      </c>
      <c r="H175" s="221">
        <f>SUM(H163:H174)</f>
        <v>3800000</v>
      </c>
    </row>
    <row r="176" customHeight="1" spans="1:8">
      <c r="A176" s="4"/>
      <c r="B176" s="22"/>
      <c r="C176" s="26"/>
      <c r="D176" s="15"/>
      <c r="E176" s="156"/>
      <c r="F176" s="156"/>
      <c r="G176" s="156"/>
      <c r="H176" s="220"/>
    </row>
    <row r="177" customHeight="1" spans="1:8">
      <c r="A177" s="4"/>
      <c r="B177" s="20" t="s">
        <v>299</v>
      </c>
      <c r="C177" s="12"/>
      <c r="D177" s="15"/>
      <c r="E177" s="85"/>
      <c r="F177" s="85"/>
      <c r="G177" s="85"/>
      <c r="H177" s="220"/>
    </row>
    <row r="178" customHeight="1" spans="1:8">
      <c r="A178" s="27">
        <v>1</v>
      </c>
      <c r="B178" s="14" t="s">
        <v>300</v>
      </c>
      <c r="C178" s="4" t="s">
        <v>509</v>
      </c>
      <c r="D178" s="10" t="s">
        <v>487</v>
      </c>
      <c r="E178" s="85">
        <v>1000000</v>
      </c>
      <c r="F178" s="85"/>
      <c r="G178" s="85"/>
      <c r="H178" s="220">
        <f>E178</f>
        <v>1000000</v>
      </c>
    </row>
    <row r="179" customHeight="1" spans="1:8">
      <c r="A179" s="27">
        <v>2</v>
      </c>
      <c r="B179" s="14" t="s">
        <v>302</v>
      </c>
      <c r="C179" s="4" t="s">
        <v>510</v>
      </c>
      <c r="D179" s="10" t="s">
        <v>511</v>
      </c>
      <c r="E179" s="85">
        <v>1000000</v>
      </c>
      <c r="F179" s="85"/>
      <c r="G179" s="85"/>
      <c r="H179" s="220">
        <f>E179</f>
        <v>1000000</v>
      </c>
    </row>
    <row r="180" customHeight="1" spans="1:8">
      <c r="A180" s="27">
        <v>3</v>
      </c>
      <c r="B180" s="11" t="s">
        <v>305</v>
      </c>
      <c r="C180" s="12" t="s">
        <v>306</v>
      </c>
      <c r="D180" s="15" t="s">
        <v>50</v>
      </c>
      <c r="E180" s="85">
        <v>700000</v>
      </c>
      <c r="F180" s="85"/>
      <c r="G180" s="85"/>
      <c r="H180" s="220">
        <f>E180</f>
        <v>700000</v>
      </c>
    </row>
    <row r="181" customHeight="1" spans="1:8">
      <c r="A181" s="27">
        <v>4</v>
      </c>
      <c r="B181" s="11" t="s">
        <v>307</v>
      </c>
      <c r="C181" s="4" t="s">
        <v>489</v>
      </c>
      <c r="D181" s="15" t="s">
        <v>50</v>
      </c>
      <c r="E181" s="85">
        <v>700000</v>
      </c>
      <c r="F181" s="85"/>
      <c r="G181" s="85"/>
      <c r="H181" s="220">
        <f>E181</f>
        <v>700000</v>
      </c>
    </row>
    <row r="182" customHeight="1" spans="1:8">
      <c r="A182" s="27">
        <v>5</v>
      </c>
      <c r="B182" s="11" t="s">
        <v>309</v>
      </c>
      <c r="C182" s="4" t="s">
        <v>489</v>
      </c>
      <c r="D182" s="15" t="s">
        <v>50</v>
      </c>
      <c r="E182" s="85">
        <v>700000</v>
      </c>
      <c r="F182" s="85"/>
      <c r="G182" s="85"/>
      <c r="H182" s="220">
        <f>E182</f>
        <v>700000</v>
      </c>
    </row>
    <row r="183" customHeight="1" spans="1:8">
      <c r="A183" s="27">
        <v>6</v>
      </c>
      <c r="B183" s="11" t="s">
        <v>310</v>
      </c>
      <c r="C183" s="4" t="s">
        <v>311</v>
      </c>
      <c r="D183" s="10" t="s">
        <v>53</v>
      </c>
      <c r="E183" s="85">
        <v>500000</v>
      </c>
      <c r="F183" s="85"/>
      <c r="G183" s="85">
        <f t="shared" ref="G181:G186" si="16">E183</f>
        <v>500000</v>
      </c>
      <c r="H183" s="220"/>
    </row>
    <row r="184" customHeight="1" spans="1:8">
      <c r="A184" s="27">
        <v>7</v>
      </c>
      <c r="B184" s="11" t="s">
        <v>312</v>
      </c>
      <c r="C184" s="12" t="s">
        <v>232</v>
      </c>
      <c r="D184" s="15" t="s">
        <v>64</v>
      </c>
      <c r="E184" s="85">
        <v>500000</v>
      </c>
      <c r="F184" s="85"/>
      <c r="G184" s="85">
        <f t="shared" si="16"/>
        <v>500000</v>
      </c>
      <c r="H184" s="220"/>
    </row>
    <row r="185" customHeight="1" spans="1:8">
      <c r="A185" s="27">
        <v>8</v>
      </c>
      <c r="B185" s="11" t="s">
        <v>313</v>
      </c>
      <c r="C185" s="4" t="s">
        <v>314</v>
      </c>
      <c r="D185" s="15" t="s">
        <v>64</v>
      </c>
      <c r="E185" s="85">
        <v>500000</v>
      </c>
      <c r="F185" s="85"/>
      <c r="G185" s="85">
        <f t="shared" si="16"/>
        <v>500000</v>
      </c>
      <c r="H185" s="220"/>
    </row>
    <row r="186" customHeight="1" spans="1:8">
      <c r="A186" s="27">
        <v>9</v>
      </c>
      <c r="B186" s="11" t="s">
        <v>315</v>
      </c>
      <c r="C186" s="12" t="s">
        <v>316</v>
      </c>
      <c r="D186" s="15" t="s">
        <v>67</v>
      </c>
      <c r="E186" s="85">
        <v>500000</v>
      </c>
      <c r="F186" s="85"/>
      <c r="G186" s="85">
        <f t="shared" si="16"/>
        <v>500000</v>
      </c>
      <c r="H186" s="220"/>
    </row>
    <row r="187" customHeight="1" spans="1:8">
      <c r="A187" s="27">
        <v>10</v>
      </c>
      <c r="B187" s="11" t="s">
        <v>317</v>
      </c>
      <c r="C187" s="12" t="s">
        <v>318</v>
      </c>
      <c r="D187" s="15" t="s">
        <v>173</v>
      </c>
      <c r="E187" s="85">
        <v>400000</v>
      </c>
      <c r="F187" s="85"/>
      <c r="G187" s="85">
        <f t="shared" ref="G187:G192" si="17">E187</f>
        <v>400000</v>
      </c>
      <c r="H187" s="220"/>
    </row>
    <row r="188" customHeight="1" spans="1:8">
      <c r="A188" s="27">
        <v>11</v>
      </c>
      <c r="B188" s="18" t="s">
        <v>319</v>
      </c>
      <c r="C188" s="4" t="s">
        <v>320</v>
      </c>
      <c r="D188" s="15" t="s">
        <v>70</v>
      </c>
      <c r="E188" s="85">
        <v>400000</v>
      </c>
      <c r="F188" s="85"/>
      <c r="G188" s="85">
        <f t="shared" si="17"/>
        <v>400000</v>
      </c>
      <c r="H188" s="220"/>
    </row>
    <row r="189" customHeight="1" spans="1:8">
      <c r="A189" s="27">
        <v>12</v>
      </c>
      <c r="B189" s="11" t="s">
        <v>321</v>
      </c>
      <c r="C189" s="4" t="s">
        <v>320</v>
      </c>
      <c r="D189" s="15" t="s">
        <v>131</v>
      </c>
      <c r="E189" s="85">
        <v>400000</v>
      </c>
      <c r="F189" s="85"/>
      <c r="G189" s="85">
        <f t="shared" si="17"/>
        <v>400000</v>
      </c>
      <c r="H189" s="220"/>
    </row>
    <row r="190" customHeight="1" spans="1:8">
      <c r="A190" s="27">
        <v>13</v>
      </c>
      <c r="B190" s="11" t="s">
        <v>322</v>
      </c>
      <c r="C190" s="4" t="s">
        <v>320</v>
      </c>
      <c r="D190" s="15" t="s">
        <v>131</v>
      </c>
      <c r="E190" s="85">
        <v>400000</v>
      </c>
      <c r="F190" s="85"/>
      <c r="G190" s="85">
        <f t="shared" si="17"/>
        <v>400000</v>
      </c>
      <c r="H190" s="220"/>
    </row>
    <row r="191" customHeight="1" spans="1:8">
      <c r="A191" s="27">
        <v>14</v>
      </c>
      <c r="B191" s="11" t="s">
        <v>323</v>
      </c>
      <c r="C191" s="4" t="s">
        <v>320</v>
      </c>
      <c r="D191" s="15" t="s">
        <v>131</v>
      </c>
      <c r="E191" s="85">
        <v>400000</v>
      </c>
      <c r="F191" s="85"/>
      <c r="G191" s="85">
        <f t="shared" si="17"/>
        <v>400000</v>
      </c>
      <c r="H191" s="220"/>
    </row>
    <row r="192" customHeight="1" spans="1:8">
      <c r="A192" s="27">
        <v>15</v>
      </c>
      <c r="B192" s="11" t="s">
        <v>324</v>
      </c>
      <c r="C192" s="4" t="s">
        <v>320</v>
      </c>
      <c r="D192" s="15" t="s">
        <v>70</v>
      </c>
      <c r="E192" s="85">
        <v>400000</v>
      </c>
      <c r="F192" s="85"/>
      <c r="G192" s="85">
        <f t="shared" si="17"/>
        <v>400000</v>
      </c>
      <c r="H192" s="220"/>
    </row>
    <row r="193" customHeight="1" spans="1:8">
      <c r="A193" s="27">
        <v>16</v>
      </c>
      <c r="B193" s="11" t="s">
        <v>325</v>
      </c>
      <c r="C193" s="12" t="s">
        <v>326</v>
      </c>
      <c r="D193" s="15" t="s">
        <v>153</v>
      </c>
      <c r="E193" s="220">
        <v>300000</v>
      </c>
      <c r="F193" s="85">
        <f t="shared" ref="F193:F197" si="18">E193</f>
        <v>300000</v>
      </c>
      <c r="G193" s="85"/>
      <c r="H193" s="220"/>
    </row>
    <row r="194" customHeight="1" spans="1:8">
      <c r="A194" s="27">
        <v>17</v>
      </c>
      <c r="B194" s="11" t="s">
        <v>327</v>
      </c>
      <c r="C194" s="12" t="s">
        <v>328</v>
      </c>
      <c r="D194" s="10" t="s">
        <v>81</v>
      </c>
      <c r="E194" s="220">
        <v>300000</v>
      </c>
      <c r="F194" s="85">
        <f t="shared" si="18"/>
        <v>300000</v>
      </c>
      <c r="G194" s="85"/>
      <c r="H194" s="220"/>
    </row>
    <row r="195" customHeight="1" spans="1:8">
      <c r="A195" s="27">
        <v>18</v>
      </c>
      <c r="B195" s="11" t="s">
        <v>329</v>
      </c>
      <c r="C195" s="4" t="s">
        <v>330</v>
      </c>
      <c r="D195" s="15" t="s">
        <v>131</v>
      </c>
      <c r="E195" s="220">
        <v>400000</v>
      </c>
      <c r="F195" s="85"/>
      <c r="G195" s="85">
        <f>E195</f>
        <v>400000</v>
      </c>
      <c r="H195" s="220"/>
    </row>
    <row r="196" customHeight="1" spans="1:8">
      <c r="A196" s="27">
        <v>19</v>
      </c>
      <c r="B196" s="11" t="s">
        <v>331</v>
      </c>
      <c r="C196" s="4" t="s">
        <v>332</v>
      </c>
      <c r="D196" s="15" t="s">
        <v>75</v>
      </c>
      <c r="E196" s="220">
        <v>300000</v>
      </c>
      <c r="F196" s="85">
        <f t="shared" si="18"/>
        <v>300000</v>
      </c>
      <c r="G196" s="85"/>
      <c r="H196" s="220"/>
    </row>
    <row r="197" customHeight="1" spans="1:8">
      <c r="A197" s="27">
        <v>20</v>
      </c>
      <c r="B197" s="11" t="s">
        <v>333</v>
      </c>
      <c r="C197" s="4" t="s">
        <v>330</v>
      </c>
      <c r="D197" s="15" t="s">
        <v>131</v>
      </c>
      <c r="E197" s="220">
        <v>400000</v>
      </c>
      <c r="F197" s="85"/>
      <c r="G197" s="85">
        <f>E197</f>
        <v>400000</v>
      </c>
      <c r="H197" s="220"/>
    </row>
    <row r="198" customHeight="1" spans="1:8">
      <c r="A198" s="27">
        <v>21</v>
      </c>
      <c r="B198" s="11" t="s">
        <v>334</v>
      </c>
      <c r="C198" s="4" t="s">
        <v>335</v>
      </c>
      <c r="D198" s="15" t="s">
        <v>81</v>
      </c>
      <c r="E198" s="220">
        <v>300000</v>
      </c>
      <c r="F198" s="85">
        <f t="shared" ref="F198:F243" si="19">E198</f>
        <v>300000</v>
      </c>
      <c r="G198" s="85"/>
      <c r="H198" s="220"/>
    </row>
    <row r="199" customHeight="1" spans="1:8">
      <c r="A199" s="27">
        <v>22</v>
      </c>
      <c r="B199" s="18" t="s">
        <v>336</v>
      </c>
      <c r="C199" s="12" t="s">
        <v>337</v>
      </c>
      <c r="D199" s="15" t="s">
        <v>86</v>
      </c>
      <c r="E199" s="85">
        <v>300000</v>
      </c>
      <c r="F199" s="85">
        <f t="shared" si="19"/>
        <v>300000</v>
      </c>
      <c r="G199" s="85"/>
      <c r="H199" s="220"/>
    </row>
    <row r="200" customHeight="1" spans="1:8">
      <c r="A200" s="27">
        <v>23</v>
      </c>
      <c r="B200" s="18" t="s">
        <v>338</v>
      </c>
      <c r="C200" s="12" t="s">
        <v>337</v>
      </c>
      <c r="D200" s="15" t="s">
        <v>86</v>
      </c>
      <c r="E200" s="85">
        <v>300000</v>
      </c>
      <c r="F200" s="85">
        <f t="shared" si="19"/>
        <v>300000</v>
      </c>
      <c r="G200" s="85"/>
      <c r="H200" s="220"/>
    </row>
    <row r="201" s="1" customFormat="1" ht="18.75" customHeight="1" spans="1:8">
      <c r="A201" s="27">
        <v>24</v>
      </c>
      <c r="B201" s="18" t="s">
        <v>339</v>
      </c>
      <c r="C201" s="4" t="s">
        <v>340</v>
      </c>
      <c r="D201" s="10" t="s">
        <v>99</v>
      </c>
      <c r="E201" s="85">
        <v>300000</v>
      </c>
      <c r="F201" s="85">
        <f t="shared" si="19"/>
        <v>300000</v>
      </c>
      <c r="G201" s="85"/>
      <c r="H201" s="220"/>
    </row>
    <row r="202" s="1" customFormat="1" customHeight="1" spans="1:8">
      <c r="A202" s="27">
        <v>25</v>
      </c>
      <c r="B202" s="18" t="s">
        <v>341</v>
      </c>
      <c r="C202" s="12" t="s">
        <v>342</v>
      </c>
      <c r="D202" s="10" t="s">
        <v>225</v>
      </c>
      <c r="E202" s="85">
        <v>300000</v>
      </c>
      <c r="F202" s="85">
        <f t="shared" si="19"/>
        <v>300000</v>
      </c>
      <c r="G202" s="85"/>
      <c r="H202" s="220"/>
    </row>
    <row r="203" customHeight="1" spans="1:8">
      <c r="A203" s="27">
        <v>26</v>
      </c>
      <c r="B203" s="18" t="s">
        <v>343</v>
      </c>
      <c r="C203" s="12" t="s">
        <v>344</v>
      </c>
      <c r="D203" s="15" t="s">
        <v>105</v>
      </c>
      <c r="E203" s="85">
        <v>300000</v>
      </c>
      <c r="F203" s="85">
        <f t="shared" si="19"/>
        <v>300000</v>
      </c>
      <c r="G203" s="85"/>
      <c r="H203" s="220"/>
    </row>
    <row r="204" customHeight="1" spans="1:8">
      <c r="A204" s="27">
        <v>27</v>
      </c>
      <c r="B204" s="18" t="s">
        <v>345</v>
      </c>
      <c r="C204" s="12" t="s">
        <v>346</v>
      </c>
      <c r="D204" s="15" t="s">
        <v>105</v>
      </c>
      <c r="E204" s="85">
        <v>300000</v>
      </c>
      <c r="F204" s="85">
        <f t="shared" si="19"/>
        <v>300000</v>
      </c>
      <c r="G204" s="85"/>
      <c r="H204" s="220"/>
    </row>
    <row r="205" customHeight="1" spans="1:8">
      <c r="A205" s="27">
        <v>28</v>
      </c>
      <c r="B205" s="18" t="s">
        <v>347</v>
      </c>
      <c r="C205" s="12" t="s">
        <v>348</v>
      </c>
      <c r="D205" s="15" t="s">
        <v>105</v>
      </c>
      <c r="E205" s="85">
        <v>300000</v>
      </c>
      <c r="F205" s="85">
        <f t="shared" si="19"/>
        <v>300000</v>
      </c>
      <c r="G205" s="85"/>
      <c r="H205" s="220"/>
    </row>
    <row r="206" customHeight="1" spans="1:8">
      <c r="A206" s="27">
        <v>29</v>
      </c>
      <c r="B206" s="18" t="s">
        <v>349</v>
      </c>
      <c r="C206" s="4" t="s">
        <v>88</v>
      </c>
      <c r="D206" s="10" t="s">
        <v>225</v>
      </c>
      <c r="E206" s="85">
        <v>300000</v>
      </c>
      <c r="F206" s="85">
        <f t="shared" si="19"/>
        <v>300000</v>
      </c>
      <c r="G206" s="85"/>
      <c r="H206" s="220"/>
    </row>
    <row r="207" customHeight="1" spans="1:8">
      <c r="A207" s="27">
        <v>30</v>
      </c>
      <c r="B207" s="18" t="s">
        <v>350</v>
      </c>
      <c r="C207" s="12" t="s">
        <v>346</v>
      </c>
      <c r="D207" s="15" t="s">
        <v>105</v>
      </c>
      <c r="E207" s="85">
        <v>300000</v>
      </c>
      <c r="F207" s="85">
        <f t="shared" si="19"/>
        <v>300000</v>
      </c>
      <c r="G207" s="85"/>
      <c r="H207" s="220"/>
    </row>
    <row r="208" customHeight="1" spans="1:8">
      <c r="A208" s="27">
        <v>31</v>
      </c>
      <c r="B208" s="18" t="s">
        <v>351</v>
      </c>
      <c r="C208" s="12" t="s">
        <v>352</v>
      </c>
      <c r="D208" s="15" t="s">
        <v>108</v>
      </c>
      <c r="E208" s="85">
        <v>300000</v>
      </c>
      <c r="F208" s="85">
        <f t="shared" si="19"/>
        <v>300000</v>
      </c>
      <c r="G208" s="85"/>
      <c r="H208" s="220"/>
    </row>
    <row r="209" customHeight="1" spans="1:10">
      <c r="A209" s="27">
        <v>32</v>
      </c>
      <c r="B209" s="18" t="s">
        <v>353</v>
      </c>
      <c r="C209" s="12" t="s">
        <v>352</v>
      </c>
      <c r="D209" s="15" t="s">
        <v>108</v>
      </c>
      <c r="E209" s="85">
        <v>300000</v>
      </c>
      <c r="F209" s="85">
        <f t="shared" si="19"/>
        <v>300000</v>
      </c>
      <c r="G209" s="85"/>
      <c r="H209" s="220"/>
    </row>
    <row r="210" s="1" customFormat="1" customHeight="1" spans="1:10">
      <c r="A210" s="27">
        <v>33</v>
      </c>
      <c r="B210" s="18" t="s">
        <v>354</v>
      </c>
      <c r="C210" s="12" t="s">
        <v>342</v>
      </c>
      <c r="D210" s="15" t="s">
        <v>111</v>
      </c>
      <c r="E210" s="85">
        <v>300000</v>
      </c>
      <c r="F210" s="85">
        <f t="shared" si="19"/>
        <v>300000</v>
      </c>
      <c r="G210" s="85"/>
      <c r="H210" s="220"/>
    </row>
    <row r="211" s="1" customFormat="1" customHeight="1" spans="1:10">
      <c r="A211" s="27">
        <v>34</v>
      </c>
      <c r="B211" s="18" t="s">
        <v>355</v>
      </c>
      <c r="C211" s="12" t="s">
        <v>342</v>
      </c>
      <c r="D211" s="15" t="s">
        <v>111</v>
      </c>
      <c r="E211" s="85">
        <v>300000</v>
      </c>
      <c r="F211" s="85">
        <f t="shared" si="19"/>
        <v>300000</v>
      </c>
      <c r="G211" s="85"/>
      <c r="H211" s="220"/>
    </row>
    <row r="212" s="1" customFormat="1" customHeight="1" spans="1:10">
      <c r="A212" s="27">
        <v>35</v>
      </c>
      <c r="B212" s="18" t="s">
        <v>356</v>
      </c>
      <c r="C212" s="12" t="s">
        <v>342</v>
      </c>
      <c r="D212" s="15" t="s">
        <v>111</v>
      </c>
      <c r="E212" s="85">
        <v>300000</v>
      </c>
      <c r="F212" s="85">
        <f t="shared" si="19"/>
        <v>300000</v>
      </c>
      <c r="G212" s="85"/>
      <c r="H212" s="220"/>
    </row>
    <row r="213" s="1" customFormat="1" customHeight="1" spans="1:10">
      <c r="A213" s="27">
        <v>36</v>
      </c>
      <c r="B213" s="18" t="s">
        <v>357</v>
      </c>
      <c r="C213" s="12" t="s">
        <v>342</v>
      </c>
      <c r="D213" s="15" t="s">
        <v>275</v>
      </c>
      <c r="E213" s="85">
        <v>300000</v>
      </c>
      <c r="F213" s="85">
        <f t="shared" si="19"/>
        <v>300000</v>
      </c>
      <c r="G213" s="85"/>
      <c r="H213" s="220"/>
      <c r="I213" s="13"/>
      <c r="J213" s="13"/>
    </row>
    <row r="214" s="1" customFormat="1" customHeight="1" spans="1:10">
      <c r="A214" s="27">
        <v>37</v>
      </c>
      <c r="B214" s="18" t="s">
        <v>358</v>
      </c>
      <c r="C214" s="12" t="s">
        <v>342</v>
      </c>
      <c r="D214" s="15" t="s">
        <v>275</v>
      </c>
      <c r="E214" s="85">
        <v>300000</v>
      </c>
      <c r="F214" s="85">
        <f t="shared" si="19"/>
        <v>300000</v>
      </c>
      <c r="G214" s="85"/>
      <c r="H214" s="220"/>
      <c r="I214" s="13"/>
      <c r="J214" s="13"/>
    </row>
    <row r="215" customHeight="1" spans="1:10">
      <c r="A215" s="27">
        <v>38</v>
      </c>
      <c r="B215" s="11" t="s">
        <v>359</v>
      </c>
      <c r="C215" s="12" t="s">
        <v>512</v>
      </c>
      <c r="D215" s="15" t="s">
        <v>361</v>
      </c>
      <c r="E215" s="85">
        <v>150000</v>
      </c>
      <c r="F215" s="85">
        <f t="shared" si="19"/>
        <v>150000</v>
      </c>
      <c r="G215" s="85"/>
      <c r="H215" s="220"/>
    </row>
    <row r="216" customHeight="1" spans="1:10">
      <c r="A216" s="27">
        <v>39</v>
      </c>
      <c r="B216" s="11" t="s">
        <v>362</v>
      </c>
      <c r="C216" s="12" t="s">
        <v>512</v>
      </c>
      <c r="D216" s="15" t="s">
        <v>361</v>
      </c>
      <c r="E216" s="85">
        <v>150000</v>
      </c>
      <c r="F216" s="85">
        <f t="shared" si="19"/>
        <v>150000</v>
      </c>
      <c r="G216" s="85"/>
      <c r="H216" s="220"/>
    </row>
    <row r="217" customHeight="1" spans="1:10">
      <c r="A217" s="27">
        <v>40</v>
      </c>
      <c r="B217" s="11" t="s">
        <v>363</v>
      </c>
      <c r="C217" s="12" t="s">
        <v>512</v>
      </c>
      <c r="D217" s="15" t="s">
        <v>361</v>
      </c>
      <c r="E217" s="85">
        <v>150000</v>
      </c>
      <c r="F217" s="85">
        <f t="shared" si="19"/>
        <v>150000</v>
      </c>
      <c r="G217" s="85"/>
      <c r="H217" s="220"/>
    </row>
    <row r="218" customHeight="1" spans="1:10">
      <c r="A218" s="27">
        <v>41</v>
      </c>
      <c r="B218" s="11" t="s">
        <v>364</v>
      </c>
      <c r="C218" s="12" t="s">
        <v>512</v>
      </c>
      <c r="D218" s="15" t="s">
        <v>361</v>
      </c>
      <c r="E218" s="85">
        <v>150000</v>
      </c>
      <c r="F218" s="85">
        <f t="shared" si="19"/>
        <v>150000</v>
      </c>
      <c r="G218" s="85"/>
      <c r="H218" s="220"/>
    </row>
    <row r="219" customHeight="1" spans="1:10">
      <c r="A219" s="27">
        <v>42</v>
      </c>
      <c r="B219" s="11" t="s">
        <v>365</v>
      </c>
      <c r="C219" s="12" t="s">
        <v>512</v>
      </c>
      <c r="D219" s="15" t="s">
        <v>366</v>
      </c>
      <c r="E219" s="85">
        <v>150000</v>
      </c>
      <c r="F219" s="85">
        <f t="shared" si="19"/>
        <v>150000</v>
      </c>
      <c r="G219" s="85"/>
      <c r="H219" s="220"/>
    </row>
    <row r="220" customHeight="1" spans="1:10">
      <c r="A220" s="27">
        <v>43</v>
      </c>
      <c r="B220" s="11" t="s">
        <v>367</v>
      </c>
      <c r="C220" s="12" t="s">
        <v>512</v>
      </c>
      <c r="D220" s="15" t="s">
        <v>366</v>
      </c>
      <c r="E220" s="85">
        <v>150000</v>
      </c>
      <c r="F220" s="85">
        <f t="shared" si="19"/>
        <v>150000</v>
      </c>
      <c r="G220" s="85"/>
      <c r="H220" s="220"/>
    </row>
    <row r="221" customHeight="1" spans="1:10">
      <c r="A221" s="27">
        <v>44</v>
      </c>
      <c r="B221" s="14" t="s">
        <v>368</v>
      </c>
      <c r="C221" s="12" t="s">
        <v>512</v>
      </c>
      <c r="D221" s="15" t="s">
        <v>366</v>
      </c>
      <c r="E221" s="85">
        <v>150000</v>
      </c>
      <c r="F221" s="85">
        <f t="shared" si="19"/>
        <v>150000</v>
      </c>
      <c r="G221" s="85"/>
      <c r="H221" s="220"/>
    </row>
    <row r="222" customHeight="1" spans="1:10">
      <c r="A222" s="27">
        <v>45</v>
      </c>
      <c r="B222" s="11" t="s">
        <v>369</v>
      </c>
      <c r="C222" s="12" t="s">
        <v>512</v>
      </c>
      <c r="D222" s="15" t="s">
        <v>366</v>
      </c>
      <c r="E222" s="85">
        <v>150000</v>
      </c>
      <c r="F222" s="85">
        <f t="shared" si="19"/>
        <v>150000</v>
      </c>
      <c r="G222" s="85"/>
      <c r="H222" s="220"/>
    </row>
    <row r="223" customHeight="1" spans="1:10">
      <c r="A223" s="27">
        <v>46</v>
      </c>
      <c r="B223" s="18" t="s">
        <v>370</v>
      </c>
      <c r="C223" s="12" t="s">
        <v>512</v>
      </c>
      <c r="D223" s="15" t="s">
        <v>366</v>
      </c>
      <c r="E223" s="85">
        <v>150000</v>
      </c>
      <c r="F223" s="85">
        <f t="shared" si="19"/>
        <v>150000</v>
      </c>
      <c r="G223" s="85"/>
      <c r="H223" s="220"/>
    </row>
    <row r="224" customHeight="1" spans="1:10">
      <c r="A224" s="27">
        <v>47</v>
      </c>
      <c r="B224" s="11" t="s">
        <v>371</v>
      </c>
      <c r="C224" s="12" t="s">
        <v>360</v>
      </c>
      <c r="D224" s="15" t="s">
        <v>372</v>
      </c>
      <c r="E224" s="85">
        <v>150000</v>
      </c>
      <c r="F224" s="85">
        <f t="shared" si="19"/>
        <v>150000</v>
      </c>
      <c r="G224" s="85"/>
      <c r="H224" s="220"/>
    </row>
    <row r="225" customHeight="1" spans="1:8">
      <c r="A225" s="27">
        <v>48</v>
      </c>
      <c r="B225" s="11" t="s">
        <v>373</v>
      </c>
      <c r="C225" s="12" t="s">
        <v>360</v>
      </c>
      <c r="D225" s="15" t="s">
        <v>372</v>
      </c>
      <c r="E225" s="85">
        <v>150000</v>
      </c>
      <c r="F225" s="85">
        <f t="shared" si="19"/>
        <v>150000</v>
      </c>
      <c r="G225" s="85"/>
      <c r="H225" s="220"/>
    </row>
    <row r="226" customHeight="1" spans="1:8">
      <c r="A226" s="27">
        <v>49</v>
      </c>
      <c r="B226" s="18" t="s">
        <v>374</v>
      </c>
      <c r="C226" s="12" t="s">
        <v>360</v>
      </c>
      <c r="D226" s="15" t="s">
        <v>375</v>
      </c>
      <c r="E226" s="85">
        <v>150000</v>
      </c>
      <c r="F226" s="85">
        <f t="shared" si="19"/>
        <v>150000</v>
      </c>
      <c r="G226" s="85"/>
      <c r="H226" s="220"/>
    </row>
    <row r="227" customHeight="1" spans="1:8">
      <c r="A227" s="27">
        <v>50</v>
      </c>
      <c r="B227" s="11" t="s">
        <v>376</v>
      </c>
      <c r="C227" s="12" t="s">
        <v>513</v>
      </c>
      <c r="D227" s="15" t="s">
        <v>377</v>
      </c>
      <c r="E227" s="85">
        <v>150000</v>
      </c>
      <c r="F227" s="85">
        <f t="shared" si="19"/>
        <v>150000</v>
      </c>
      <c r="G227" s="85"/>
      <c r="H227" s="220"/>
    </row>
    <row r="228" customHeight="1" spans="1:8">
      <c r="A228" s="27">
        <v>51</v>
      </c>
      <c r="B228" s="11" t="s">
        <v>378</v>
      </c>
      <c r="C228" s="12" t="s">
        <v>513</v>
      </c>
      <c r="D228" s="15" t="s">
        <v>377</v>
      </c>
      <c r="E228" s="85">
        <v>150000</v>
      </c>
      <c r="F228" s="85">
        <f t="shared" si="19"/>
        <v>150000</v>
      </c>
      <c r="G228" s="85"/>
      <c r="H228" s="220"/>
    </row>
    <row r="229" customHeight="1" spans="1:8">
      <c r="A229" s="27">
        <v>52</v>
      </c>
      <c r="B229" s="11" t="s">
        <v>379</v>
      </c>
      <c r="C229" s="12" t="s">
        <v>513</v>
      </c>
      <c r="D229" s="15" t="s">
        <v>377</v>
      </c>
      <c r="E229" s="85">
        <v>150000</v>
      </c>
      <c r="F229" s="85">
        <f t="shared" si="19"/>
        <v>150000</v>
      </c>
      <c r="G229" s="85"/>
      <c r="H229" s="220"/>
    </row>
    <row r="230" customHeight="1" spans="1:8">
      <c r="A230" s="27">
        <v>53</v>
      </c>
      <c r="B230" s="11" t="s">
        <v>380</v>
      </c>
      <c r="C230" s="12" t="s">
        <v>513</v>
      </c>
      <c r="D230" s="15" t="s">
        <v>377</v>
      </c>
      <c r="E230" s="85">
        <v>150000</v>
      </c>
      <c r="F230" s="85">
        <f t="shared" si="19"/>
        <v>150000</v>
      </c>
      <c r="G230" s="85"/>
      <c r="H230" s="220"/>
    </row>
    <row r="231" customHeight="1" spans="1:8">
      <c r="A231" s="27">
        <v>54</v>
      </c>
      <c r="B231" s="11" t="s">
        <v>381</v>
      </c>
      <c r="C231" s="12" t="s">
        <v>513</v>
      </c>
      <c r="D231" s="15" t="s">
        <v>377</v>
      </c>
      <c r="E231" s="85">
        <v>150000</v>
      </c>
      <c r="F231" s="85">
        <f t="shared" si="19"/>
        <v>150000</v>
      </c>
      <c r="G231" s="85"/>
      <c r="H231" s="220"/>
    </row>
    <row r="232" customHeight="1" spans="1:8">
      <c r="A232" s="27">
        <v>55</v>
      </c>
      <c r="B232" s="11" t="s">
        <v>382</v>
      </c>
      <c r="C232" s="12" t="s">
        <v>513</v>
      </c>
      <c r="D232" s="15" t="s">
        <v>377</v>
      </c>
      <c r="E232" s="85">
        <v>150000</v>
      </c>
      <c r="F232" s="85">
        <f t="shared" si="19"/>
        <v>150000</v>
      </c>
      <c r="G232" s="85"/>
      <c r="H232" s="220"/>
    </row>
    <row r="233" customHeight="1" spans="1:8">
      <c r="A233" s="27">
        <v>56</v>
      </c>
      <c r="B233" s="18" t="s">
        <v>383</v>
      </c>
      <c r="C233" s="12" t="s">
        <v>513</v>
      </c>
      <c r="D233" s="15" t="s">
        <v>384</v>
      </c>
      <c r="E233" s="85">
        <v>150000</v>
      </c>
      <c r="F233" s="85">
        <f t="shared" si="19"/>
        <v>150000</v>
      </c>
      <c r="G233" s="85"/>
      <c r="H233" s="220"/>
    </row>
    <row r="234" customHeight="1" spans="1:8">
      <c r="A234" s="27">
        <v>57</v>
      </c>
      <c r="B234" s="18" t="s">
        <v>385</v>
      </c>
      <c r="C234" s="12" t="s">
        <v>514</v>
      </c>
      <c r="D234" s="15" t="s">
        <v>388</v>
      </c>
      <c r="E234" s="85">
        <v>100000</v>
      </c>
      <c r="F234" s="85">
        <f t="shared" si="19"/>
        <v>100000</v>
      </c>
      <c r="G234" s="85"/>
      <c r="H234" s="220"/>
    </row>
    <row r="235" customHeight="1" spans="1:8">
      <c r="A235" s="27">
        <v>58</v>
      </c>
      <c r="B235" s="11" t="s">
        <v>386</v>
      </c>
      <c r="C235" s="12" t="s">
        <v>387</v>
      </c>
      <c r="D235" s="15" t="s">
        <v>388</v>
      </c>
      <c r="E235" s="85">
        <v>100000</v>
      </c>
      <c r="F235" s="85">
        <f t="shared" si="19"/>
        <v>100000</v>
      </c>
      <c r="G235" s="85"/>
      <c r="H235" s="220"/>
    </row>
    <row r="236" customHeight="1" spans="1:8">
      <c r="A236" s="27">
        <v>59</v>
      </c>
      <c r="B236" s="18" t="s">
        <v>389</v>
      </c>
      <c r="C236" s="12" t="s">
        <v>390</v>
      </c>
      <c r="D236" s="15" t="s">
        <v>391</v>
      </c>
      <c r="E236" s="85">
        <v>100000</v>
      </c>
      <c r="F236" s="85">
        <f t="shared" si="19"/>
        <v>100000</v>
      </c>
      <c r="G236" s="85"/>
      <c r="H236" s="220"/>
    </row>
    <row r="237" customHeight="1" spans="1:8">
      <c r="A237" s="27">
        <v>60</v>
      </c>
      <c r="B237" s="18" t="s">
        <v>392</v>
      </c>
      <c r="C237" s="12" t="s">
        <v>390</v>
      </c>
      <c r="D237" s="15" t="s">
        <v>393</v>
      </c>
      <c r="E237" s="85">
        <v>100000</v>
      </c>
      <c r="F237" s="85">
        <f t="shared" si="19"/>
        <v>100000</v>
      </c>
      <c r="G237" s="85"/>
      <c r="H237" s="220"/>
    </row>
    <row r="238" customHeight="1" spans="1:8">
      <c r="A238" s="27">
        <v>61</v>
      </c>
      <c r="B238" s="18" t="s">
        <v>394</v>
      </c>
      <c r="C238" s="12" t="s">
        <v>390</v>
      </c>
      <c r="D238" s="15" t="s">
        <v>395</v>
      </c>
      <c r="E238" s="85">
        <v>100000</v>
      </c>
      <c r="F238" s="85">
        <f t="shared" si="19"/>
        <v>100000</v>
      </c>
      <c r="G238" s="85"/>
      <c r="H238" s="220"/>
    </row>
    <row r="239" customHeight="1" spans="1:8">
      <c r="A239" s="27">
        <v>62</v>
      </c>
      <c r="B239" s="18" t="s">
        <v>396</v>
      </c>
      <c r="C239" s="12" t="s">
        <v>397</v>
      </c>
      <c r="D239" s="15" t="s">
        <v>398</v>
      </c>
      <c r="E239" s="85">
        <v>100000</v>
      </c>
      <c r="F239" s="85">
        <f t="shared" si="19"/>
        <v>100000</v>
      </c>
      <c r="G239" s="85"/>
      <c r="H239" s="4"/>
    </row>
    <row r="240" customHeight="1" spans="1:8">
      <c r="A240" s="27">
        <v>63</v>
      </c>
      <c r="B240" s="18" t="s">
        <v>399</v>
      </c>
      <c r="C240" s="12" t="s">
        <v>397</v>
      </c>
      <c r="D240" s="15" t="s">
        <v>398</v>
      </c>
      <c r="E240" s="85">
        <v>100000</v>
      </c>
      <c r="F240" s="85">
        <f t="shared" si="19"/>
        <v>100000</v>
      </c>
      <c r="G240" s="85"/>
      <c r="H240" s="4"/>
    </row>
    <row r="241" customHeight="1" spans="1:8">
      <c r="A241" s="27">
        <v>64</v>
      </c>
      <c r="B241" s="18" t="s">
        <v>400</v>
      </c>
      <c r="C241" s="12" t="s">
        <v>397</v>
      </c>
      <c r="D241" s="15" t="s">
        <v>398</v>
      </c>
      <c r="E241" s="85">
        <v>100000</v>
      </c>
      <c r="F241" s="85">
        <f t="shared" si="19"/>
        <v>100000</v>
      </c>
      <c r="G241" s="85"/>
      <c r="H241" s="4"/>
    </row>
    <row r="242" customHeight="1" spans="1:8">
      <c r="A242" s="27">
        <v>65</v>
      </c>
      <c r="B242" s="18" t="s">
        <v>401</v>
      </c>
      <c r="C242" s="12" t="s">
        <v>402</v>
      </c>
      <c r="D242" s="15" t="s">
        <v>403</v>
      </c>
      <c r="E242" s="85">
        <v>100000</v>
      </c>
      <c r="F242" s="85">
        <f t="shared" si="19"/>
        <v>100000</v>
      </c>
      <c r="G242" s="85"/>
      <c r="H242" s="220"/>
    </row>
    <row r="243" customHeight="1" spans="1:8">
      <c r="A243" s="27">
        <v>66</v>
      </c>
      <c r="B243" s="18" t="s">
        <v>404</v>
      </c>
      <c r="C243" s="12" t="s">
        <v>402</v>
      </c>
      <c r="D243" s="15" t="s">
        <v>403</v>
      </c>
      <c r="E243" s="85">
        <v>100000</v>
      </c>
      <c r="F243" s="85">
        <f t="shared" si="19"/>
        <v>100000</v>
      </c>
      <c r="G243" s="85"/>
      <c r="H243" s="220"/>
    </row>
    <row r="244" ht="30.75" customHeight="1" spans="1:8">
      <c r="A244" s="27"/>
      <c r="B244" s="8" t="s">
        <v>120</v>
      </c>
      <c r="C244" s="28" t="s">
        <v>405</v>
      </c>
      <c r="D244" s="29"/>
      <c r="E244" s="93">
        <f>SUM(E178:E243)</f>
        <v>19150000</v>
      </c>
      <c r="F244" s="93">
        <f>SUM(F178:F243)</f>
        <v>9850000</v>
      </c>
      <c r="G244" s="93">
        <f>SUM(G178:G243)</f>
        <v>5200000</v>
      </c>
      <c r="H244" s="93">
        <f>SUM(H178:H243)</f>
        <v>4100000</v>
      </c>
    </row>
    <row r="245" ht="30" customHeight="1" spans="1:8">
      <c r="A245" s="4"/>
      <c r="B245" s="30" t="s">
        <v>406</v>
      </c>
      <c r="C245" s="31">
        <f>C47+C57+C72+C77+C91+C105+C120+C130+C143+C160+C175+C244</f>
        <v>194</v>
      </c>
      <c r="D245" s="32"/>
      <c r="E245" s="227">
        <f>E244+E175+E160+E153+E143+E130+E120+E105+E91+E77+E72+E57+E47</f>
        <v>81050000</v>
      </c>
      <c r="F245" s="227">
        <f>F244+F175+F160+F153+F143+F130+F120+F105+F91+F77+F72+F57+F47</f>
        <v>28450000</v>
      </c>
      <c r="G245" s="227">
        <f>G244+G175+G160+G153+G143+G130+G120+G105+G91+G77+G72+G57+G47</f>
        <v>23050000</v>
      </c>
      <c r="H245" s="227">
        <f>H244+H175+H160+H153+H143+H130+H120+H105+H91+H77+H72+H57+H47</f>
        <v>29550000</v>
      </c>
    </row>
    <row r="246" ht="26" customHeight="1" spans="1:8">
      <c r="B246" s="33"/>
      <c r="D246" s="34"/>
      <c r="F246" s="34"/>
      <c r="G246" s="34"/>
      <c r="H246" s="228"/>
    </row>
    <row r="247" ht="29" customHeight="1" spans="1:8">
      <c r="B247" s="33"/>
      <c r="C247" s="34"/>
      <c r="D247" s="34"/>
      <c r="F247" s="34"/>
      <c r="G247" s="34"/>
      <c r="H247" s="228"/>
    </row>
    <row r="248" customHeight="1" spans="1:8">
      <c r="E248" s="34"/>
    </row>
    <row r="249" customHeight="1" spans="1:8">
      <c r="E249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9" manualBreakCount="9">
    <brk id="23" max="7" man="1"/>
    <brk id="67" max="7" man="1"/>
    <brk id="88" max="7" man="1"/>
    <brk id="106" max="7" man="1"/>
    <brk id="126" max="7" man="1"/>
    <brk id="144" max="7" man="1"/>
    <brk id="161" max="7" man="1"/>
    <brk id="182" max="7" man="1"/>
    <brk id="204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6"/>
  <sheetViews>
    <sheetView workbookViewId="0">
      <selection activeCell="D107" sqref="D107"/>
    </sheetView>
  </sheetViews>
  <sheetFormatPr defaultColWidth="8.72727272727273" defaultRowHeight="12.5"/>
  <cols>
    <col min="1" max="1" width="5.27272727272727" customWidth="1"/>
    <col min="2" max="2" width="31.9090909090909" customWidth="1"/>
    <col min="4" max="4" width="21.1818181818182" customWidth="1"/>
    <col min="5" max="5" width="11.3636363636364" customWidth="1"/>
  </cols>
  <sheetData>
    <row r="1" s="1039" customFormat="1" ht="12.95" customHeight="1" spans="1:19">
      <c r="A1" s="1040" t="s">
        <v>515</v>
      </c>
      <c r="B1" s="1041"/>
      <c r="C1" s="1041"/>
      <c r="D1" s="1041"/>
      <c r="E1" s="1042"/>
      <c r="F1" s="1042"/>
      <c r="G1" s="1042"/>
      <c r="H1" s="1042"/>
      <c r="I1" s="1042"/>
      <c r="J1" s="1042"/>
      <c r="K1" s="1042"/>
      <c r="L1" s="1042"/>
      <c r="M1" s="1042"/>
      <c r="N1" s="1042"/>
      <c r="O1" s="1042"/>
      <c r="P1" s="1042"/>
      <c r="Q1" s="1042"/>
      <c r="R1" s="1042"/>
      <c r="S1" s="1042"/>
    </row>
    <row r="2" s="1039" customFormat="1" ht="12.95" customHeight="1" spans="1:19">
      <c r="A2" s="1040" t="s">
        <v>516</v>
      </c>
      <c r="B2" s="1043"/>
      <c r="C2" s="1043"/>
      <c r="D2" s="1044"/>
      <c r="E2" s="1041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</row>
    <row r="3" s="1039" customFormat="1" ht="12.95" customHeight="1" spans="1:19">
      <c r="A3" s="1040" t="s">
        <v>517</v>
      </c>
      <c r="B3" s="1043"/>
      <c r="C3" s="1043"/>
      <c r="D3" s="1045">
        <v>2026</v>
      </c>
      <c r="E3" s="1046" t="s">
        <v>518</v>
      </c>
      <c r="F3" s="1047"/>
      <c r="G3" s="1047"/>
      <c r="H3" s="1047"/>
      <c r="I3" s="1048"/>
      <c r="J3" s="1042"/>
      <c r="K3" s="1042"/>
      <c r="L3" s="1042"/>
      <c r="M3" s="1042"/>
      <c r="N3" s="1042"/>
      <c r="O3" s="1042"/>
      <c r="P3" s="1042"/>
      <c r="Q3" s="1042"/>
      <c r="R3" s="1042"/>
      <c r="S3" s="1042"/>
    </row>
    <row r="4" s="1039" customFormat="1" ht="12.95" customHeight="1" spans="1:19">
      <c r="A4" s="1040" t="s">
        <v>22</v>
      </c>
      <c r="B4" s="1049" t="s">
        <v>519</v>
      </c>
      <c r="C4" s="1050" t="s">
        <v>520</v>
      </c>
      <c r="D4" s="1051" t="s">
        <v>521</v>
      </c>
      <c r="E4" s="1052" t="s">
        <v>522</v>
      </c>
      <c r="F4" s="1053" t="s">
        <v>523</v>
      </c>
      <c r="G4" s="1054" t="s">
        <v>524</v>
      </c>
      <c r="H4" s="1054" t="s">
        <v>471</v>
      </c>
      <c r="I4" s="1054" t="s">
        <v>525</v>
      </c>
      <c r="J4" s="1055" t="s">
        <v>526</v>
      </c>
      <c r="K4" s="1056" t="s">
        <v>473</v>
      </c>
      <c r="L4" s="1057" t="s">
        <v>527</v>
      </c>
      <c r="M4" s="1057" t="s">
        <v>528</v>
      </c>
      <c r="N4" s="1057" t="s">
        <v>529</v>
      </c>
      <c r="O4" s="1057" t="s">
        <v>530</v>
      </c>
      <c r="P4" s="1057" t="s">
        <v>531</v>
      </c>
      <c r="Q4" s="1057" t="s">
        <v>532</v>
      </c>
      <c r="R4" s="1057" t="s">
        <v>533</v>
      </c>
      <c r="S4" s="1057" t="s">
        <v>534</v>
      </c>
    </row>
    <row r="5" s="1039" customFormat="1" ht="38.25" customHeight="1" spans="1:19">
      <c r="A5" s="1043"/>
      <c r="B5" s="1044"/>
      <c r="C5" s="1040" t="s">
        <v>535</v>
      </c>
      <c r="D5" s="1042"/>
      <c r="E5" s="1058"/>
      <c r="F5" s="1053" t="s">
        <v>536</v>
      </c>
      <c r="G5" s="1059" t="s">
        <v>537</v>
      </c>
      <c r="H5" s="1059" t="s">
        <v>538</v>
      </c>
      <c r="I5" s="1053" t="s">
        <v>539</v>
      </c>
      <c r="J5" s="1060"/>
      <c r="K5" s="1061"/>
      <c r="L5" s="1062"/>
      <c r="M5" s="1062"/>
      <c r="N5" s="1062"/>
      <c r="O5" s="1062"/>
      <c r="P5" s="1062"/>
      <c r="Q5" s="1062"/>
      <c r="R5" s="1062"/>
      <c r="S5" s="1062"/>
    </row>
    <row r="6" s="1039" customFormat="1" ht="31.5" customHeight="1" spans="1:19">
      <c r="A6" s="1063"/>
      <c r="B6" s="1042"/>
      <c r="C6" s="1042"/>
      <c r="D6" s="1064" t="s">
        <v>540</v>
      </c>
      <c r="E6" s="1065"/>
      <c r="F6" s="1066" t="s">
        <v>541</v>
      </c>
      <c r="G6" s="1067" t="s">
        <v>542</v>
      </c>
      <c r="H6" s="1068"/>
      <c r="I6" s="1068"/>
      <c r="J6" s="1065"/>
      <c r="K6" s="1069"/>
      <c r="L6" s="1065"/>
      <c r="M6" s="1065"/>
      <c r="N6" s="1065"/>
      <c r="O6" s="1070"/>
      <c r="P6" s="1065"/>
      <c r="Q6" s="1041"/>
      <c r="R6" s="1041"/>
      <c r="S6" s="1041"/>
    </row>
    <row r="7" s="1039" customFormat="1" ht="31.5" customHeight="1" spans="1:19">
      <c r="A7" s="467"/>
      <c r="B7" s="81" t="s">
        <v>23</v>
      </c>
      <c r="C7" s="1042"/>
      <c r="D7" s="1071"/>
      <c r="E7" s="1065"/>
      <c r="F7" s="1066"/>
      <c r="G7" s="1072"/>
      <c r="H7" s="1068"/>
      <c r="I7" s="1073"/>
      <c r="J7" s="1065"/>
      <c r="K7" s="1069"/>
      <c r="L7" s="1065"/>
      <c r="M7" s="1065"/>
      <c r="N7" s="1074"/>
      <c r="O7" s="1075"/>
      <c r="P7" s="1065"/>
      <c r="Q7" s="1041"/>
      <c r="R7" s="1041"/>
      <c r="S7" s="1041"/>
    </row>
    <row r="8" s="1039" customFormat="1" ht="20" customHeight="1" spans="1:19">
      <c r="A8" s="1076">
        <v>1</v>
      </c>
      <c r="B8" s="777" t="s">
        <v>24</v>
      </c>
      <c r="C8" s="1077"/>
      <c r="D8" s="1078"/>
      <c r="E8" s="1042"/>
      <c r="F8" s="1079">
        <f t="shared" ref="F8:F17" si="0">MIN(0.2*E8,500000)</f>
        <v>0</v>
      </c>
      <c r="G8" s="1078"/>
      <c r="H8" s="1042"/>
      <c r="I8" s="1078"/>
      <c r="J8" s="1042">
        <f t="shared" ref="J8:J14" si="1">SUM(F8:I8)</f>
        <v>0</v>
      </c>
      <c r="K8" s="1042">
        <f t="shared" ref="K8:K17" si="2">(D8-J8)</f>
        <v>0</v>
      </c>
      <c r="L8" s="1042">
        <f t="shared" ref="L8:L17" si="3">(K8*0%)</f>
        <v>0</v>
      </c>
      <c r="M8" s="1042">
        <f t="shared" ref="M8:M17" si="4">IF((K8-800000)&lt;=0,0,IF((K8-800000)&gt;=2200000,2200000*15%,(K8-800000)*15%))</f>
        <v>0</v>
      </c>
      <c r="N8" s="1080">
        <f t="shared" ref="N8:N17" si="5">IF((K8-(3000000))&lt;=0,0,IF((K8-(3000000))&gt;=9000000,9000000*18%,(K8-(3000000))*18%))</f>
        <v>0</v>
      </c>
      <c r="O8" s="1081">
        <f t="shared" ref="O8:O17" si="6">IF((K8-(12000000))&lt;=0,0,IF((K8-(12000000))&gt;=13000000,13000000*21%,(K8-(12000000))*21%))</f>
        <v>0</v>
      </c>
      <c r="P8" s="1042">
        <f t="shared" ref="P8:P17" si="7">IF((K8-(25000000))&lt;=0,0,IF((K8-(25000000))&gt;=25000000,25000000*23%,(K8-(25000000))*23%))</f>
        <v>0</v>
      </c>
      <c r="Q8" s="1042">
        <f t="shared" ref="Q8:Q17" si="8">IF((K8-(50000000))&lt;=0,0,(K8-(50000000))*25%)</f>
        <v>0</v>
      </c>
      <c r="R8" s="1042">
        <f t="shared" ref="R8:R14" si="9">SUM(L8:Q8)</f>
        <v>0</v>
      </c>
      <c r="S8" s="1042">
        <f t="shared" ref="S8:S14" si="10">R8/12</f>
        <v>0</v>
      </c>
    </row>
    <row r="9" s="1039" customFormat="1" ht="20" customHeight="1" spans="1:19">
      <c r="A9" s="1076">
        <v>2</v>
      </c>
      <c r="B9" s="777" t="s">
        <v>27</v>
      </c>
      <c r="C9" s="1063"/>
      <c r="D9" s="1078"/>
      <c r="E9" s="1042"/>
      <c r="F9" s="1079">
        <f t="shared" si="0"/>
        <v>0</v>
      </c>
      <c r="G9" s="1078"/>
      <c r="H9" s="1042"/>
      <c r="I9" s="1078"/>
      <c r="J9" s="1042">
        <f t="shared" si="1"/>
        <v>0</v>
      </c>
      <c r="K9" s="1042">
        <f t="shared" si="2"/>
        <v>0</v>
      </c>
      <c r="L9" s="1042">
        <f t="shared" si="3"/>
        <v>0</v>
      </c>
      <c r="M9" s="1042">
        <f t="shared" si="4"/>
        <v>0</v>
      </c>
      <c r="N9" s="1080">
        <f t="shared" si="5"/>
        <v>0</v>
      </c>
      <c r="O9" s="1081">
        <f t="shared" si="6"/>
        <v>0</v>
      </c>
      <c r="P9" s="1042">
        <f t="shared" si="7"/>
        <v>0</v>
      </c>
      <c r="Q9" s="1042">
        <f t="shared" si="8"/>
        <v>0</v>
      </c>
      <c r="R9" s="1042">
        <f t="shared" si="9"/>
        <v>0</v>
      </c>
      <c r="S9" s="1042">
        <f t="shared" si="10"/>
        <v>0</v>
      </c>
    </row>
    <row r="10" s="1039" customFormat="1" ht="20" customHeight="1" spans="1:19">
      <c r="A10" s="1076">
        <v>3</v>
      </c>
      <c r="B10" s="946" t="s">
        <v>30</v>
      </c>
      <c r="C10" s="1063"/>
      <c r="D10" s="1078"/>
      <c r="E10" s="1042"/>
      <c r="F10" s="1079">
        <f t="shared" si="0"/>
        <v>0</v>
      </c>
      <c r="G10" s="1078"/>
      <c r="H10" s="1042"/>
      <c r="I10" s="1082"/>
      <c r="J10" s="1042">
        <f t="shared" si="1"/>
        <v>0</v>
      </c>
      <c r="K10" s="1042">
        <f t="shared" si="2"/>
        <v>0</v>
      </c>
      <c r="L10" s="1042">
        <f t="shared" si="3"/>
        <v>0</v>
      </c>
      <c r="M10" s="1042">
        <f t="shared" si="4"/>
        <v>0</v>
      </c>
      <c r="N10" s="1080">
        <f t="shared" si="5"/>
        <v>0</v>
      </c>
      <c r="O10" s="1081">
        <f t="shared" si="6"/>
        <v>0</v>
      </c>
      <c r="P10" s="1042">
        <f t="shared" si="7"/>
        <v>0</v>
      </c>
      <c r="Q10" s="1042">
        <f t="shared" si="8"/>
        <v>0</v>
      </c>
      <c r="R10" s="1042">
        <f t="shared" si="9"/>
        <v>0</v>
      </c>
      <c r="S10" s="1042">
        <f t="shared" si="10"/>
        <v>0</v>
      </c>
    </row>
    <row r="11" s="1039" customFormat="1" ht="20" customHeight="1" spans="1:19">
      <c r="A11" s="1076">
        <v>4</v>
      </c>
      <c r="B11" s="777" t="s">
        <v>32</v>
      </c>
      <c r="C11" s="1063"/>
      <c r="D11" s="1078"/>
      <c r="E11" s="1042"/>
      <c r="F11" s="1079">
        <f t="shared" si="0"/>
        <v>0</v>
      </c>
      <c r="G11" s="1078"/>
      <c r="H11" s="1042"/>
      <c r="I11" s="1082"/>
      <c r="J11" s="1042">
        <f t="shared" si="1"/>
        <v>0</v>
      </c>
      <c r="K11" s="1042">
        <f t="shared" si="2"/>
        <v>0</v>
      </c>
      <c r="L11" s="1042">
        <f t="shared" si="3"/>
        <v>0</v>
      </c>
      <c r="M11" s="1042">
        <f t="shared" si="4"/>
        <v>0</v>
      </c>
      <c r="N11" s="1080">
        <f t="shared" si="5"/>
        <v>0</v>
      </c>
      <c r="O11" s="1081">
        <f t="shared" si="6"/>
        <v>0</v>
      </c>
      <c r="P11" s="1042">
        <f t="shared" si="7"/>
        <v>0</v>
      </c>
      <c r="Q11" s="1042">
        <f t="shared" si="8"/>
        <v>0</v>
      </c>
      <c r="R11" s="1042">
        <f t="shared" si="9"/>
        <v>0</v>
      </c>
      <c r="S11" s="1042">
        <f t="shared" si="10"/>
        <v>0</v>
      </c>
    </row>
    <row r="12" s="1039" customFormat="1" ht="20" customHeight="1" spans="1:19">
      <c r="A12" s="1076">
        <v>5</v>
      </c>
      <c r="B12" s="777" t="s">
        <v>34</v>
      </c>
      <c r="C12" s="1063"/>
      <c r="D12" s="1078"/>
      <c r="E12" s="1042"/>
      <c r="F12" s="1079">
        <f t="shared" si="0"/>
        <v>0</v>
      </c>
      <c r="G12" s="1078"/>
      <c r="H12" s="1042"/>
      <c r="I12" s="1082"/>
      <c r="J12" s="1042">
        <f t="shared" si="1"/>
        <v>0</v>
      </c>
      <c r="K12" s="1042">
        <f t="shared" si="2"/>
        <v>0</v>
      </c>
      <c r="L12" s="1042">
        <f t="shared" si="3"/>
        <v>0</v>
      </c>
      <c r="M12" s="1042">
        <f t="shared" si="4"/>
        <v>0</v>
      </c>
      <c r="N12" s="1080">
        <f t="shared" si="5"/>
        <v>0</v>
      </c>
      <c r="O12" s="1081">
        <f t="shared" si="6"/>
        <v>0</v>
      </c>
      <c r="P12" s="1042">
        <f t="shared" si="7"/>
        <v>0</v>
      </c>
      <c r="Q12" s="1042">
        <f t="shared" si="8"/>
        <v>0</v>
      </c>
      <c r="R12" s="1042">
        <f t="shared" si="9"/>
        <v>0</v>
      </c>
      <c r="S12" s="1042">
        <f t="shared" si="10"/>
        <v>0</v>
      </c>
    </row>
    <row r="13" s="1039" customFormat="1" ht="20" customHeight="1" spans="1:19">
      <c r="A13" s="1076">
        <v>6</v>
      </c>
      <c r="B13" s="777" t="s">
        <v>37</v>
      </c>
      <c r="C13" s="1063"/>
      <c r="D13" s="1078"/>
      <c r="E13" s="1042"/>
      <c r="F13" s="1079">
        <f t="shared" si="0"/>
        <v>0</v>
      </c>
      <c r="G13" s="1078"/>
      <c r="H13" s="1042"/>
      <c r="I13" s="1082"/>
      <c r="J13" s="1042">
        <f t="shared" si="1"/>
        <v>0</v>
      </c>
      <c r="K13" s="1042">
        <f t="shared" si="2"/>
        <v>0</v>
      </c>
      <c r="L13" s="1042">
        <f t="shared" si="3"/>
        <v>0</v>
      </c>
      <c r="M13" s="1042">
        <f t="shared" si="4"/>
        <v>0</v>
      </c>
      <c r="N13" s="1080">
        <f t="shared" si="5"/>
        <v>0</v>
      </c>
      <c r="O13" s="1081">
        <f t="shared" si="6"/>
        <v>0</v>
      </c>
      <c r="P13" s="1042">
        <f t="shared" si="7"/>
        <v>0</v>
      </c>
      <c r="Q13" s="1042">
        <f t="shared" si="8"/>
        <v>0</v>
      </c>
      <c r="R13" s="1042">
        <f t="shared" si="9"/>
        <v>0</v>
      </c>
      <c r="S13" s="1042">
        <f t="shared" si="10"/>
        <v>0</v>
      </c>
    </row>
    <row r="14" s="1039" customFormat="1" ht="20" customHeight="1" spans="1:19">
      <c r="A14" s="1076">
        <v>7</v>
      </c>
      <c r="B14" s="777" t="s">
        <v>40</v>
      </c>
      <c r="C14" s="1063"/>
      <c r="D14" s="1078"/>
      <c r="E14" s="1042"/>
      <c r="F14" s="1079">
        <f t="shared" si="0"/>
        <v>0</v>
      </c>
      <c r="G14" s="1078"/>
      <c r="H14" s="1042"/>
      <c r="I14" s="1082"/>
      <c r="J14" s="1042">
        <f t="shared" si="1"/>
        <v>0</v>
      </c>
      <c r="K14" s="1042">
        <f t="shared" si="2"/>
        <v>0</v>
      </c>
      <c r="L14" s="1042">
        <f t="shared" si="3"/>
        <v>0</v>
      </c>
      <c r="M14" s="1042">
        <f t="shared" si="4"/>
        <v>0</v>
      </c>
      <c r="N14" s="1080">
        <f t="shared" si="5"/>
        <v>0</v>
      </c>
      <c r="O14" s="1081">
        <f t="shared" si="6"/>
        <v>0</v>
      </c>
      <c r="P14" s="1042">
        <f t="shared" si="7"/>
        <v>0</v>
      </c>
      <c r="Q14" s="1042">
        <f t="shared" si="8"/>
        <v>0</v>
      </c>
      <c r="R14" s="1042">
        <f t="shared" si="9"/>
        <v>0</v>
      </c>
      <c r="S14" s="1042">
        <f t="shared" si="10"/>
        <v>0</v>
      </c>
    </row>
    <row r="15" s="1039" customFormat="1" ht="20" customHeight="1" spans="1:19">
      <c r="A15" s="1076">
        <v>8</v>
      </c>
      <c r="B15" s="946" t="s">
        <v>43</v>
      </c>
      <c r="C15" s="1063"/>
      <c r="D15" s="1042"/>
      <c r="E15" s="1042"/>
      <c r="F15" s="1079">
        <f t="shared" si="0"/>
        <v>0</v>
      </c>
      <c r="G15" s="1042">
        <f t="shared" ref="G15:G17" si="11">D15*2.5%</f>
        <v>0</v>
      </c>
      <c r="H15" s="1042"/>
      <c r="I15" s="1042"/>
      <c r="J15" s="1042">
        <f>SUM(J8:J14)</f>
        <v>0</v>
      </c>
      <c r="K15" s="1042">
        <f t="shared" si="2"/>
        <v>0</v>
      </c>
      <c r="L15" s="1042">
        <f t="shared" si="3"/>
        <v>0</v>
      </c>
      <c r="M15" s="1042">
        <f t="shared" si="4"/>
        <v>0</v>
      </c>
      <c r="N15" s="1080">
        <f t="shared" si="5"/>
        <v>0</v>
      </c>
      <c r="O15" s="1081">
        <f t="shared" si="6"/>
        <v>0</v>
      </c>
      <c r="P15" s="1042">
        <f t="shared" si="7"/>
        <v>0</v>
      </c>
      <c r="Q15" s="1042">
        <f t="shared" si="8"/>
        <v>0</v>
      </c>
      <c r="R15" s="1042">
        <f>SUM(R8:R14)</f>
        <v>0</v>
      </c>
      <c r="S15" s="1042">
        <f>SUM(S8:S14)</f>
        <v>0</v>
      </c>
    </row>
    <row r="16" s="1039" customFormat="1" ht="20" customHeight="1" spans="1:19">
      <c r="A16" s="1076">
        <v>9</v>
      </c>
      <c r="B16" s="777" t="s">
        <v>45</v>
      </c>
      <c r="C16" s="1063"/>
      <c r="D16" s="1042"/>
      <c r="E16" s="1042"/>
      <c r="F16" s="1079">
        <f t="shared" si="0"/>
        <v>0</v>
      </c>
      <c r="G16" s="1042">
        <f t="shared" si="11"/>
        <v>0</v>
      </c>
      <c r="H16" s="1042">
        <f>D16*1.75%</f>
        <v>0</v>
      </c>
      <c r="I16" s="1042">
        <f>D16*8%</f>
        <v>0</v>
      </c>
      <c r="J16" s="1042">
        <f>SUM(F16:I16)</f>
        <v>0</v>
      </c>
      <c r="K16" s="1042">
        <f t="shared" si="2"/>
        <v>0</v>
      </c>
      <c r="L16" s="1042">
        <f t="shared" si="3"/>
        <v>0</v>
      </c>
      <c r="M16" s="1042">
        <f t="shared" si="4"/>
        <v>0</v>
      </c>
      <c r="N16" s="1080">
        <f t="shared" si="5"/>
        <v>0</v>
      </c>
      <c r="O16" s="1081">
        <f t="shared" si="6"/>
        <v>0</v>
      </c>
      <c r="P16" s="1042">
        <f t="shared" si="7"/>
        <v>0</v>
      </c>
      <c r="Q16" s="1042">
        <f t="shared" si="8"/>
        <v>0</v>
      </c>
      <c r="R16" s="1042">
        <f>SUM(L16:Q16)</f>
        <v>0</v>
      </c>
      <c r="S16" s="1042">
        <f>R16/12</f>
        <v>0</v>
      </c>
    </row>
    <row r="17" s="1039" customFormat="1" ht="20" customHeight="1" spans="1:19">
      <c r="A17" s="1083">
        <v>10</v>
      </c>
      <c r="B17" s="777" t="s">
        <v>48</v>
      </c>
      <c r="C17" s="1084"/>
      <c r="D17" s="1085"/>
      <c r="E17" s="1086"/>
      <c r="F17" s="1079">
        <f t="shared" si="0"/>
        <v>0</v>
      </c>
      <c r="G17" s="1042">
        <f t="shared" si="11"/>
        <v>0</v>
      </c>
      <c r="H17" s="1042">
        <f>D17*1.75%</f>
        <v>0</v>
      </c>
      <c r="I17" s="1042">
        <f>D17*8%</f>
        <v>0</v>
      </c>
      <c r="J17" s="1042">
        <f>SUM(F17:I17)</f>
        <v>0</v>
      </c>
      <c r="K17" s="1042">
        <f t="shared" si="2"/>
        <v>0</v>
      </c>
      <c r="L17" s="1042">
        <f t="shared" si="3"/>
        <v>0</v>
      </c>
      <c r="M17" s="1042">
        <f t="shared" si="4"/>
        <v>0</v>
      </c>
      <c r="N17" s="1080">
        <f t="shared" si="5"/>
        <v>0</v>
      </c>
      <c r="O17" s="1081">
        <f t="shared" si="6"/>
        <v>0</v>
      </c>
      <c r="P17" s="1042">
        <f t="shared" si="7"/>
        <v>0</v>
      </c>
      <c r="Q17" s="1042">
        <f t="shared" si="8"/>
        <v>0</v>
      </c>
      <c r="R17" s="1042">
        <f>SUM(L17:Q17)</f>
        <v>0</v>
      </c>
      <c r="S17" s="1042">
        <f>R17/12</f>
        <v>0</v>
      </c>
    </row>
    <row r="18" s="1039" customFormat="1" ht="20" customHeight="1" spans="1:19">
      <c r="A18" s="1087">
        <v>11</v>
      </c>
      <c r="B18" s="777" t="s">
        <v>51</v>
      </c>
      <c r="C18" s="1088"/>
      <c r="D18" s="1088"/>
      <c r="E18" s="1089"/>
      <c r="F18" s="1079">
        <f t="shared" ref="F18:F48" si="12">MIN(0.2*E18,500000)</f>
        <v>0</v>
      </c>
      <c r="G18" s="1042">
        <f t="shared" ref="G18:G48" si="13">D18*2.5%</f>
        <v>0</v>
      </c>
      <c r="H18" s="1042">
        <f t="shared" ref="H18:H48" si="14">D18*1.75%</f>
        <v>0</v>
      </c>
      <c r="I18" s="1042">
        <f t="shared" ref="I18:I48" si="15">D18*8%</f>
        <v>0</v>
      </c>
      <c r="J18" s="1042">
        <f t="shared" ref="J18:J48" si="16">SUM(F18:I18)</f>
        <v>0</v>
      </c>
      <c r="K18" s="1042">
        <f t="shared" ref="K18:K48" si="17">(D18-J18)</f>
        <v>0</v>
      </c>
      <c r="L18" s="1042">
        <f t="shared" ref="L18:L48" si="18">(K18*0%)</f>
        <v>0</v>
      </c>
      <c r="M18" s="1042">
        <f t="shared" ref="M18:M48" si="19">IF((K18-800000)&lt;=0,0,IF((K18-800000)&gt;=2200000,2200000*15%,(K18-800000)*15%))</f>
        <v>0</v>
      </c>
      <c r="N18" s="1080">
        <f t="shared" ref="N18:N48" si="20">IF((K18-(3000000))&lt;=0,0,IF((K18-(3000000))&gt;=9000000,9000000*18%,(K18-(3000000))*18%))</f>
        <v>0</v>
      </c>
      <c r="O18" s="1081">
        <f t="shared" ref="O18:O48" si="21">IF((K18-(12000000))&lt;=0,0,IF((K18-(12000000))&gt;=13000000,13000000*21%,(K18-(12000000))*21%))</f>
        <v>0</v>
      </c>
      <c r="P18" s="1042">
        <f t="shared" ref="P18:P48" si="22">IF((K18-(25000000))&lt;=0,0,IF((K18-(25000000))&gt;=25000000,25000000*23%,(K18-(25000000))*23%))</f>
        <v>0</v>
      </c>
      <c r="Q18" s="1042">
        <f t="shared" ref="Q18:Q48" si="23">IF((K18-(50000000))&lt;=0,0,(K18-(50000000))*25%)</f>
        <v>0</v>
      </c>
      <c r="R18" s="1042">
        <f t="shared" ref="R18:R48" si="24">SUM(L18:Q18)</f>
        <v>0</v>
      </c>
      <c r="S18" s="1042">
        <f t="shared" ref="S18:S48" si="25">R18/12</f>
        <v>0</v>
      </c>
    </row>
    <row r="19" s="1039" customFormat="1" ht="20" customHeight="1" spans="1:19">
      <c r="A19" s="1087">
        <v>12</v>
      </c>
      <c r="B19" s="779" t="s">
        <v>54</v>
      </c>
      <c r="C19" s="1088"/>
      <c r="D19" s="1088"/>
      <c r="E19" s="1089"/>
      <c r="F19" s="1079">
        <f t="shared" si="12"/>
        <v>0</v>
      </c>
      <c r="G19" s="1042">
        <f t="shared" si="13"/>
        <v>0</v>
      </c>
      <c r="H19" s="1042">
        <f t="shared" si="14"/>
        <v>0</v>
      </c>
      <c r="I19" s="1042">
        <f t="shared" si="15"/>
        <v>0</v>
      </c>
      <c r="J19" s="1042">
        <f t="shared" si="16"/>
        <v>0</v>
      </c>
      <c r="K19" s="1042">
        <f t="shared" si="17"/>
        <v>0</v>
      </c>
      <c r="L19" s="1042">
        <f t="shared" si="18"/>
        <v>0</v>
      </c>
      <c r="M19" s="1042">
        <f t="shared" si="19"/>
        <v>0</v>
      </c>
      <c r="N19" s="1080">
        <f t="shared" si="20"/>
        <v>0</v>
      </c>
      <c r="O19" s="1081">
        <f t="shared" si="21"/>
        <v>0</v>
      </c>
      <c r="P19" s="1042">
        <f t="shared" si="22"/>
        <v>0</v>
      </c>
      <c r="Q19" s="1042">
        <f t="shared" si="23"/>
        <v>0</v>
      </c>
      <c r="R19" s="1042">
        <f t="shared" si="24"/>
        <v>0</v>
      </c>
      <c r="S19" s="1042">
        <f t="shared" si="25"/>
        <v>0</v>
      </c>
    </row>
    <row r="20" s="1039" customFormat="1" ht="20" customHeight="1" spans="1:19">
      <c r="A20" s="1087">
        <v>13</v>
      </c>
      <c r="B20" s="779" t="s">
        <v>57</v>
      </c>
      <c r="C20" s="1088"/>
      <c r="D20" s="1088"/>
      <c r="E20" s="1089"/>
      <c r="F20" s="1079">
        <f t="shared" si="12"/>
        <v>0</v>
      </c>
      <c r="G20" s="1042">
        <f t="shared" si="13"/>
        <v>0</v>
      </c>
      <c r="H20" s="1042">
        <f t="shared" si="14"/>
        <v>0</v>
      </c>
      <c r="I20" s="1042">
        <f t="shared" si="15"/>
        <v>0</v>
      </c>
      <c r="J20" s="1042">
        <f t="shared" si="16"/>
        <v>0</v>
      </c>
      <c r="K20" s="1042">
        <f t="shared" si="17"/>
        <v>0</v>
      </c>
      <c r="L20" s="1042">
        <f t="shared" si="18"/>
        <v>0</v>
      </c>
      <c r="M20" s="1042">
        <f t="shared" si="19"/>
        <v>0</v>
      </c>
      <c r="N20" s="1080">
        <f t="shared" si="20"/>
        <v>0</v>
      </c>
      <c r="O20" s="1081">
        <f t="shared" si="21"/>
        <v>0</v>
      </c>
      <c r="P20" s="1042">
        <f t="shared" si="22"/>
        <v>0</v>
      </c>
      <c r="Q20" s="1042">
        <f t="shared" si="23"/>
        <v>0</v>
      </c>
      <c r="R20" s="1042">
        <f t="shared" si="24"/>
        <v>0</v>
      </c>
      <c r="S20" s="1042">
        <f t="shared" si="25"/>
        <v>0</v>
      </c>
    </row>
    <row r="21" ht="20" customHeight="1" spans="1:19">
      <c r="A21" s="1087">
        <v>14</v>
      </c>
      <c r="B21" s="779" t="s">
        <v>60</v>
      </c>
      <c r="C21" s="384"/>
      <c r="D21" s="384"/>
      <c r="E21" s="1090"/>
      <c r="F21" s="1079">
        <f t="shared" si="12"/>
        <v>0</v>
      </c>
      <c r="G21" s="1042">
        <f t="shared" si="13"/>
        <v>0</v>
      </c>
      <c r="H21" s="1042">
        <f t="shared" si="14"/>
        <v>0</v>
      </c>
      <c r="I21" s="1042">
        <f t="shared" si="15"/>
        <v>0</v>
      </c>
      <c r="J21" s="1042">
        <f t="shared" si="16"/>
        <v>0</v>
      </c>
      <c r="K21" s="1042">
        <f t="shared" si="17"/>
        <v>0</v>
      </c>
      <c r="L21" s="1042">
        <f t="shared" si="18"/>
        <v>0</v>
      </c>
      <c r="M21" s="1042">
        <f t="shared" si="19"/>
        <v>0</v>
      </c>
      <c r="N21" s="1080">
        <f t="shared" si="20"/>
        <v>0</v>
      </c>
      <c r="O21" s="1081">
        <f t="shared" si="21"/>
        <v>0</v>
      </c>
      <c r="P21" s="1042">
        <f t="shared" si="22"/>
        <v>0</v>
      </c>
      <c r="Q21" s="1042">
        <f t="shared" si="23"/>
        <v>0</v>
      </c>
      <c r="R21" s="1042">
        <f t="shared" si="24"/>
        <v>0</v>
      </c>
      <c r="S21" s="1042">
        <f t="shared" si="25"/>
        <v>0</v>
      </c>
    </row>
    <row r="22" ht="20" customHeight="1" spans="1:19">
      <c r="A22" s="1087">
        <v>15</v>
      </c>
      <c r="B22" s="777" t="s">
        <v>62</v>
      </c>
      <c r="C22" s="384"/>
      <c r="D22" s="384"/>
      <c r="E22" s="1090"/>
      <c r="F22" s="1079">
        <f t="shared" si="12"/>
        <v>0</v>
      </c>
      <c r="G22" s="1042">
        <f t="shared" si="13"/>
        <v>0</v>
      </c>
      <c r="H22" s="1042">
        <f t="shared" si="14"/>
        <v>0</v>
      </c>
      <c r="I22" s="1042">
        <f t="shared" si="15"/>
        <v>0</v>
      </c>
      <c r="J22" s="1042">
        <f t="shared" si="16"/>
        <v>0</v>
      </c>
      <c r="K22" s="1042">
        <f t="shared" si="17"/>
        <v>0</v>
      </c>
      <c r="L22" s="1042">
        <f t="shared" si="18"/>
        <v>0</v>
      </c>
      <c r="M22" s="1042">
        <f t="shared" si="19"/>
        <v>0</v>
      </c>
      <c r="N22" s="1080">
        <f t="shared" si="20"/>
        <v>0</v>
      </c>
      <c r="O22" s="1081">
        <f t="shared" si="21"/>
        <v>0</v>
      </c>
      <c r="P22" s="1042">
        <f t="shared" si="22"/>
        <v>0</v>
      </c>
      <c r="Q22" s="1042">
        <f t="shared" si="23"/>
        <v>0</v>
      </c>
      <c r="R22" s="1042">
        <f t="shared" si="24"/>
        <v>0</v>
      </c>
      <c r="S22" s="1042">
        <f t="shared" si="25"/>
        <v>0</v>
      </c>
    </row>
    <row r="23" ht="20" customHeight="1" spans="1:19">
      <c r="A23" s="1087">
        <v>16</v>
      </c>
      <c r="B23" s="777" t="s">
        <v>65</v>
      </c>
      <c r="C23" s="384"/>
      <c r="D23" s="384"/>
      <c r="E23" s="1090"/>
      <c r="F23" s="1079">
        <f t="shared" si="12"/>
        <v>0</v>
      </c>
      <c r="G23" s="1042">
        <f t="shared" si="13"/>
        <v>0</v>
      </c>
      <c r="H23" s="1042">
        <f t="shared" si="14"/>
        <v>0</v>
      </c>
      <c r="I23" s="1042">
        <f t="shared" si="15"/>
        <v>0</v>
      </c>
      <c r="J23" s="1042">
        <f t="shared" si="16"/>
        <v>0</v>
      </c>
      <c r="K23" s="1042">
        <f t="shared" si="17"/>
        <v>0</v>
      </c>
      <c r="L23" s="1042">
        <f t="shared" si="18"/>
        <v>0</v>
      </c>
      <c r="M23" s="1042">
        <f t="shared" si="19"/>
        <v>0</v>
      </c>
      <c r="N23" s="1080">
        <f t="shared" si="20"/>
        <v>0</v>
      </c>
      <c r="O23" s="1081">
        <f t="shared" si="21"/>
        <v>0</v>
      </c>
      <c r="P23" s="1042">
        <f t="shared" si="22"/>
        <v>0</v>
      </c>
      <c r="Q23" s="1042">
        <f t="shared" si="23"/>
        <v>0</v>
      </c>
      <c r="R23" s="1042">
        <f t="shared" si="24"/>
        <v>0</v>
      </c>
      <c r="S23" s="1042">
        <f t="shared" si="25"/>
        <v>0</v>
      </c>
    </row>
    <row r="24" ht="20" customHeight="1" spans="1:19">
      <c r="A24" s="1087">
        <v>17</v>
      </c>
      <c r="B24" s="946" t="s">
        <v>68</v>
      </c>
      <c r="C24" s="384"/>
      <c r="D24" s="384"/>
      <c r="E24" s="1090"/>
      <c r="F24" s="1079">
        <f t="shared" si="12"/>
        <v>0</v>
      </c>
      <c r="G24" s="1042">
        <f t="shared" si="13"/>
        <v>0</v>
      </c>
      <c r="H24" s="1042">
        <f t="shared" si="14"/>
        <v>0</v>
      </c>
      <c r="I24" s="1042">
        <f t="shared" si="15"/>
        <v>0</v>
      </c>
      <c r="J24" s="1042">
        <f t="shared" si="16"/>
        <v>0</v>
      </c>
      <c r="K24" s="1042">
        <f t="shared" si="17"/>
        <v>0</v>
      </c>
      <c r="L24" s="1042">
        <f t="shared" si="18"/>
        <v>0</v>
      </c>
      <c r="M24" s="1042">
        <f t="shared" si="19"/>
        <v>0</v>
      </c>
      <c r="N24" s="1080">
        <f t="shared" si="20"/>
        <v>0</v>
      </c>
      <c r="O24" s="1081">
        <f t="shared" si="21"/>
        <v>0</v>
      </c>
      <c r="P24" s="1042">
        <f t="shared" si="22"/>
        <v>0</v>
      </c>
      <c r="Q24" s="1042">
        <f t="shared" si="23"/>
        <v>0</v>
      </c>
      <c r="R24" s="1042">
        <f t="shared" si="24"/>
        <v>0</v>
      </c>
      <c r="S24" s="1042">
        <f t="shared" si="25"/>
        <v>0</v>
      </c>
    </row>
    <row r="25" ht="20" customHeight="1" spans="1:19">
      <c r="A25" s="1087">
        <v>18</v>
      </c>
      <c r="B25" s="777" t="s">
        <v>71</v>
      </c>
      <c r="C25" s="384"/>
      <c r="D25" s="384"/>
      <c r="E25" s="1090"/>
      <c r="F25" s="1079">
        <f t="shared" si="12"/>
        <v>0</v>
      </c>
      <c r="G25" s="1042">
        <f t="shared" si="13"/>
        <v>0</v>
      </c>
      <c r="H25" s="1042">
        <f t="shared" si="14"/>
        <v>0</v>
      </c>
      <c r="I25" s="1042">
        <f t="shared" si="15"/>
        <v>0</v>
      </c>
      <c r="J25" s="1042">
        <f t="shared" si="16"/>
        <v>0</v>
      </c>
      <c r="K25" s="1042">
        <f t="shared" si="17"/>
        <v>0</v>
      </c>
      <c r="L25" s="1042">
        <f t="shared" si="18"/>
        <v>0</v>
      </c>
      <c r="M25" s="1042">
        <f t="shared" si="19"/>
        <v>0</v>
      </c>
      <c r="N25" s="1080">
        <f t="shared" si="20"/>
        <v>0</v>
      </c>
      <c r="O25" s="1081">
        <f t="shared" si="21"/>
        <v>0</v>
      </c>
      <c r="P25" s="1042">
        <f t="shared" si="22"/>
        <v>0</v>
      </c>
      <c r="Q25" s="1042">
        <f t="shared" si="23"/>
        <v>0</v>
      </c>
      <c r="R25" s="1042">
        <f t="shared" si="24"/>
        <v>0</v>
      </c>
      <c r="S25" s="1042">
        <f t="shared" si="25"/>
        <v>0</v>
      </c>
    </row>
    <row r="26" ht="20" customHeight="1" spans="1:19">
      <c r="A26" s="1087">
        <v>19</v>
      </c>
      <c r="B26" s="946" t="s">
        <v>73</v>
      </c>
      <c r="C26" s="384"/>
      <c r="D26" s="384"/>
      <c r="E26" s="1090"/>
      <c r="F26" s="1079">
        <f t="shared" si="12"/>
        <v>0</v>
      </c>
      <c r="G26" s="1042">
        <f t="shared" si="13"/>
        <v>0</v>
      </c>
      <c r="H26" s="1042">
        <f t="shared" si="14"/>
        <v>0</v>
      </c>
      <c r="I26" s="1042">
        <f t="shared" si="15"/>
        <v>0</v>
      </c>
      <c r="J26" s="1042">
        <f t="shared" si="16"/>
        <v>0</v>
      </c>
      <c r="K26" s="1042">
        <f t="shared" si="17"/>
        <v>0</v>
      </c>
      <c r="L26" s="1042">
        <f t="shared" si="18"/>
        <v>0</v>
      </c>
      <c r="M26" s="1042">
        <f t="shared" si="19"/>
        <v>0</v>
      </c>
      <c r="N26" s="1080">
        <f t="shared" si="20"/>
        <v>0</v>
      </c>
      <c r="O26" s="1081">
        <f t="shared" si="21"/>
        <v>0</v>
      </c>
      <c r="P26" s="1042">
        <f t="shared" si="22"/>
        <v>0</v>
      </c>
      <c r="Q26" s="1042">
        <f t="shared" si="23"/>
        <v>0</v>
      </c>
      <c r="R26" s="1042">
        <f t="shared" si="24"/>
        <v>0</v>
      </c>
      <c r="S26" s="1042">
        <f t="shared" si="25"/>
        <v>0</v>
      </c>
    </row>
    <row r="27" ht="20" customHeight="1" spans="1:19">
      <c r="A27" s="1087">
        <v>20</v>
      </c>
      <c r="B27" s="946" t="s">
        <v>76</v>
      </c>
      <c r="C27" s="384"/>
      <c r="D27" s="384"/>
      <c r="E27" s="1090"/>
      <c r="F27" s="1079">
        <f t="shared" si="12"/>
        <v>0</v>
      </c>
      <c r="G27" s="1042">
        <f t="shared" si="13"/>
        <v>0</v>
      </c>
      <c r="H27" s="1042">
        <f t="shared" si="14"/>
        <v>0</v>
      </c>
      <c r="I27" s="1042">
        <f t="shared" si="15"/>
        <v>0</v>
      </c>
      <c r="J27" s="1042">
        <f t="shared" si="16"/>
        <v>0</v>
      </c>
      <c r="K27" s="1042">
        <f t="shared" si="17"/>
        <v>0</v>
      </c>
      <c r="L27" s="1042">
        <f t="shared" si="18"/>
        <v>0</v>
      </c>
      <c r="M27" s="1042">
        <f t="shared" si="19"/>
        <v>0</v>
      </c>
      <c r="N27" s="1080">
        <f t="shared" si="20"/>
        <v>0</v>
      </c>
      <c r="O27" s="1081">
        <f t="shared" si="21"/>
        <v>0</v>
      </c>
      <c r="P27" s="1042">
        <f t="shared" si="22"/>
        <v>0</v>
      </c>
      <c r="Q27" s="1042">
        <f t="shared" si="23"/>
        <v>0</v>
      </c>
      <c r="R27" s="1042">
        <f t="shared" si="24"/>
        <v>0</v>
      </c>
      <c r="S27" s="1042">
        <f t="shared" si="25"/>
        <v>0</v>
      </c>
    </row>
    <row r="28" ht="20" customHeight="1" spans="1:19">
      <c r="A28" s="1087">
        <v>21</v>
      </c>
      <c r="B28" s="778" t="s">
        <v>478</v>
      </c>
      <c r="C28" s="384"/>
      <c r="D28" s="384"/>
      <c r="E28" s="1090"/>
      <c r="F28" s="1079">
        <f t="shared" si="12"/>
        <v>0</v>
      </c>
      <c r="G28" s="1042">
        <f t="shared" si="13"/>
        <v>0</v>
      </c>
      <c r="H28" s="1042">
        <f t="shared" si="14"/>
        <v>0</v>
      </c>
      <c r="I28" s="1042">
        <f t="shared" si="15"/>
        <v>0</v>
      </c>
      <c r="J28" s="1042">
        <f t="shared" si="16"/>
        <v>0</v>
      </c>
      <c r="K28" s="1042">
        <f t="shared" si="17"/>
        <v>0</v>
      </c>
      <c r="L28" s="1042">
        <f t="shared" si="18"/>
        <v>0</v>
      </c>
      <c r="M28" s="1042">
        <f t="shared" si="19"/>
        <v>0</v>
      </c>
      <c r="N28" s="1080">
        <f t="shared" si="20"/>
        <v>0</v>
      </c>
      <c r="O28" s="1081">
        <f t="shared" si="21"/>
        <v>0</v>
      </c>
      <c r="P28" s="1042">
        <f t="shared" si="22"/>
        <v>0</v>
      </c>
      <c r="Q28" s="1042">
        <f t="shared" si="23"/>
        <v>0</v>
      </c>
      <c r="R28" s="1042">
        <f t="shared" si="24"/>
        <v>0</v>
      </c>
      <c r="S28" s="1042">
        <f t="shared" si="25"/>
        <v>0</v>
      </c>
    </row>
    <row r="29" ht="20" customHeight="1" spans="1:19">
      <c r="A29" s="1087">
        <v>22</v>
      </c>
      <c r="B29" s="779" t="s">
        <v>79</v>
      </c>
      <c r="C29" s="384"/>
      <c r="D29" s="384"/>
      <c r="E29" s="1090"/>
      <c r="F29" s="1079">
        <f t="shared" si="12"/>
        <v>0</v>
      </c>
      <c r="G29" s="1042">
        <f t="shared" si="13"/>
        <v>0</v>
      </c>
      <c r="H29" s="1042">
        <f t="shared" si="14"/>
        <v>0</v>
      </c>
      <c r="I29" s="1042">
        <f t="shared" si="15"/>
        <v>0</v>
      </c>
      <c r="J29" s="1042">
        <f t="shared" si="16"/>
        <v>0</v>
      </c>
      <c r="K29" s="1042">
        <f t="shared" si="17"/>
        <v>0</v>
      </c>
      <c r="L29" s="1042">
        <f t="shared" si="18"/>
        <v>0</v>
      </c>
      <c r="M29" s="1042">
        <f t="shared" si="19"/>
        <v>0</v>
      </c>
      <c r="N29" s="1080">
        <f t="shared" si="20"/>
        <v>0</v>
      </c>
      <c r="O29" s="1081">
        <f t="shared" si="21"/>
        <v>0</v>
      </c>
      <c r="P29" s="1042">
        <f t="shared" si="22"/>
        <v>0</v>
      </c>
      <c r="Q29" s="1042">
        <f t="shared" si="23"/>
        <v>0</v>
      </c>
      <c r="R29" s="1042">
        <f t="shared" si="24"/>
        <v>0</v>
      </c>
      <c r="S29" s="1042">
        <f t="shared" si="25"/>
        <v>0</v>
      </c>
    </row>
    <row r="30" ht="20" customHeight="1" spans="1:19">
      <c r="A30" s="1087">
        <v>23</v>
      </c>
      <c r="B30" s="777" t="s">
        <v>82</v>
      </c>
      <c r="C30" s="384"/>
      <c r="D30" s="384"/>
      <c r="E30" s="1090"/>
      <c r="F30" s="1079">
        <f t="shared" si="12"/>
        <v>0</v>
      </c>
      <c r="G30" s="1042">
        <f t="shared" si="13"/>
        <v>0</v>
      </c>
      <c r="H30" s="1042">
        <f t="shared" si="14"/>
        <v>0</v>
      </c>
      <c r="I30" s="1042">
        <f t="shared" si="15"/>
        <v>0</v>
      </c>
      <c r="J30" s="1042">
        <f t="shared" si="16"/>
        <v>0</v>
      </c>
      <c r="K30" s="1042">
        <f t="shared" si="17"/>
        <v>0</v>
      </c>
      <c r="L30" s="1042">
        <f t="shared" si="18"/>
        <v>0</v>
      </c>
      <c r="M30" s="1042">
        <f t="shared" si="19"/>
        <v>0</v>
      </c>
      <c r="N30" s="1080">
        <f t="shared" si="20"/>
        <v>0</v>
      </c>
      <c r="O30" s="1081">
        <f t="shared" si="21"/>
        <v>0</v>
      </c>
      <c r="P30" s="1042">
        <f t="shared" si="22"/>
        <v>0</v>
      </c>
      <c r="Q30" s="1042">
        <f t="shared" si="23"/>
        <v>0</v>
      </c>
      <c r="R30" s="1042">
        <f t="shared" si="24"/>
        <v>0</v>
      </c>
      <c r="S30" s="1042">
        <f t="shared" si="25"/>
        <v>0</v>
      </c>
    </row>
    <row r="31" ht="20" customHeight="1" spans="1:19">
      <c r="A31" s="1087">
        <v>24</v>
      </c>
      <c r="B31" s="779" t="s">
        <v>84</v>
      </c>
      <c r="C31" s="384"/>
      <c r="D31" s="384"/>
      <c r="E31" s="1090"/>
      <c r="F31" s="1079">
        <f t="shared" si="12"/>
        <v>0</v>
      </c>
      <c r="G31" s="1042">
        <f t="shared" si="13"/>
        <v>0</v>
      </c>
      <c r="H31" s="1042">
        <f t="shared" si="14"/>
        <v>0</v>
      </c>
      <c r="I31" s="1042">
        <f t="shared" si="15"/>
        <v>0</v>
      </c>
      <c r="J31" s="1042">
        <f t="shared" si="16"/>
        <v>0</v>
      </c>
      <c r="K31" s="1042">
        <f t="shared" si="17"/>
        <v>0</v>
      </c>
      <c r="L31" s="1042">
        <f t="shared" si="18"/>
        <v>0</v>
      </c>
      <c r="M31" s="1042">
        <f t="shared" si="19"/>
        <v>0</v>
      </c>
      <c r="N31" s="1080">
        <f t="shared" si="20"/>
        <v>0</v>
      </c>
      <c r="O31" s="1081">
        <f t="shared" si="21"/>
        <v>0</v>
      </c>
      <c r="P31" s="1042">
        <f t="shared" si="22"/>
        <v>0</v>
      </c>
      <c r="Q31" s="1042">
        <f t="shared" si="23"/>
        <v>0</v>
      </c>
      <c r="R31" s="1042">
        <f t="shared" si="24"/>
        <v>0</v>
      </c>
      <c r="S31" s="1042">
        <f t="shared" si="25"/>
        <v>0</v>
      </c>
    </row>
    <row r="32" ht="20" customHeight="1" spans="1:19">
      <c r="A32" s="1087">
        <v>25</v>
      </c>
      <c r="B32" s="779" t="s">
        <v>87</v>
      </c>
      <c r="C32" s="384"/>
      <c r="D32" s="384"/>
      <c r="E32" s="1090"/>
      <c r="F32" s="1079">
        <f t="shared" si="12"/>
        <v>0</v>
      </c>
      <c r="G32" s="1042">
        <f t="shared" si="13"/>
        <v>0</v>
      </c>
      <c r="H32" s="1042">
        <f t="shared" si="14"/>
        <v>0</v>
      </c>
      <c r="I32" s="1042">
        <f t="shared" si="15"/>
        <v>0</v>
      </c>
      <c r="J32" s="1042">
        <f t="shared" si="16"/>
        <v>0</v>
      </c>
      <c r="K32" s="1042">
        <f t="shared" si="17"/>
        <v>0</v>
      </c>
      <c r="L32" s="1042">
        <f t="shared" si="18"/>
        <v>0</v>
      </c>
      <c r="M32" s="1042">
        <f t="shared" si="19"/>
        <v>0</v>
      </c>
      <c r="N32" s="1080">
        <f t="shared" si="20"/>
        <v>0</v>
      </c>
      <c r="O32" s="1081">
        <f t="shared" si="21"/>
        <v>0</v>
      </c>
      <c r="P32" s="1042">
        <f t="shared" si="22"/>
        <v>0</v>
      </c>
      <c r="Q32" s="1042">
        <f t="shared" si="23"/>
        <v>0</v>
      </c>
      <c r="R32" s="1042">
        <f t="shared" si="24"/>
        <v>0</v>
      </c>
      <c r="S32" s="1042">
        <f t="shared" si="25"/>
        <v>0</v>
      </c>
    </row>
    <row r="33" ht="20" customHeight="1" spans="1:19">
      <c r="A33" s="1087">
        <v>26</v>
      </c>
      <c r="B33" s="779" t="s">
        <v>89</v>
      </c>
      <c r="C33" s="384"/>
      <c r="D33" s="384"/>
      <c r="E33" s="1090"/>
      <c r="F33" s="1079">
        <f t="shared" si="12"/>
        <v>0</v>
      </c>
      <c r="G33" s="1042">
        <f t="shared" si="13"/>
        <v>0</v>
      </c>
      <c r="H33" s="1042">
        <f t="shared" si="14"/>
        <v>0</v>
      </c>
      <c r="I33" s="1042">
        <f t="shared" si="15"/>
        <v>0</v>
      </c>
      <c r="J33" s="1042">
        <f t="shared" si="16"/>
        <v>0</v>
      </c>
      <c r="K33" s="1042">
        <f t="shared" si="17"/>
        <v>0</v>
      </c>
      <c r="L33" s="1042">
        <f t="shared" si="18"/>
        <v>0</v>
      </c>
      <c r="M33" s="1042">
        <f t="shared" si="19"/>
        <v>0</v>
      </c>
      <c r="N33" s="1080">
        <f t="shared" si="20"/>
        <v>0</v>
      </c>
      <c r="O33" s="1081">
        <f t="shared" si="21"/>
        <v>0</v>
      </c>
      <c r="P33" s="1042">
        <f t="shared" si="22"/>
        <v>0</v>
      </c>
      <c r="Q33" s="1042">
        <f t="shared" si="23"/>
        <v>0</v>
      </c>
      <c r="R33" s="1042">
        <f t="shared" si="24"/>
        <v>0</v>
      </c>
      <c r="S33" s="1042">
        <f t="shared" si="25"/>
        <v>0</v>
      </c>
    </row>
    <row r="34" ht="20" customHeight="1" spans="1:19">
      <c r="A34" s="1087">
        <v>27</v>
      </c>
      <c r="B34" s="779" t="s">
        <v>91</v>
      </c>
      <c r="C34" s="384"/>
      <c r="D34" s="384"/>
      <c r="E34" s="1090"/>
      <c r="F34" s="1079">
        <f t="shared" si="12"/>
        <v>0</v>
      </c>
      <c r="G34" s="1042">
        <f t="shared" si="13"/>
        <v>0</v>
      </c>
      <c r="H34" s="1042">
        <f t="shared" si="14"/>
        <v>0</v>
      </c>
      <c r="I34" s="1042">
        <f t="shared" si="15"/>
        <v>0</v>
      </c>
      <c r="J34" s="1042">
        <f t="shared" si="16"/>
        <v>0</v>
      </c>
      <c r="K34" s="1042">
        <f t="shared" si="17"/>
        <v>0</v>
      </c>
      <c r="L34" s="1042">
        <f t="shared" si="18"/>
        <v>0</v>
      </c>
      <c r="M34" s="1042">
        <f t="shared" si="19"/>
        <v>0</v>
      </c>
      <c r="N34" s="1080">
        <f t="shared" si="20"/>
        <v>0</v>
      </c>
      <c r="O34" s="1081">
        <f t="shared" si="21"/>
        <v>0</v>
      </c>
      <c r="P34" s="1042">
        <f t="shared" si="22"/>
        <v>0</v>
      </c>
      <c r="Q34" s="1042">
        <f t="shared" si="23"/>
        <v>0</v>
      </c>
      <c r="R34" s="1042">
        <f t="shared" si="24"/>
        <v>0</v>
      </c>
      <c r="S34" s="1042">
        <f t="shared" si="25"/>
        <v>0</v>
      </c>
    </row>
    <row r="35" ht="20" customHeight="1" spans="1:19">
      <c r="A35" s="1087">
        <v>28</v>
      </c>
      <c r="B35" s="779" t="s">
        <v>93</v>
      </c>
      <c r="C35" s="384"/>
      <c r="D35" s="384"/>
      <c r="E35" s="1090"/>
      <c r="F35" s="1079">
        <f t="shared" si="12"/>
        <v>0</v>
      </c>
      <c r="G35" s="1042">
        <f t="shared" si="13"/>
        <v>0</v>
      </c>
      <c r="H35" s="1042">
        <f t="shared" si="14"/>
        <v>0</v>
      </c>
      <c r="I35" s="1042">
        <f t="shared" si="15"/>
        <v>0</v>
      </c>
      <c r="J35" s="1042">
        <f t="shared" si="16"/>
        <v>0</v>
      </c>
      <c r="K35" s="1042">
        <f t="shared" si="17"/>
        <v>0</v>
      </c>
      <c r="L35" s="1042">
        <f t="shared" si="18"/>
        <v>0</v>
      </c>
      <c r="M35" s="1042">
        <f t="shared" si="19"/>
        <v>0</v>
      </c>
      <c r="N35" s="1080">
        <f t="shared" si="20"/>
        <v>0</v>
      </c>
      <c r="O35" s="1081">
        <f t="shared" si="21"/>
        <v>0</v>
      </c>
      <c r="P35" s="1042">
        <f t="shared" si="22"/>
        <v>0</v>
      </c>
      <c r="Q35" s="1042">
        <f t="shared" si="23"/>
        <v>0</v>
      </c>
      <c r="R35" s="1042">
        <f t="shared" si="24"/>
        <v>0</v>
      </c>
      <c r="S35" s="1042">
        <f t="shared" si="25"/>
        <v>0</v>
      </c>
    </row>
    <row r="36" ht="20" customHeight="1" spans="1:19">
      <c r="A36" s="1087">
        <v>29</v>
      </c>
      <c r="B36" s="779" t="s">
        <v>95</v>
      </c>
      <c r="C36" s="384"/>
      <c r="D36" s="384"/>
      <c r="E36" s="1090"/>
      <c r="F36" s="1079">
        <f t="shared" si="12"/>
        <v>0</v>
      </c>
      <c r="G36" s="1042">
        <f t="shared" si="13"/>
        <v>0</v>
      </c>
      <c r="H36" s="1042">
        <f t="shared" si="14"/>
        <v>0</v>
      </c>
      <c r="I36" s="1042">
        <f t="shared" si="15"/>
        <v>0</v>
      </c>
      <c r="J36" s="1042">
        <f t="shared" si="16"/>
        <v>0</v>
      </c>
      <c r="K36" s="1042">
        <f t="shared" si="17"/>
        <v>0</v>
      </c>
      <c r="L36" s="1042">
        <f t="shared" si="18"/>
        <v>0</v>
      </c>
      <c r="M36" s="1042">
        <f t="shared" si="19"/>
        <v>0</v>
      </c>
      <c r="N36" s="1080">
        <f t="shared" si="20"/>
        <v>0</v>
      </c>
      <c r="O36" s="1081">
        <f t="shared" si="21"/>
        <v>0</v>
      </c>
      <c r="P36" s="1042">
        <f t="shared" si="22"/>
        <v>0</v>
      </c>
      <c r="Q36" s="1042">
        <f t="shared" si="23"/>
        <v>0</v>
      </c>
      <c r="R36" s="1042">
        <f t="shared" si="24"/>
        <v>0</v>
      </c>
      <c r="S36" s="1042">
        <f t="shared" si="25"/>
        <v>0</v>
      </c>
    </row>
    <row r="37" ht="20" customHeight="1" spans="1:19">
      <c r="A37" s="1087">
        <v>30</v>
      </c>
      <c r="B37" s="779" t="s">
        <v>97</v>
      </c>
      <c r="C37" s="384"/>
      <c r="D37" s="384"/>
      <c r="E37" s="1090"/>
      <c r="F37" s="1079">
        <f t="shared" si="12"/>
        <v>0</v>
      </c>
      <c r="G37" s="1042">
        <f t="shared" si="13"/>
        <v>0</v>
      </c>
      <c r="H37" s="1042">
        <f t="shared" si="14"/>
        <v>0</v>
      </c>
      <c r="I37" s="1042">
        <f t="shared" si="15"/>
        <v>0</v>
      </c>
      <c r="J37" s="1042">
        <f t="shared" si="16"/>
        <v>0</v>
      </c>
      <c r="K37" s="1042">
        <f t="shared" si="17"/>
        <v>0</v>
      </c>
      <c r="L37" s="1042">
        <f t="shared" si="18"/>
        <v>0</v>
      </c>
      <c r="M37" s="1042">
        <f t="shared" si="19"/>
        <v>0</v>
      </c>
      <c r="N37" s="1080">
        <f t="shared" si="20"/>
        <v>0</v>
      </c>
      <c r="O37" s="1081">
        <f t="shared" si="21"/>
        <v>0</v>
      </c>
      <c r="P37" s="1042">
        <f t="shared" si="22"/>
        <v>0</v>
      </c>
      <c r="Q37" s="1042">
        <f t="shared" si="23"/>
        <v>0</v>
      </c>
      <c r="R37" s="1042">
        <f t="shared" si="24"/>
        <v>0</v>
      </c>
      <c r="S37" s="1042">
        <f t="shared" si="25"/>
        <v>0</v>
      </c>
    </row>
    <row r="38" ht="20" customHeight="1" spans="1:19">
      <c r="A38" s="1087">
        <v>31</v>
      </c>
      <c r="B38" s="779" t="s">
        <v>100</v>
      </c>
      <c r="C38" s="384"/>
      <c r="D38" s="384"/>
      <c r="E38" s="1090"/>
      <c r="F38" s="1079">
        <f t="shared" si="12"/>
        <v>0</v>
      </c>
      <c r="G38" s="1042">
        <f t="shared" si="13"/>
        <v>0</v>
      </c>
      <c r="H38" s="1042">
        <f t="shared" si="14"/>
        <v>0</v>
      </c>
      <c r="I38" s="1042">
        <f t="shared" si="15"/>
        <v>0</v>
      </c>
      <c r="J38" s="1042">
        <f t="shared" si="16"/>
        <v>0</v>
      </c>
      <c r="K38" s="1042">
        <f t="shared" si="17"/>
        <v>0</v>
      </c>
      <c r="L38" s="1042">
        <f t="shared" si="18"/>
        <v>0</v>
      </c>
      <c r="M38" s="1042">
        <f t="shared" si="19"/>
        <v>0</v>
      </c>
      <c r="N38" s="1080">
        <f t="shared" si="20"/>
        <v>0</v>
      </c>
      <c r="O38" s="1081">
        <f t="shared" si="21"/>
        <v>0</v>
      </c>
      <c r="P38" s="1042">
        <f t="shared" si="22"/>
        <v>0</v>
      </c>
      <c r="Q38" s="1042">
        <f t="shared" si="23"/>
        <v>0</v>
      </c>
      <c r="R38" s="1042">
        <f t="shared" si="24"/>
        <v>0</v>
      </c>
      <c r="S38" s="1042">
        <f t="shared" si="25"/>
        <v>0</v>
      </c>
    </row>
    <row r="39" ht="20" customHeight="1" spans="1:19">
      <c r="A39" s="1087">
        <v>32</v>
      </c>
      <c r="B39" s="779" t="s">
        <v>101</v>
      </c>
      <c r="C39" s="384"/>
      <c r="D39" s="384"/>
      <c r="E39" s="1090"/>
      <c r="F39" s="1079">
        <f t="shared" si="12"/>
        <v>0</v>
      </c>
      <c r="G39" s="1042">
        <f t="shared" si="13"/>
        <v>0</v>
      </c>
      <c r="H39" s="1042">
        <f t="shared" si="14"/>
        <v>0</v>
      </c>
      <c r="I39" s="1042">
        <f t="shared" si="15"/>
        <v>0</v>
      </c>
      <c r="J39" s="1042">
        <f t="shared" si="16"/>
        <v>0</v>
      </c>
      <c r="K39" s="1042">
        <f t="shared" si="17"/>
        <v>0</v>
      </c>
      <c r="L39" s="1042">
        <f t="shared" si="18"/>
        <v>0</v>
      </c>
      <c r="M39" s="1042">
        <f t="shared" si="19"/>
        <v>0</v>
      </c>
      <c r="N39" s="1080">
        <f t="shared" si="20"/>
        <v>0</v>
      </c>
      <c r="O39" s="1081">
        <f t="shared" si="21"/>
        <v>0</v>
      </c>
      <c r="P39" s="1042">
        <f t="shared" si="22"/>
        <v>0</v>
      </c>
      <c r="Q39" s="1042">
        <f t="shared" si="23"/>
        <v>0</v>
      </c>
      <c r="R39" s="1042">
        <f t="shared" si="24"/>
        <v>0</v>
      </c>
      <c r="S39" s="1042">
        <f t="shared" si="25"/>
        <v>0</v>
      </c>
    </row>
    <row r="40" ht="20" customHeight="1" spans="1:19">
      <c r="A40" s="1087">
        <v>33</v>
      </c>
      <c r="B40" s="779" t="s">
        <v>102</v>
      </c>
      <c r="C40" s="384"/>
      <c r="D40" s="384"/>
      <c r="E40" s="1090"/>
      <c r="F40" s="1079">
        <f t="shared" si="12"/>
        <v>0</v>
      </c>
      <c r="G40" s="1042">
        <f t="shared" si="13"/>
        <v>0</v>
      </c>
      <c r="H40" s="1042">
        <f t="shared" si="14"/>
        <v>0</v>
      </c>
      <c r="I40" s="1042">
        <f t="shared" si="15"/>
        <v>0</v>
      </c>
      <c r="J40" s="1042">
        <f t="shared" si="16"/>
        <v>0</v>
      </c>
      <c r="K40" s="1042">
        <f t="shared" si="17"/>
        <v>0</v>
      </c>
      <c r="L40" s="1042">
        <f t="shared" si="18"/>
        <v>0</v>
      </c>
      <c r="M40" s="1042">
        <f t="shared" si="19"/>
        <v>0</v>
      </c>
      <c r="N40" s="1080">
        <f t="shared" si="20"/>
        <v>0</v>
      </c>
      <c r="O40" s="1081">
        <f t="shared" si="21"/>
        <v>0</v>
      </c>
      <c r="P40" s="1042">
        <f t="shared" si="22"/>
        <v>0</v>
      </c>
      <c r="Q40" s="1042">
        <f t="shared" si="23"/>
        <v>0</v>
      </c>
      <c r="R40" s="1042">
        <f t="shared" si="24"/>
        <v>0</v>
      </c>
      <c r="S40" s="1042">
        <f t="shared" si="25"/>
        <v>0</v>
      </c>
    </row>
    <row r="41" ht="20" customHeight="1" spans="1:19">
      <c r="A41" s="1087">
        <v>34</v>
      </c>
      <c r="B41" s="779" t="s">
        <v>103</v>
      </c>
      <c r="C41" s="384"/>
      <c r="D41" s="384"/>
      <c r="E41" s="1090"/>
      <c r="F41" s="1079">
        <f t="shared" si="12"/>
        <v>0</v>
      </c>
      <c r="G41" s="1042">
        <f t="shared" si="13"/>
        <v>0</v>
      </c>
      <c r="H41" s="1042">
        <f t="shared" si="14"/>
        <v>0</v>
      </c>
      <c r="I41" s="1042">
        <f t="shared" si="15"/>
        <v>0</v>
      </c>
      <c r="J41" s="1042">
        <f t="shared" si="16"/>
        <v>0</v>
      </c>
      <c r="K41" s="1042">
        <f t="shared" si="17"/>
        <v>0</v>
      </c>
      <c r="L41" s="1042">
        <f t="shared" si="18"/>
        <v>0</v>
      </c>
      <c r="M41" s="1042">
        <f t="shared" si="19"/>
        <v>0</v>
      </c>
      <c r="N41" s="1080">
        <f t="shared" si="20"/>
        <v>0</v>
      </c>
      <c r="O41" s="1081">
        <f t="shared" si="21"/>
        <v>0</v>
      </c>
      <c r="P41" s="1042">
        <f t="shared" si="22"/>
        <v>0</v>
      </c>
      <c r="Q41" s="1042">
        <f t="shared" si="23"/>
        <v>0</v>
      </c>
      <c r="R41" s="1042">
        <f t="shared" si="24"/>
        <v>0</v>
      </c>
      <c r="S41" s="1042">
        <f t="shared" si="25"/>
        <v>0</v>
      </c>
    </row>
    <row r="42" ht="20" customHeight="1" spans="1:19">
      <c r="A42" s="1087">
        <v>35</v>
      </c>
      <c r="B42" s="779" t="s">
        <v>106</v>
      </c>
      <c r="C42" s="384"/>
      <c r="D42" s="384"/>
      <c r="E42" s="1090"/>
      <c r="F42" s="1079">
        <f t="shared" si="12"/>
        <v>0</v>
      </c>
      <c r="G42" s="1042">
        <f t="shared" si="13"/>
        <v>0</v>
      </c>
      <c r="H42" s="1042">
        <f t="shared" si="14"/>
        <v>0</v>
      </c>
      <c r="I42" s="1042">
        <f t="shared" si="15"/>
        <v>0</v>
      </c>
      <c r="J42" s="1042">
        <f t="shared" si="16"/>
        <v>0</v>
      </c>
      <c r="K42" s="1042">
        <f t="shared" si="17"/>
        <v>0</v>
      </c>
      <c r="L42" s="1042">
        <f t="shared" si="18"/>
        <v>0</v>
      </c>
      <c r="M42" s="1042">
        <f t="shared" si="19"/>
        <v>0</v>
      </c>
      <c r="N42" s="1080">
        <f t="shared" si="20"/>
        <v>0</v>
      </c>
      <c r="O42" s="1081">
        <f t="shared" si="21"/>
        <v>0</v>
      </c>
      <c r="P42" s="1042">
        <f t="shared" si="22"/>
        <v>0</v>
      </c>
      <c r="Q42" s="1042">
        <f t="shared" si="23"/>
        <v>0</v>
      </c>
      <c r="R42" s="1042">
        <f t="shared" si="24"/>
        <v>0</v>
      </c>
      <c r="S42" s="1042">
        <f t="shared" si="25"/>
        <v>0</v>
      </c>
    </row>
    <row r="43" ht="20" customHeight="1" spans="1:19">
      <c r="A43" s="1087">
        <v>36</v>
      </c>
      <c r="B43" s="779" t="s">
        <v>109</v>
      </c>
      <c r="C43" s="384"/>
      <c r="D43" s="384"/>
      <c r="E43" s="1090"/>
      <c r="F43" s="1079">
        <f t="shared" si="12"/>
        <v>0</v>
      </c>
      <c r="G43" s="1042">
        <f t="shared" si="13"/>
        <v>0</v>
      </c>
      <c r="H43" s="1042">
        <f t="shared" si="14"/>
        <v>0</v>
      </c>
      <c r="I43" s="1042">
        <f t="shared" si="15"/>
        <v>0</v>
      </c>
      <c r="J43" s="1042">
        <f t="shared" si="16"/>
        <v>0</v>
      </c>
      <c r="K43" s="1042">
        <f t="shared" si="17"/>
        <v>0</v>
      </c>
      <c r="L43" s="1042">
        <f t="shared" si="18"/>
        <v>0</v>
      </c>
      <c r="M43" s="1042">
        <f t="shared" si="19"/>
        <v>0</v>
      </c>
      <c r="N43" s="1080">
        <f t="shared" si="20"/>
        <v>0</v>
      </c>
      <c r="O43" s="1081">
        <f t="shared" si="21"/>
        <v>0</v>
      </c>
      <c r="P43" s="1042">
        <f t="shared" si="22"/>
        <v>0</v>
      </c>
      <c r="Q43" s="1042">
        <f t="shared" si="23"/>
        <v>0</v>
      </c>
      <c r="R43" s="1042">
        <f t="shared" si="24"/>
        <v>0</v>
      </c>
      <c r="S43" s="1042">
        <f t="shared" si="25"/>
        <v>0</v>
      </c>
    </row>
    <row r="44" ht="20" customHeight="1" spans="1:19">
      <c r="A44" s="1087">
        <v>37</v>
      </c>
      <c r="B44" s="779" t="s">
        <v>112</v>
      </c>
      <c r="C44" s="384"/>
      <c r="D44" s="384"/>
      <c r="E44" s="1090"/>
      <c r="F44" s="1079">
        <f t="shared" si="12"/>
        <v>0</v>
      </c>
      <c r="G44" s="1042">
        <f t="shared" si="13"/>
        <v>0</v>
      </c>
      <c r="H44" s="1042">
        <f t="shared" si="14"/>
        <v>0</v>
      </c>
      <c r="I44" s="1042">
        <f t="shared" si="15"/>
        <v>0</v>
      </c>
      <c r="J44" s="1042">
        <f t="shared" si="16"/>
        <v>0</v>
      </c>
      <c r="K44" s="1042">
        <f t="shared" si="17"/>
        <v>0</v>
      </c>
      <c r="L44" s="1042">
        <f t="shared" si="18"/>
        <v>0</v>
      </c>
      <c r="M44" s="1042">
        <f t="shared" si="19"/>
        <v>0</v>
      </c>
      <c r="N44" s="1080">
        <f t="shared" si="20"/>
        <v>0</v>
      </c>
      <c r="O44" s="1081">
        <f t="shared" si="21"/>
        <v>0</v>
      </c>
      <c r="P44" s="1042">
        <f t="shared" si="22"/>
        <v>0</v>
      </c>
      <c r="Q44" s="1042">
        <f t="shared" si="23"/>
        <v>0</v>
      </c>
      <c r="R44" s="1042">
        <f t="shared" si="24"/>
        <v>0</v>
      </c>
      <c r="S44" s="1042">
        <f t="shared" si="25"/>
        <v>0</v>
      </c>
    </row>
    <row r="45" ht="20" customHeight="1" spans="1:19">
      <c r="A45" s="1087">
        <v>38</v>
      </c>
      <c r="B45" s="779" t="s">
        <v>114</v>
      </c>
      <c r="C45" s="384"/>
      <c r="D45" s="384"/>
      <c r="E45" s="1090"/>
      <c r="F45" s="1079">
        <f t="shared" si="12"/>
        <v>0</v>
      </c>
      <c r="G45" s="1042">
        <f t="shared" si="13"/>
        <v>0</v>
      </c>
      <c r="H45" s="1042">
        <f t="shared" si="14"/>
        <v>0</v>
      </c>
      <c r="I45" s="1042">
        <f t="shared" si="15"/>
        <v>0</v>
      </c>
      <c r="J45" s="1042">
        <f t="shared" si="16"/>
        <v>0</v>
      </c>
      <c r="K45" s="1042">
        <f t="shared" si="17"/>
        <v>0</v>
      </c>
      <c r="L45" s="1042">
        <f t="shared" si="18"/>
        <v>0</v>
      </c>
      <c r="M45" s="1042">
        <f t="shared" si="19"/>
        <v>0</v>
      </c>
      <c r="N45" s="1080">
        <f t="shared" si="20"/>
        <v>0</v>
      </c>
      <c r="O45" s="1081">
        <f t="shared" si="21"/>
        <v>0</v>
      </c>
      <c r="P45" s="1042">
        <f t="shared" si="22"/>
        <v>0</v>
      </c>
      <c r="Q45" s="1042">
        <f t="shared" si="23"/>
        <v>0</v>
      </c>
      <c r="R45" s="1042">
        <f t="shared" si="24"/>
        <v>0</v>
      </c>
      <c r="S45" s="1042">
        <f t="shared" si="25"/>
        <v>0</v>
      </c>
    </row>
    <row r="46" ht="20" customHeight="1" spans="1:19">
      <c r="A46" s="1087">
        <v>39</v>
      </c>
      <c r="B46" s="779" t="s">
        <v>115</v>
      </c>
      <c r="C46" s="384"/>
      <c r="D46" s="384"/>
      <c r="E46" s="1090"/>
      <c r="F46" s="1079">
        <f t="shared" si="12"/>
        <v>0</v>
      </c>
      <c r="G46" s="1042">
        <f t="shared" si="13"/>
        <v>0</v>
      </c>
      <c r="H46" s="1042">
        <f t="shared" si="14"/>
        <v>0</v>
      </c>
      <c r="I46" s="1042">
        <f t="shared" si="15"/>
        <v>0</v>
      </c>
      <c r="J46" s="1042">
        <f t="shared" si="16"/>
        <v>0</v>
      </c>
      <c r="K46" s="1042">
        <f t="shared" si="17"/>
        <v>0</v>
      </c>
      <c r="L46" s="1042">
        <f t="shared" si="18"/>
        <v>0</v>
      </c>
      <c r="M46" s="1042">
        <f t="shared" si="19"/>
        <v>0</v>
      </c>
      <c r="N46" s="1080">
        <f t="shared" si="20"/>
        <v>0</v>
      </c>
      <c r="O46" s="1081">
        <f t="shared" si="21"/>
        <v>0</v>
      </c>
      <c r="P46" s="1042">
        <f t="shared" si="22"/>
        <v>0</v>
      </c>
      <c r="Q46" s="1042">
        <f t="shared" si="23"/>
        <v>0</v>
      </c>
      <c r="R46" s="1042">
        <f t="shared" si="24"/>
        <v>0</v>
      </c>
      <c r="S46" s="1042">
        <f t="shared" si="25"/>
        <v>0</v>
      </c>
    </row>
    <row r="47" ht="20" customHeight="1" spans="1:19">
      <c r="A47" s="1087">
        <v>40</v>
      </c>
      <c r="B47" s="779" t="s">
        <v>117</v>
      </c>
      <c r="C47" s="384"/>
      <c r="D47" s="384"/>
      <c r="E47" s="1090"/>
      <c r="F47" s="1079">
        <f t="shared" si="12"/>
        <v>0</v>
      </c>
      <c r="G47" s="1042">
        <f t="shared" si="13"/>
        <v>0</v>
      </c>
      <c r="H47" s="1042">
        <f t="shared" si="14"/>
        <v>0</v>
      </c>
      <c r="I47" s="1042">
        <f t="shared" si="15"/>
        <v>0</v>
      </c>
      <c r="J47" s="1042">
        <f t="shared" si="16"/>
        <v>0</v>
      </c>
      <c r="K47" s="1042">
        <f t="shared" si="17"/>
        <v>0</v>
      </c>
      <c r="L47" s="1042">
        <f t="shared" si="18"/>
        <v>0</v>
      </c>
      <c r="M47" s="1042">
        <f t="shared" si="19"/>
        <v>0</v>
      </c>
      <c r="N47" s="1080">
        <f t="shared" si="20"/>
        <v>0</v>
      </c>
      <c r="O47" s="1081">
        <f t="shared" si="21"/>
        <v>0</v>
      </c>
      <c r="P47" s="1042">
        <f t="shared" si="22"/>
        <v>0</v>
      </c>
      <c r="Q47" s="1042">
        <f t="shared" si="23"/>
        <v>0</v>
      </c>
      <c r="R47" s="1042">
        <f t="shared" si="24"/>
        <v>0</v>
      </c>
      <c r="S47" s="1042">
        <f t="shared" si="25"/>
        <v>0</v>
      </c>
    </row>
    <row r="48" ht="20" customHeight="1" spans="1:19">
      <c r="A48" s="1091">
        <v>41</v>
      </c>
      <c r="B48" s="1092" t="s">
        <v>118</v>
      </c>
      <c r="C48" s="1093"/>
      <c r="D48" s="1093"/>
      <c r="E48" s="1094"/>
      <c r="F48" s="1095">
        <f t="shared" si="12"/>
        <v>0</v>
      </c>
      <c r="G48" s="1042">
        <f t="shared" si="13"/>
        <v>0</v>
      </c>
      <c r="H48" s="1042">
        <f t="shared" si="14"/>
        <v>0</v>
      </c>
      <c r="I48" s="1042">
        <f t="shared" si="15"/>
        <v>0</v>
      </c>
      <c r="J48" s="1042">
        <f t="shared" si="16"/>
        <v>0</v>
      </c>
      <c r="K48" s="1042">
        <f t="shared" si="17"/>
        <v>0</v>
      </c>
      <c r="L48" s="1042">
        <f t="shared" si="18"/>
        <v>0</v>
      </c>
      <c r="M48" s="1042">
        <f t="shared" si="19"/>
        <v>0</v>
      </c>
      <c r="N48" s="1080">
        <f t="shared" si="20"/>
        <v>0</v>
      </c>
      <c r="O48" s="1081">
        <f t="shared" si="21"/>
        <v>0</v>
      </c>
      <c r="P48" s="1042">
        <f t="shared" si="22"/>
        <v>0</v>
      </c>
      <c r="Q48" s="1042">
        <f t="shared" si="23"/>
        <v>0</v>
      </c>
      <c r="R48" s="1042">
        <f t="shared" si="24"/>
        <v>0</v>
      </c>
      <c r="S48" s="1042">
        <f t="shared" si="25"/>
        <v>0</v>
      </c>
    </row>
    <row r="49" ht="20" customHeight="1" spans="1:19">
      <c r="A49" s="384"/>
      <c r="B49" s="1096"/>
      <c r="C49" s="384"/>
      <c r="D49" s="384"/>
      <c r="E49" s="384"/>
      <c r="F49" s="1097"/>
      <c r="G49" s="1042"/>
      <c r="H49" s="1042"/>
      <c r="I49" s="1042"/>
      <c r="J49" s="1042"/>
      <c r="K49" s="1042"/>
      <c r="L49" s="1042"/>
      <c r="M49" s="1042"/>
      <c r="N49" s="1080"/>
      <c r="O49" s="1081"/>
      <c r="P49" s="1042"/>
      <c r="Q49" s="1042"/>
      <c r="R49" s="1042"/>
      <c r="S49" s="1042"/>
    </row>
    <row r="50" ht="20" customHeight="1" spans="1:19">
      <c r="A50" s="467"/>
      <c r="B50" s="869" t="s">
        <v>121</v>
      </c>
    </row>
    <row r="51" ht="20" customHeight="1" spans="1:19">
      <c r="A51" s="467">
        <v>1</v>
      </c>
      <c r="B51" s="779" t="s">
        <v>122</v>
      </c>
    </row>
    <row r="52" ht="20" customHeight="1" spans="1:19">
      <c r="A52" s="467">
        <v>2</v>
      </c>
      <c r="B52" s="777" t="s">
        <v>125</v>
      </c>
    </row>
    <row r="53" ht="20" customHeight="1" spans="1:19">
      <c r="A53" s="467">
        <v>3</v>
      </c>
      <c r="B53" s="777" t="s">
        <v>127</v>
      </c>
    </row>
    <row r="54" ht="20" customHeight="1" spans="1:19">
      <c r="A54" s="467">
        <v>4</v>
      </c>
      <c r="B54" s="777" t="s">
        <v>129</v>
      </c>
    </row>
    <row r="55" ht="20" customHeight="1" spans="1:19">
      <c r="A55" s="467">
        <v>5</v>
      </c>
      <c r="B55" s="777" t="s">
        <v>132</v>
      </c>
    </row>
    <row r="56" ht="20" customHeight="1" spans="1:19">
      <c r="A56" s="467">
        <v>6</v>
      </c>
      <c r="B56" s="777" t="s">
        <v>133</v>
      </c>
    </row>
    <row r="57" ht="20" customHeight="1" spans="1:19">
      <c r="A57" s="467">
        <v>7</v>
      </c>
      <c r="B57" s="777" t="s">
        <v>135</v>
      </c>
    </row>
    <row r="58" ht="20" customHeight="1" spans="1:19">
      <c r="A58" s="467"/>
      <c r="B58" s="1096"/>
    </row>
    <row r="59" ht="20" customHeight="1" spans="1:19">
      <c r="A59" s="467"/>
      <c r="B59" s="866" t="s">
        <v>137</v>
      </c>
    </row>
    <row r="60" ht="20" customHeight="1" spans="1:19">
      <c r="A60" s="1098">
        <v>1</v>
      </c>
      <c r="B60" s="777" t="s">
        <v>138</v>
      </c>
    </row>
    <row r="61" ht="20" customHeight="1" spans="1:19">
      <c r="A61" s="1098">
        <v>2</v>
      </c>
      <c r="B61" s="777" t="s">
        <v>141</v>
      </c>
    </row>
    <row r="62" ht="20" customHeight="1" spans="1:19">
      <c r="A62" s="1098">
        <v>3</v>
      </c>
      <c r="B62" s="777" t="s">
        <v>144</v>
      </c>
    </row>
    <row r="63" ht="20" customHeight="1" spans="1:19">
      <c r="A63" s="1098">
        <v>4</v>
      </c>
      <c r="B63" s="777" t="s">
        <v>146</v>
      </c>
    </row>
    <row r="64" ht="20" customHeight="1" spans="1:19">
      <c r="A64" s="1098">
        <v>5</v>
      </c>
      <c r="B64" s="777" t="s">
        <v>147</v>
      </c>
    </row>
    <row r="65" ht="20" customHeight="1" spans="1:2">
      <c r="A65" s="1098">
        <v>6</v>
      </c>
      <c r="B65" s="946" t="s">
        <v>148</v>
      </c>
    </row>
    <row r="66" ht="20" customHeight="1" spans="1:2">
      <c r="A66" s="1098">
        <v>7</v>
      </c>
      <c r="B66" s="777" t="s">
        <v>149</v>
      </c>
    </row>
    <row r="67" ht="20" customHeight="1" spans="1:2">
      <c r="A67" s="1098">
        <v>8</v>
      </c>
      <c r="B67" s="777" t="s">
        <v>151</v>
      </c>
    </row>
    <row r="68" ht="20" customHeight="1" spans="1:2">
      <c r="A68" s="1098">
        <v>9</v>
      </c>
      <c r="B68" s="777" t="s">
        <v>154</v>
      </c>
    </row>
    <row r="69" ht="20" customHeight="1" spans="1:2">
      <c r="A69" s="1098">
        <v>10</v>
      </c>
      <c r="B69" s="777" t="s">
        <v>155</v>
      </c>
    </row>
    <row r="70" ht="20" customHeight="1" spans="1:2">
      <c r="A70" s="1098">
        <v>11</v>
      </c>
      <c r="B70" s="777" t="s">
        <v>157</v>
      </c>
    </row>
    <row r="71" ht="20" customHeight="1" spans="1:2">
      <c r="A71" s="1098">
        <v>12</v>
      </c>
      <c r="B71" s="777" t="s">
        <v>158</v>
      </c>
    </row>
    <row r="72" ht="20" customHeight="1" spans="1:2">
      <c r="A72" s="467"/>
      <c r="B72" s="1099"/>
    </row>
    <row r="73" ht="20" customHeight="1" spans="1:2">
      <c r="A73" s="467"/>
      <c r="B73" s="866" t="s">
        <v>159</v>
      </c>
    </row>
    <row r="74" ht="20" customHeight="1" spans="1:2">
      <c r="A74" s="467">
        <v>1</v>
      </c>
      <c r="B74" s="777" t="s">
        <v>160</v>
      </c>
    </row>
    <row r="75" ht="20" customHeight="1" spans="1:2">
      <c r="A75" s="467">
        <v>2</v>
      </c>
      <c r="B75" s="777" t="s">
        <v>162</v>
      </c>
    </row>
    <row r="76" ht="20" customHeight="1" spans="1:2">
      <c r="A76" s="467"/>
      <c r="B76" s="866"/>
    </row>
    <row r="77" ht="29" customHeight="1" spans="1:2">
      <c r="A77" s="467"/>
      <c r="B77" s="869" t="s">
        <v>164</v>
      </c>
    </row>
    <row r="78" ht="20" customHeight="1" spans="1:2">
      <c r="A78" s="1098">
        <v>1</v>
      </c>
      <c r="B78" s="777" t="s">
        <v>165</v>
      </c>
    </row>
    <row r="79" ht="20" customHeight="1" spans="1:2">
      <c r="A79" s="1098">
        <v>2</v>
      </c>
      <c r="B79" s="779" t="s">
        <v>167</v>
      </c>
    </row>
    <row r="80" ht="20" customHeight="1" spans="1:2">
      <c r="A80" s="1098">
        <v>3</v>
      </c>
      <c r="B80" s="946" t="s">
        <v>168</v>
      </c>
    </row>
    <row r="81" ht="20" customHeight="1" spans="1:2">
      <c r="A81" s="1098">
        <v>4</v>
      </c>
      <c r="B81" s="777" t="s">
        <v>170</v>
      </c>
    </row>
    <row r="82" ht="20" customHeight="1" spans="1:2">
      <c r="A82" s="1098">
        <v>5</v>
      </c>
      <c r="B82" s="777" t="s">
        <v>171</v>
      </c>
    </row>
    <row r="83" ht="20" customHeight="1" spans="1:2">
      <c r="A83" s="1098">
        <v>6</v>
      </c>
      <c r="B83" s="777" t="s">
        <v>172</v>
      </c>
    </row>
    <row r="84" ht="20" customHeight="1" spans="1:2">
      <c r="A84" s="1098">
        <v>7</v>
      </c>
      <c r="B84" s="777" t="s">
        <v>174</v>
      </c>
    </row>
    <row r="85" ht="20" customHeight="1" spans="1:2">
      <c r="A85" s="1098">
        <v>8</v>
      </c>
      <c r="B85" s="777" t="s">
        <v>175</v>
      </c>
    </row>
    <row r="86" ht="20" customHeight="1" spans="1:2">
      <c r="A86" s="1098">
        <v>9</v>
      </c>
      <c r="B86" s="777" t="s">
        <v>177</v>
      </c>
    </row>
    <row r="87" ht="20" customHeight="1" spans="1:2">
      <c r="A87" s="1098">
        <v>10</v>
      </c>
      <c r="B87" s="777" t="s">
        <v>179</v>
      </c>
    </row>
    <row r="88" ht="20" customHeight="1" spans="1:2">
      <c r="A88" s="1098">
        <v>11</v>
      </c>
      <c r="B88" s="777" t="s">
        <v>181</v>
      </c>
    </row>
    <row r="89" ht="20" customHeight="1" spans="1:2">
      <c r="A89" s="1098"/>
      <c r="B89" s="1100"/>
    </row>
    <row r="90" ht="20" customHeight="1" spans="1:2">
      <c r="A90" s="467"/>
      <c r="B90" s="866" t="s">
        <v>183</v>
      </c>
    </row>
    <row r="91" ht="20" customHeight="1" spans="1:2">
      <c r="A91" s="467">
        <v>1</v>
      </c>
      <c r="B91" s="777" t="s">
        <v>184</v>
      </c>
    </row>
    <row r="92" ht="20" customHeight="1" spans="1:2">
      <c r="A92" s="467">
        <v>2</v>
      </c>
      <c r="B92" s="777" t="s">
        <v>186</v>
      </c>
    </row>
    <row r="93" ht="20" customHeight="1" spans="1:2">
      <c r="A93" s="467">
        <v>3</v>
      </c>
      <c r="B93" s="777" t="s">
        <v>188</v>
      </c>
    </row>
    <row r="94" ht="20" customHeight="1" spans="1:2">
      <c r="A94" s="467">
        <v>4</v>
      </c>
      <c r="B94" s="777" t="s">
        <v>190</v>
      </c>
    </row>
    <row r="95" ht="20" customHeight="1" spans="1:2">
      <c r="A95" s="467">
        <v>5</v>
      </c>
      <c r="B95" s="777" t="s">
        <v>193</v>
      </c>
    </row>
    <row r="96" ht="20" customHeight="1" spans="1:2">
      <c r="A96" s="467">
        <v>6</v>
      </c>
      <c r="B96" s="777" t="s">
        <v>195</v>
      </c>
    </row>
    <row r="97" ht="20" customHeight="1" spans="1:2">
      <c r="A97" s="467">
        <v>7</v>
      </c>
      <c r="B97" s="777" t="s">
        <v>197</v>
      </c>
    </row>
    <row r="98" ht="20" customHeight="1" spans="1:2">
      <c r="A98" s="467">
        <v>8</v>
      </c>
      <c r="B98" s="777" t="s">
        <v>199</v>
      </c>
    </row>
    <row r="99" ht="20" customHeight="1" spans="1:2">
      <c r="A99" s="467">
        <v>9</v>
      </c>
      <c r="B99" s="777" t="s">
        <v>201</v>
      </c>
    </row>
    <row r="100" ht="20" customHeight="1" spans="1:2">
      <c r="A100" s="467">
        <v>10</v>
      </c>
      <c r="B100" s="777" t="s">
        <v>202</v>
      </c>
    </row>
    <row r="101" ht="20" customHeight="1" spans="1:2">
      <c r="A101" s="467">
        <v>11</v>
      </c>
      <c r="B101" s="777" t="s">
        <v>203</v>
      </c>
    </row>
    <row r="102" ht="20" customHeight="1" spans="1:2">
      <c r="A102" s="467"/>
      <c r="B102" s="777"/>
    </row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</sheetData>
  <mergeCells count="13">
    <mergeCell ref="E3:I3"/>
    <mergeCell ref="G6:I6"/>
    <mergeCell ref="E4:E5"/>
    <mergeCell ref="J4:J5"/>
    <mergeCell ref="K4:K6"/>
    <mergeCell ref="L4:L5"/>
    <mergeCell ref="M4:M5"/>
    <mergeCell ref="N4:N5"/>
    <mergeCell ref="O4:O5"/>
    <mergeCell ref="P4:P5"/>
    <mergeCell ref="Q4:Q5"/>
    <mergeCell ref="R4:R5"/>
    <mergeCell ref="S4:S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8"/>
  <sheetViews>
    <sheetView topLeftCell="A116" workbookViewId="0">
      <selection activeCell="D167" sqref="D167"/>
    </sheetView>
  </sheetViews>
  <sheetFormatPr defaultColWidth="8.72727272727273" defaultRowHeight="12.5" outlineLevelCol="4"/>
  <cols>
    <col min="1" max="1" width="6.54545454545455" customWidth="1"/>
    <col min="2" max="2" width="43.0909090909091" customWidth="1"/>
    <col min="3" max="3" width="13.1818181818182" customWidth="1"/>
    <col min="4" max="5" width="17.9090909090909" customWidth="1"/>
  </cols>
  <sheetData>
    <row r="1" ht="25" customHeight="1" spans="1:5">
      <c r="A1" s="370" t="s">
        <v>0</v>
      </c>
      <c r="B1" s="370"/>
      <c r="C1" s="370"/>
      <c r="D1" s="370"/>
      <c r="E1" s="370"/>
    </row>
    <row r="2" ht="25" customHeight="1" spans="1:5">
      <c r="A2" s="236" t="s">
        <v>543</v>
      </c>
      <c r="B2" s="77"/>
      <c r="C2" s="77"/>
      <c r="D2" s="76"/>
      <c r="E2" s="78"/>
    </row>
    <row r="3" ht="13" customHeight="1" spans="1:5">
      <c r="A3" s="236"/>
      <c r="B3" s="77"/>
      <c r="C3" s="77"/>
      <c r="D3" s="76"/>
      <c r="E3" s="78"/>
    </row>
    <row r="4" ht="43" customHeight="1" spans="1:5">
      <c r="A4" s="670" t="s">
        <v>22</v>
      </c>
      <c r="B4" s="670" t="s">
        <v>465</v>
      </c>
      <c r="C4" s="670" t="s">
        <v>544</v>
      </c>
      <c r="D4" s="1037" t="s">
        <v>522</v>
      </c>
      <c r="E4" s="268" t="s">
        <v>545</v>
      </c>
    </row>
    <row r="5" ht="19" customHeight="1" spans="1:5">
      <c r="B5" s="8" t="s">
        <v>23</v>
      </c>
      <c r="C5" s="8"/>
      <c r="D5" s="1038" t="s">
        <v>21</v>
      </c>
      <c r="E5" s="1038" t="s">
        <v>21</v>
      </c>
    </row>
    <row r="6" ht="25" customHeight="1" spans="1:5">
      <c r="A6" s="10">
        <v>1</v>
      </c>
      <c r="B6" s="651" t="s">
        <v>24</v>
      </c>
      <c r="C6" s="12" t="s">
        <v>26</v>
      </c>
      <c r="D6" s="747"/>
      <c r="E6" s="747">
        <f>D6*0.2</f>
        <v>0</v>
      </c>
    </row>
    <row r="7" ht="25" customHeight="1" spans="1:5">
      <c r="A7" s="10">
        <v>2</v>
      </c>
      <c r="B7" s="651" t="s">
        <v>27</v>
      </c>
      <c r="C7" s="10" t="s">
        <v>29</v>
      </c>
      <c r="D7" s="747"/>
      <c r="E7" s="747">
        <f t="shared" ref="E7:E45" si="0">D7*0.2</f>
        <v>0</v>
      </c>
    </row>
    <row r="8" ht="25" customHeight="1" spans="1:5">
      <c r="A8" s="10">
        <v>3</v>
      </c>
      <c r="B8" s="643" t="s">
        <v>30</v>
      </c>
      <c r="C8" s="10" t="s">
        <v>29</v>
      </c>
      <c r="D8" s="747"/>
      <c r="E8" s="747">
        <f t="shared" si="0"/>
        <v>0</v>
      </c>
    </row>
    <row r="9" ht="25" customHeight="1" spans="1:5">
      <c r="A9" s="10">
        <v>4</v>
      </c>
      <c r="B9" s="651" t="s">
        <v>32</v>
      </c>
      <c r="C9" s="10" t="s">
        <v>29</v>
      </c>
      <c r="D9" s="747"/>
      <c r="E9" s="747">
        <f t="shared" si="0"/>
        <v>0</v>
      </c>
    </row>
    <row r="10" ht="25" customHeight="1" spans="1:5">
      <c r="A10" s="10">
        <v>5</v>
      </c>
      <c r="B10" s="651" t="s">
        <v>34</v>
      </c>
      <c r="C10" s="15" t="s">
        <v>36</v>
      </c>
      <c r="D10" s="747"/>
      <c r="E10" s="747">
        <f t="shared" si="0"/>
        <v>0</v>
      </c>
    </row>
    <row r="11" ht="25" customHeight="1" spans="1:5">
      <c r="A11" s="10">
        <v>6</v>
      </c>
      <c r="B11" s="651" t="s">
        <v>37</v>
      </c>
      <c r="C11" s="10" t="s">
        <v>39</v>
      </c>
      <c r="D11" s="747"/>
      <c r="E11" s="747">
        <f t="shared" si="0"/>
        <v>0</v>
      </c>
    </row>
    <row r="12" ht="25" customHeight="1" spans="1:5">
      <c r="A12" s="10">
        <v>7</v>
      </c>
      <c r="B12" s="651" t="s">
        <v>40</v>
      </c>
      <c r="C12" s="15" t="s">
        <v>42</v>
      </c>
      <c r="D12" s="747"/>
      <c r="E12" s="747">
        <f t="shared" si="0"/>
        <v>0</v>
      </c>
    </row>
    <row r="13" ht="25" customHeight="1" spans="1:5">
      <c r="A13" s="10">
        <v>8</v>
      </c>
      <c r="B13" s="643" t="s">
        <v>43</v>
      </c>
      <c r="C13" s="15" t="s">
        <v>39</v>
      </c>
      <c r="D13" s="747"/>
      <c r="E13" s="747">
        <f t="shared" si="0"/>
        <v>0</v>
      </c>
    </row>
    <row r="14" ht="25" customHeight="1" spans="1:5">
      <c r="A14" s="10">
        <v>9</v>
      </c>
      <c r="B14" s="651" t="s">
        <v>45</v>
      </c>
      <c r="C14" s="10" t="s">
        <v>47</v>
      </c>
      <c r="D14" s="747"/>
      <c r="E14" s="747">
        <f t="shared" si="0"/>
        <v>0</v>
      </c>
    </row>
    <row r="15" ht="25" customHeight="1" spans="1:5">
      <c r="A15" s="10">
        <v>10</v>
      </c>
      <c r="B15" s="651" t="s">
        <v>48</v>
      </c>
      <c r="C15" s="10" t="s">
        <v>50</v>
      </c>
      <c r="D15" s="747"/>
      <c r="E15" s="747">
        <f t="shared" si="0"/>
        <v>0</v>
      </c>
    </row>
    <row r="16" ht="25" customHeight="1" spans="1:5">
      <c r="A16" s="10">
        <v>11</v>
      </c>
      <c r="B16" s="651" t="s">
        <v>51</v>
      </c>
      <c r="C16" s="10" t="s">
        <v>53</v>
      </c>
      <c r="D16" s="747"/>
      <c r="E16" s="747">
        <f t="shared" si="0"/>
        <v>0</v>
      </c>
    </row>
    <row r="17" ht="25" customHeight="1" spans="1:5">
      <c r="A17" s="10">
        <v>12</v>
      </c>
      <c r="B17" s="351" t="s">
        <v>54</v>
      </c>
      <c r="C17" s="15" t="s">
        <v>56</v>
      </c>
      <c r="D17" s="747"/>
      <c r="E17" s="747">
        <f t="shared" si="0"/>
        <v>0</v>
      </c>
    </row>
    <row r="18" ht="25" customHeight="1" spans="1:5">
      <c r="A18" s="10">
        <v>13</v>
      </c>
      <c r="B18" s="351" t="s">
        <v>57</v>
      </c>
      <c r="C18" s="15" t="s">
        <v>59</v>
      </c>
      <c r="D18" s="1015"/>
      <c r="E18" s="747">
        <f t="shared" si="0"/>
        <v>0</v>
      </c>
    </row>
    <row r="19" ht="25" customHeight="1" spans="1:5">
      <c r="A19" s="10">
        <v>14</v>
      </c>
      <c r="B19" s="351" t="s">
        <v>60</v>
      </c>
      <c r="C19" s="15" t="s">
        <v>59</v>
      </c>
      <c r="D19" s="1015"/>
      <c r="E19" s="747">
        <f t="shared" si="0"/>
        <v>0</v>
      </c>
    </row>
    <row r="20" ht="25" customHeight="1" spans="1:5">
      <c r="A20" s="10">
        <v>15</v>
      </c>
      <c r="B20" s="651" t="s">
        <v>62</v>
      </c>
      <c r="C20" s="15" t="s">
        <v>64</v>
      </c>
      <c r="D20" s="747"/>
      <c r="E20" s="747">
        <f t="shared" si="0"/>
        <v>0</v>
      </c>
    </row>
    <row r="21" ht="25" customHeight="1" spans="1:5">
      <c r="A21" s="10">
        <v>16</v>
      </c>
      <c r="B21" s="651" t="s">
        <v>65</v>
      </c>
      <c r="C21" s="15" t="s">
        <v>67</v>
      </c>
      <c r="D21" s="747"/>
      <c r="E21" s="747">
        <f t="shared" si="0"/>
        <v>0</v>
      </c>
    </row>
    <row r="22" ht="25" customHeight="1" spans="1:5">
      <c r="A22" s="10">
        <v>17</v>
      </c>
      <c r="B22" s="643" t="s">
        <v>68</v>
      </c>
      <c r="C22" s="10" t="s">
        <v>70</v>
      </c>
      <c r="D22" s="747"/>
      <c r="E22" s="747">
        <f t="shared" si="0"/>
        <v>0</v>
      </c>
    </row>
    <row r="23" ht="25" customHeight="1" spans="1:5">
      <c r="A23" s="10">
        <v>18</v>
      </c>
      <c r="B23" s="651" t="s">
        <v>71</v>
      </c>
      <c r="C23" s="15" t="s">
        <v>70</v>
      </c>
      <c r="D23" s="747">
        <v>1000000</v>
      </c>
      <c r="E23" s="747">
        <f t="shared" si="0"/>
        <v>200000</v>
      </c>
    </row>
    <row r="24" ht="25" customHeight="1" spans="1:5">
      <c r="A24" s="10">
        <v>19</v>
      </c>
      <c r="B24" s="643" t="s">
        <v>73</v>
      </c>
      <c r="C24" s="10" t="s">
        <v>75</v>
      </c>
      <c r="D24" s="747"/>
      <c r="E24" s="747">
        <f t="shared" si="0"/>
        <v>0</v>
      </c>
    </row>
    <row r="25" ht="25" customHeight="1" spans="1:5">
      <c r="A25" s="10">
        <v>20</v>
      </c>
      <c r="B25" s="643" t="s">
        <v>76</v>
      </c>
      <c r="C25" s="10" t="s">
        <v>78</v>
      </c>
      <c r="D25" s="747"/>
      <c r="E25" s="747">
        <f t="shared" si="0"/>
        <v>0</v>
      </c>
    </row>
    <row r="26" ht="25" customHeight="1" spans="1:5">
      <c r="A26" s="10">
        <v>21</v>
      </c>
      <c r="B26" s="351" t="s">
        <v>79</v>
      </c>
      <c r="C26" s="15" t="s">
        <v>81</v>
      </c>
      <c r="D26" s="747"/>
      <c r="E26" s="747">
        <f t="shared" si="0"/>
        <v>0</v>
      </c>
    </row>
    <row r="27" ht="25" customHeight="1" spans="1:5">
      <c r="A27" s="10">
        <v>22</v>
      </c>
      <c r="B27" s="651" t="s">
        <v>82</v>
      </c>
      <c r="C27" s="15" t="s">
        <v>75</v>
      </c>
      <c r="D27" s="747">
        <v>1500000</v>
      </c>
      <c r="E27" s="747">
        <f t="shared" si="0"/>
        <v>300000</v>
      </c>
    </row>
    <row r="28" ht="25" customHeight="1" spans="1:5">
      <c r="A28" s="10">
        <v>23</v>
      </c>
      <c r="B28" s="351" t="s">
        <v>84</v>
      </c>
      <c r="C28" s="15" t="s">
        <v>156</v>
      </c>
      <c r="D28" s="747"/>
      <c r="E28" s="747">
        <f t="shared" si="0"/>
        <v>0</v>
      </c>
    </row>
    <row r="29" ht="25" customHeight="1" spans="1:5">
      <c r="A29" s="10">
        <v>24</v>
      </c>
      <c r="B29" s="351" t="s">
        <v>87</v>
      </c>
      <c r="C29" s="10" t="s">
        <v>86</v>
      </c>
      <c r="D29" s="747"/>
      <c r="E29" s="747">
        <f t="shared" si="0"/>
        <v>0</v>
      </c>
    </row>
    <row r="30" ht="25" customHeight="1" spans="1:5">
      <c r="A30" s="10">
        <v>25</v>
      </c>
      <c r="B30" s="351" t="s">
        <v>89</v>
      </c>
      <c r="C30" s="15" t="s">
        <v>81</v>
      </c>
      <c r="D30" s="747"/>
      <c r="E30" s="747">
        <f t="shared" si="0"/>
        <v>0</v>
      </c>
    </row>
    <row r="31" ht="25" customHeight="1" spans="1:5">
      <c r="A31" s="10">
        <v>26</v>
      </c>
      <c r="B31" s="351" t="s">
        <v>91</v>
      </c>
      <c r="C31" s="15" t="s">
        <v>81</v>
      </c>
      <c r="D31" s="747"/>
      <c r="E31" s="747">
        <f t="shared" si="0"/>
        <v>0</v>
      </c>
    </row>
    <row r="32" ht="25" customHeight="1" spans="1:5">
      <c r="A32" s="10">
        <v>27</v>
      </c>
      <c r="B32" s="351" t="s">
        <v>93</v>
      </c>
      <c r="C32" s="10" t="s">
        <v>86</v>
      </c>
      <c r="D32" s="747"/>
      <c r="E32" s="747">
        <f t="shared" si="0"/>
        <v>0</v>
      </c>
    </row>
    <row r="33" ht="25" customHeight="1" spans="1:5">
      <c r="A33" s="10">
        <v>28</v>
      </c>
      <c r="B33" s="351" t="s">
        <v>95</v>
      </c>
      <c r="C33" s="15" t="s">
        <v>81</v>
      </c>
      <c r="D33" s="747"/>
      <c r="E33" s="747">
        <f t="shared" si="0"/>
        <v>0</v>
      </c>
    </row>
    <row r="34" ht="25" customHeight="1" spans="1:5">
      <c r="A34" s="10">
        <v>29</v>
      </c>
      <c r="B34" s="351" t="s">
        <v>97</v>
      </c>
      <c r="C34" s="10" t="s">
        <v>99</v>
      </c>
      <c r="D34" s="747">
        <v>1000000</v>
      </c>
      <c r="E34" s="747">
        <f t="shared" si="0"/>
        <v>200000</v>
      </c>
    </row>
    <row r="35" ht="25" customHeight="1" spans="1:5">
      <c r="A35" s="10">
        <v>30</v>
      </c>
      <c r="B35" s="351" t="s">
        <v>100</v>
      </c>
      <c r="C35" s="10" t="s">
        <v>99</v>
      </c>
      <c r="D35" s="747"/>
      <c r="E35" s="747">
        <f t="shared" si="0"/>
        <v>0</v>
      </c>
    </row>
    <row r="36" ht="25" customHeight="1" spans="1:5">
      <c r="A36" s="10">
        <v>31</v>
      </c>
      <c r="B36" s="351" t="s">
        <v>101</v>
      </c>
      <c r="C36" s="10" t="s">
        <v>99</v>
      </c>
      <c r="D36" s="747"/>
      <c r="E36" s="747">
        <f t="shared" si="0"/>
        <v>0</v>
      </c>
    </row>
    <row r="37" ht="25" customHeight="1" spans="1:5">
      <c r="A37" s="10">
        <v>32</v>
      </c>
      <c r="B37" s="351" t="s">
        <v>102</v>
      </c>
      <c r="C37" s="10" t="s">
        <v>99</v>
      </c>
      <c r="D37" s="747"/>
      <c r="E37" s="747">
        <f t="shared" si="0"/>
        <v>0</v>
      </c>
    </row>
    <row r="38" ht="25" customHeight="1" spans="1:5">
      <c r="A38" s="10">
        <v>33</v>
      </c>
      <c r="B38" s="351" t="s">
        <v>103</v>
      </c>
      <c r="C38" s="15" t="s">
        <v>105</v>
      </c>
      <c r="D38" s="747"/>
      <c r="E38" s="747">
        <f t="shared" si="0"/>
        <v>0</v>
      </c>
    </row>
    <row r="39" ht="25" customHeight="1" spans="1:5">
      <c r="A39" s="10">
        <v>34</v>
      </c>
      <c r="B39" s="351" t="s">
        <v>106</v>
      </c>
      <c r="C39" s="15" t="s">
        <v>108</v>
      </c>
      <c r="D39" s="1015"/>
      <c r="E39" s="747">
        <f t="shared" si="0"/>
        <v>0</v>
      </c>
    </row>
    <row r="40" ht="25" customHeight="1" spans="1:5">
      <c r="A40" s="10">
        <v>35</v>
      </c>
      <c r="B40" s="351" t="s">
        <v>109</v>
      </c>
      <c r="C40" s="15" t="s">
        <v>111</v>
      </c>
      <c r="D40" s="747"/>
      <c r="E40" s="747">
        <f t="shared" si="0"/>
        <v>0</v>
      </c>
    </row>
    <row r="41" ht="25" customHeight="1" spans="1:5">
      <c r="A41" s="10">
        <v>36</v>
      </c>
      <c r="B41" s="351" t="s">
        <v>112</v>
      </c>
      <c r="C41" s="15" t="s">
        <v>111</v>
      </c>
      <c r="D41" s="747"/>
      <c r="E41" s="747">
        <f t="shared" si="0"/>
        <v>0</v>
      </c>
    </row>
    <row r="42" ht="25" customHeight="1" spans="1:5">
      <c r="A42" s="10">
        <v>37</v>
      </c>
      <c r="B42" s="351" t="s">
        <v>114</v>
      </c>
      <c r="C42" s="15" t="s">
        <v>111</v>
      </c>
      <c r="D42" s="747"/>
      <c r="E42" s="747">
        <f t="shared" si="0"/>
        <v>0</v>
      </c>
    </row>
    <row r="43" ht="25" customHeight="1" spans="1:5">
      <c r="A43" s="10">
        <v>38</v>
      </c>
      <c r="B43" s="351" t="s">
        <v>115</v>
      </c>
      <c r="C43" s="15" t="s">
        <v>111</v>
      </c>
      <c r="D43" s="747"/>
      <c r="E43" s="747">
        <f t="shared" si="0"/>
        <v>0</v>
      </c>
    </row>
    <row r="44" ht="25" customHeight="1" spans="1:5">
      <c r="A44" s="10">
        <v>39</v>
      </c>
      <c r="B44" s="351" t="s">
        <v>117</v>
      </c>
      <c r="C44" s="15" t="s">
        <v>111</v>
      </c>
      <c r="D44" s="747"/>
      <c r="E44" s="747">
        <f t="shared" si="0"/>
        <v>0</v>
      </c>
    </row>
    <row r="45" ht="25" customHeight="1" spans="1:5">
      <c r="A45" s="10">
        <v>40</v>
      </c>
      <c r="B45" s="351" t="s">
        <v>118</v>
      </c>
      <c r="C45" s="15" t="s">
        <v>111</v>
      </c>
      <c r="D45" s="747"/>
      <c r="E45" s="747">
        <f t="shared" si="0"/>
        <v>0</v>
      </c>
    </row>
    <row r="46" ht="25" customHeight="1" spans="1:5">
      <c r="A46" s="10"/>
      <c r="B46" s="866" t="s">
        <v>120</v>
      </c>
      <c r="C46" s="15"/>
      <c r="D46" s="868">
        <f>SUM(D6:D45)</f>
        <v>3500000</v>
      </c>
      <c r="E46" s="868">
        <f>SUM(E6:E45)</f>
        <v>700000</v>
      </c>
    </row>
    <row r="47" ht="25" customHeight="1" spans="1:5">
      <c r="A47" s="10"/>
      <c r="B47" s="869"/>
      <c r="C47" s="15"/>
      <c r="D47" s="868"/>
      <c r="E47" s="868"/>
    </row>
    <row r="48" ht="25" customHeight="1" spans="1:5">
      <c r="A48" s="10"/>
      <c r="B48" s="866" t="s">
        <v>121</v>
      </c>
      <c r="C48" s="15"/>
      <c r="D48" s="747"/>
      <c r="E48" s="747"/>
    </row>
    <row r="49" ht="25" customHeight="1" spans="1:5">
      <c r="A49" s="10">
        <v>1</v>
      </c>
      <c r="B49" s="351" t="s">
        <v>122</v>
      </c>
      <c r="C49" s="10" t="s">
        <v>124</v>
      </c>
      <c r="D49" s="747"/>
      <c r="E49" s="747">
        <f>D49*0.2</f>
        <v>0</v>
      </c>
    </row>
    <row r="50" ht="25" customHeight="1" spans="1:5">
      <c r="A50" s="10">
        <v>2</v>
      </c>
      <c r="B50" s="651" t="s">
        <v>125</v>
      </c>
      <c r="C50" s="15" t="s">
        <v>50</v>
      </c>
      <c r="D50" s="747"/>
      <c r="E50" s="747">
        <f t="shared" ref="E50:E55" si="1">D50*0.2</f>
        <v>0</v>
      </c>
    </row>
    <row r="51" ht="25" customHeight="1" spans="1:5">
      <c r="A51" s="10">
        <v>3</v>
      </c>
      <c r="B51" s="351" t="s">
        <v>127</v>
      </c>
      <c r="C51" s="10" t="s">
        <v>78</v>
      </c>
      <c r="D51" s="747"/>
      <c r="E51" s="747">
        <f t="shared" si="1"/>
        <v>0</v>
      </c>
    </row>
    <row r="52" ht="25" customHeight="1" spans="1:5">
      <c r="A52" s="10">
        <v>4</v>
      </c>
      <c r="B52" s="651" t="s">
        <v>129</v>
      </c>
      <c r="C52" s="15" t="s">
        <v>131</v>
      </c>
      <c r="D52" s="748"/>
      <c r="E52" s="747">
        <f t="shared" si="1"/>
        <v>0</v>
      </c>
    </row>
    <row r="53" ht="25" customHeight="1" spans="1:5">
      <c r="A53" s="10">
        <v>5</v>
      </c>
      <c r="B53" s="351" t="s">
        <v>132</v>
      </c>
      <c r="C53" s="15" t="s">
        <v>99</v>
      </c>
      <c r="D53" s="747"/>
      <c r="E53" s="747">
        <f t="shared" si="1"/>
        <v>0</v>
      </c>
    </row>
    <row r="54" ht="25" customHeight="1" spans="1:5">
      <c r="A54" s="10">
        <v>6</v>
      </c>
      <c r="B54" s="651" t="s">
        <v>133</v>
      </c>
      <c r="C54" s="15" t="s">
        <v>86</v>
      </c>
      <c r="D54" s="1015"/>
      <c r="E54" s="747">
        <f t="shared" si="1"/>
        <v>0</v>
      </c>
    </row>
    <row r="55" ht="25" customHeight="1" spans="1:5">
      <c r="A55" s="10">
        <v>7</v>
      </c>
      <c r="B55" s="351" t="s">
        <v>135</v>
      </c>
      <c r="C55" s="15" t="s">
        <v>111</v>
      </c>
      <c r="D55" s="747">
        <v>550000</v>
      </c>
      <c r="E55" s="747">
        <f t="shared" si="1"/>
        <v>110000</v>
      </c>
    </row>
    <row r="56" ht="25" customHeight="1" spans="1:5">
      <c r="A56" s="10"/>
      <c r="B56" s="643"/>
      <c r="C56" s="10"/>
      <c r="D56" s="868">
        <f>SUM(D49:D55)</f>
        <v>550000</v>
      </c>
      <c r="E56" s="868">
        <f>SUM(E49:E55)</f>
        <v>110000</v>
      </c>
    </row>
    <row r="57" ht="25" customHeight="1" spans="1:5">
      <c r="A57" s="10"/>
      <c r="B57" s="643"/>
      <c r="C57" s="10"/>
      <c r="D57" s="868"/>
      <c r="E57" s="868"/>
    </row>
    <row r="58" ht="25" customHeight="1" spans="1:5">
      <c r="A58" s="10"/>
      <c r="B58" s="871" t="s">
        <v>137</v>
      </c>
      <c r="C58" s="24"/>
      <c r="D58" s="868"/>
      <c r="E58" s="868"/>
    </row>
    <row r="59" ht="25" customHeight="1" spans="1:5">
      <c r="A59" s="10">
        <v>1</v>
      </c>
      <c r="B59" s="651" t="s">
        <v>138</v>
      </c>
      <c r="C59" s="10" t="s">
        <v>140</v>
      </c>
      <c r="D59" s="747"/>
      <c r="E59" s="747">
        <f>D59*0.2</f>
        <v>0</v>
      </c>
    </row>
    <row r="60" ht="25" customHeight="1" spans="1:5">
      <c r="A60" s="10">
        <v>2</v>
      </c>
      <c r="B60" s="651" t="s">
        <v>141</v>
      </c>
      <c r="C60" s="10" t="s">
        <v>39</v>
      </c>
      <c r="D60" s="747"/>
      <c r="E60" s="747">
        <f t="shared" ref="E60:E70" si="2">D60*0.2</f>
        <v>0</v>
      </c>
    </row>
    <row r="61" ht="25" customHeight="1" spans="1:5">
      <c r="A61" s="10">
        <v>3</v>
      </c>
      <c r="B61" s="651" t="s">
        <v>144</v>
      </c>
      <c r="C61" s="10" t="s">
        <v>39</v>
      </c>
      <c r="D61" s="747"/>
      <c r="E61" s="747">
        <f t="shared" si="2"/>
        <v>0</v>
      </c>
    </row>
    <row r="62" ht="25" customHeight="1" spans="1:5">
      <c r="A62" s="10">
        <v>4</v>
      </c>
      <c r="B62" s="651" t="s">
        <v>146</v>
      </c>
      <c r="C62" s="10" t="s">
        <v>39</v>
      </c>
      <c r="D62" s="747"/>
      <c r="E62" s="747">
        <f t="shared" si="2"/>
        <v>0</v>
      </c>
    </row>
    <row r="63" ht="25" customHeight="1" spans="1:5">
      <c r="A63" s="10">
        <v>5</v>
      </c>
      <c r="B63" s="643" t="s">
        <v>147</v>
      </c>
      <c r="C63" s="10" t="s">
        <v>50</v>
      </c>
      <c r="D63" s="747"/>
      <c r="E63" s="747">
        <f t="shared" si="2"/>
        <v>0</v>
      </c>
    </row>
    <row r="64" ht="25" customHeight="1" spans="1:5">
      <c r="A64" s="10">
        <v>6</v>
      </c>
      <c r="B64" s="643" t="s">
        <v>148</v>
      </c>
      <c r="C64" s="10" t="s">
        <v>50</v>
      </c>
      <c r="D64" s="747"/>
      <c r="E64" s="747">
        <f t="shared" si="2"/>
        <v>0</v>
      </c>
    </row>
    <row r="65" ht="25" customHeight="1" spans="1:5">
      <c r="A65" s="10">
        <v>7</v>
      </c>
      <c r="B65" s="351" t="s">
        <v>149</v>
      </c>
      <c r="C65" s="15" t="s">
        <v>131</v>
      </c>
      <c r="D65" s="748"/>
      <c r="E65" s="747">
        <f t="shared" si="2"/>
        <v>0</v>
      </c>
    </row>
    <row r="66" ht="25" customHeight="1" spans="1:5">
      <c r="A66" s="10">
        <v>8</v>
      </c>
      <c r="B66" s="651" t="s">
        <v>151</v>
      </c>
      <c r="C66" s="10" t="s">
        <v>153</v>
      </c>
      <c r="D66" s="747"/>
      <c r="E66" s="747">
        <f t="shared" si="2"/>
        <v>0</v>
      </c>
    </row>
    <row r="67" ht="25" customHeight="1" spans="1:5">
      <c r="A67" s="10">
        <v>9</v>
      </c>
      <c r="B67" s="651" t="s">
        <v>154</v>
      </c>
      <c r="C67" s="10" t="s">
        <v>75</v>
      </c>
      <c r="D67" s="747"/>
      <c r="E67" s="747">
        <f t="shared" si="2"/>
        <v>0</v>
      </c>
    </row>
    <row r="68" ht="25" customHeight="1" spans="1:5">
      <c r="A68" s="10">
        <v>10</v>
      </c>
      <c r="B68" s="651" t="s">
        <v>155</v>
      </c>
      <c r="C68" s="10" t="s">
        <v>156</v>
      </c>
      <c r="D68" s="747"/>
      <c r="E68" s="747">
        <f t="shared" si="2"/>
        <v>0</v>
      </c>
    </row>
    <row r="69" ht="25" customHeight="1" spans="1:5">
      <c r="A69" s="10">
        <v>11</v>
      </c>
      <c r="B69" s="651" t="s">
        <v>157</v>
      </c>
      <c r="C69" s="10" t="s">
        <v>156</v>
      </c>
      <c r="D69" s="747"/>
      <c r="E69" s="747">
        <f t="shared" si="2"/>
        <v>0</v>
      </c>
    </row>
    <row r="70" ht="25" customHeight="1" spans="1:5">
      <c r="A70" s="10">
        <v>12</v>
      </c>
      <c r="B70" s="351" t="s">
        <v>158</v>
      </c>
      <c r="C70" s="10" t="s">
        <v>99</v>
      </c>
      <c r="D70" s="747"/>
      <c r="E70" s="747">
        <f t="shared" si="2"/>
        <v>0</v>
      </c>
    </row>
    <row r="71" ht="25" customHeight="1" spans="1:5">
      <c r="A71" s="10"/>
      <c r="B71" s="866" t="s">
        <v>120</v>
      </c>
      <c r="C71" s="21"/>
      <c r="D71" s="875">
        <f>SUM(D59:D70)</f>
        <v>0</v>
      </c>
      <c r="E71" s="875">
        <f>SUM(E59:E70)</f>
        <v>0</v>
      </c>
    </row>
    <row r="72" ht="25" customHeight="1" spans="1:5">
      <c r="A72" s="10"/>
      <c r="B72" s="869"/>
      <c r="C72" s="21"/>
      <c r="D72" s="1016"/>
      <c r="E72" s="1016"/>
    </row>
    <row r="73" ht="25" customHeight="1" spans="1:5">
      <c r="A73" s="10"/>
      <c r="B73" s="866" t="s">
        <v>159</v>
      </c>
      <c r="C73" s="21"/>
      <c r="D73" s="1016"/>
      <c r="E73" s="1016"/>
    </row>
    <row r="74" ht="25" customHeight="1" spans="1:5">
      <c r="A74" s="10">
        <v>1</v>
      </c>
      <c r="B74" s="651" t="s">
        <v>160</v>
      </c>
      <c r="C74" s="15" t="s">
        <v>124</v>
      </c>
      <c r="D74" s="747"/>
      <c r="E74" s="747">
        <f t="shared" ref="E74:E89" si="3">D74*0.2</f>
        <v>0</v>
      </c>
    </row>
    <row r="75" ht="25" customHeight="1" spans="1:5">
      <c r="A75" s="10">
        <v>2</v>
      </c>
      <c r="B75" s="651" t="s">
        <v>162</v>
      </c>
      <c r="C75" s="15" t="s">
        <v>486</v>
      </c>
      <c r="D75" s="747"/>
      <c r="E75" s="747">
        <f t="shared" si="3"/>
        <v>0</v>
      </c>
    </row>
    <row r="76" ht="25" customHeight="1" spans="1:5">
      <c r="A76" s="10"/>
      <c r="B76" s="866" t="s">
        <v>120</v>
      </c>
      <c r="C76" s="21"/>
      <c r="D76" s="875">
        <f>SUM(D74:D75)</f>
        <v>0</v>
      </c>
      <c r="E76" s="875">
        <f>SUM(E74:E75)</f>
        <v>0</v>
      </c>
    </row>
    <row r="77" ht="25" customHeight="1" spans="1:5">
      <c r="A77" s="10"/>
      <c r="B77" s="866"/>
      <c r="C77" s="21"/>
      <c r="D77" s="1016"/>
      <c r="E77" s="1016"/>
    </row>
    <row r="78" ht="25" customHeight="1" spans="1:5">
      <c r="A78" s="10"/>
      <c r="B78" s="866" t="s">
        <v>164</v>
      </c>
      <c r="C78" s="21"/>
      <c r="D78" s="1016"/>
      <c r="E78" s="1016"/>
    </row>
    <row r="79" ht="25" customHeight="1" spans="1:5">
      <c r="A79" s="10">
        <v>1</v>
      </c>
      <c r="B79" s="643" t="s">
        <v>165</v>
      </c>
      <c r="C79" s="10" t="s">
        <v>36</v>
      </c>
      <c r="D79" s="747"/>
      <c r="E79" s="747">
        <f t="shared" si="3"/>
        <v>0</v>
      </c>
    </row>
    <row r="80" ht="25" customHeight="1" spans="1:5">
      <c r="A80" s="10">
        <v>2</v>
      </c>
      <c r="B80" s="651" t="s">
        <v>167</v>
      </c>
      <c r="C80" s="10" t="s">
        <v>47</v>
      </c>
      <c r="D80" s="747"/>
      <c r="E80" s="747">
        <f t="shared" si="3"/>
        <v>0</v>
      </c>
    </row>
    <row r="81" ht="25" customHeight="1" spans="1:5">
      <c r="A81" s="10">
        <v>3</v>
      </c>
      <c r="B81" s="351" t="s">
        <v>168</v>
      </c>
      <c r="C81" s="15" t="s">
        <v>64</v>
      </c>
      <c r="D81" s="747"/>
      <c r="E81" s="747">
        <f t="shared" si="3"/>
        <v>0</v>
      </c>
    </row>
    <row r="82" ht="25" customHeight="1" spans="1:5">
      <c r="A82" s="10">
        <v>4</v>
      </c>
      <c r="B82" s="351" t="s">
        <v>170</v>
      </c>
      <c r="C82" s="15" t="s">
        <v>64</v>
      </c>
      <c r="D82" s="747"/>
      <c r="E82" s="747">
        <f t="shared" si="3"/>
        <v>0</v>
      </c>
    </row>
    <row r="83" ht="25" customHeight="1" spans="1:5">
      <c r="A83" s="10">
        <v>5</v>
      </c>
      <c r="B83" s="651" t="s">
        <v>171</v>
      </c>
      <c r="C83" s="10" t="s">
        <v>173</v>
      </c>
      <c r="D83" s="747"/>
      <c r="E83" s="747">
        <f t="shared" si="3"/>
        <v>0</v>
      </c>
    </row>
    <row r="84" ht="25" customHeight="1" spans="1:5">
      <c r="A84" s="10">
        <v>6</v>
      </c>
      <c r="B84" s="651" t="s">
        <v>172</v>
      </c>
      <c r="C84" s="10" t="s">
        <v>173</v>
      </c>
      <c r="D84" s="747"/>
      <c r="E84" s="747">
        <f t="shared" si="3"/>
        <v>0</v>
      </c>
    </row>
    <row r="85" ht="25" customHeight="1" spans="1:5">
      <c r="A85" s="10">
        <v>7</v>
      </c>
      <c r="B85" s="651" t="s">
        <v>174</v>
      </c>
      <c r="C85" s="10" t="s">
        <v>173</v>
      </c>
      <c r="D85" s="747"/>
      <c r="E85" s="747">
        <f t="shared" si="3"/>
        <v>0</v>
      </c>
    </row>
    <row r="86" ht="25" customHeight="1" spans="1:5">
      <c r="A86" s="10">
        <v>8</v>
      </c>
      <c r="B86" s="651" t="s">
        <v>175</v>
      </c>
      <c r="C86" s="15" t="s">
        <v>67</v>
      </c>
      <c r="D86" s="747"/>
      <c r="E86" s="747">
        <f t="shared" si="3"/>
        <v>0</v>
      </c>
    </row>
    <row r="87" ht="25" customHeight="1" spans="1:5">
      <c r="A87" s="10">
        <v>9</v>
      </c>
      <c r="B87" s="643" t="s">
        <v>177</v>
      </c>
      <c r="C87" s="10" t="s">
        <v>131</v>
      </c>
      <c r="D87" s="747"/>
      <c r="E87" s="747">
        <f t="shared" si="3"/>
        <v>0</v>
      </c>
    </row>
    <row r="88" ht="25" customHeight="1" spans="1:5">
      <c r="A88" s="10">
        <v>10</v>
      </c>
      <c r="B88" s="651" t="s">
        <v>179</v>
      </c>
      <c r="C88" s="10" t="s">
        <v>153</v>
      </c>
      <c r="D88" s="748">
        <v>2500000</v>
      </c>
      <c r="E88" s="747">
        <f t="shared" si="3"/>
        <v>500000</v>
      </c>
    </row>
    <row r="89" ht="25" customHeight="1" spans="1:5">
      <c r="A89" s="10">
        <v>11</v>
      </c>
      <c r="B89" s="351" t="s">
        <v>181</v>
      </c>
      <c r="C89" s="10" t="s">
        <v>99</v>
      </c>
      <c r="D89" s="747"/>
      <c r="E89" s="747">
        <f t="shared" si="3"/>
        <v>0</v>
      </c>
    </row>
    <row r="90" ht="25" customHeight="1" spans="1:5">
      <c r="A90" s="10"/>
      <c r="B90" s="866" t="s">
        <v>120</v>
      </c>
      <c r="C90" s="21"/>
      <c r="D90" s="875">
        <f>SUM(D79:D89)</f>
        <v>2500000</v>
      </c>
      <c r="E90" s="875">
        <f>SUM(E79:E89)</f>
        <v>500000</v>
      </c>
    </row>
    <row r="91" ht="25" customHeight="1" spans="1:5">
      <c r="A91" s="10"/>
      <c r="B91" s="869"/>
      <c r="C91" s="21"/>
      <c r="D91" s="1016"/>
      <c r="E91" s="1016"/>
    </row>
    <row r="92" ht="25" customHeight="1" spans="1:5">
      <c r="A92" s="10"/>
      <c r="B92" s="866" t="s">
        <v>183</v>
      </c>
      <c r="C92" s="21"/>
      <c r="D92" s="1016"/>
      <c r="E92" s="1016"/>
    </row>
    <row r="93" ht="25" customHeight="1" spans="1:5">
      <c r="A93" s="10">
        <v>1</v>
      </c>
      <c r="B93" s="651" t="s">
        <v>184</v>
      </c>
      <c r="C93" s="10" t="s">
        <v>124</v>
      </c>
      <c r="D93" s="747"/>
      <c r="E93" s="747">
        <f t="shared" ref="E93:E103" si="4">D93*0.2</f>
        <v>0</v>
      </c>
    </row>
    <row r="94" ht="25" customHeight="1" spans="1:5">
      <c r="A94" s="10">
        <v>2</v>
      </c>
      <c r="B94" s="651" t="s">
        <v>186</v>
      </c>
      <c r="C94" s="10" t="s">
        <v>50</v>
      </c>
      <c r="D94" s="747"/>
      <c r="E94" s="747">
        <f t="shared" si="4"/>
        <v>0</v>
      </c>
    </row>
    <row r="95" ht="25" customHeight="1" spans="1:5">
      <c r="A95" s="10">
        <v>3</v>
      </c>
      <c r="B95" s="651" t="s">
        <v>188</v>
      </c>
      <c r="C95" s="10" t="s">
        <v>50</v>
      </c>
      <c r="D95" s="747"/>
      <c r="E95" s="747">
        <f t="shared" si="4"/>
        <v>0</v>
      </c>
    </row>
    <row r="96" ht="25" customHeight="1" spans="1:5">
      <c r="A96" s="10">
        <v>4</v>
      </c>
      <c r="B96" s="651" t="s">
        <v>190</v>
      </c>
      <c r="C96" s="15" t="s">
        <v>192</v>
      </c>
      <c r="D96" s="747"/>
      <c r="E96" s="747">
        <f t="shared" si="4"/>
        <v>0</v>
      </c>
    </row>
    <row r="97" ht="25" customHeight="1" spans="1:5">
      <c r="A97" s="10">
        <v>5</v>
      </c>
      <c r="B97" s="651" t="s">
        <v>193</v>
      </c>
      <c r="C97" s="15" t="s">
        <v>64</v>
      </c>
      <c r="D97" s="747"/>
      <c r="E97" s="747">
        <f t="shared" si="4"/>
        <v>0</v>
      </c>
    </row>
    <row r="98" ht="25" customHeight="1" spans="1:5">
      <c r="A98" s="10">
        <v>6</v>
      </c>
      <c r="B98" s="651" t="s">
        <v>195</v>
      </c>
      <c r="C98" s="15" t="s">
        <v>64</v>
      </c>
      <c r="D98" s="747"/>
      <c r="E98" s="747">
        <f t="shared" si="4"/>
        <v>0</v>
      </c>
    </row>
    <row r="99" ht="25" customHeight="1" spans="1:5">
      <c r="A99" s="10">
        <v>7</v>
      </c>
      <c r="B99" s="651" t="s">
        <v>197</v>
      </c>
      <c r="C99" s="10" t="s">
        <v>70</v>
      </c>
      <c r="D99" s="747"/>
      <c r="E99" s="747">
        <f t="shared" si="4"/>
        <v>0</v>
      </c>
    </row>
    <row r="100" ht="25" customHeight="1" spans="1:5">
      <c r="A100" s="10">
        <v>8</v>
      </c>
      <c r="B100" s="651" t="s">
        <v>199</v>
      </c>
      <c r="C100" s="10" t="s">
        <v>75</v>
      </c>
      <c r="D100" s="747"/>
      <c r="E100" s="747">
        <f t="shared" si="4"/>
        <v>0</v>
      </c>
    </row>
    <row r="101" ht="25" customHeight="1" spans="1:5">
      <c r="A101" s="10">
        <v>9</v>
      </c>
      <c r="B101" s="651" t="s">
        <v>201</v>
      </c>
      <c r="C101" s="10" t="s">
        <v>86</v>
      </c>
      <c r="D101" s="747"/>
      <c r="E101" s="747">
        <f t="shared" si="4"/>
        <v>0</v>
      </c>
    </row>
    <row r="102" ht="25" customHeight="1" spans="1:5">
      <c r="A102" s="10">
        <v>10</v>
      </c>
      <c r="B102" s="351" t="s">
        <v>202</v>
      </c>
      <c r="C102" s="10" t="s">
        <v>99</v>
      </c>
      <c r="D102" s="747"/>
      <c r="E102" s="747">
        <f t="shared" si="4"/>
        <v>0</v>
      </c>
    </row>
    <row r="103" ht="25" customHeight="1" spans="1:5">
      <c r="A103" s="10">
        <v>11</v>
      </c>
      <c r="B103" s="651" t="s">
        <v>203</v>
      </c>
      <c r="C103" s="10" t="s">
        <v>105</v>
      </c>
      <c r="D103" s="747"/>
      <c r="E103" s="747">
        <f t="shared" si="4"/>
        <v>0</v>
      </c>
    </row>
    <row r="104" ht="25" customHeight="1" spans="1:5">
      <c r="A104" s="10"/>
      <c r="B104" s="866" t="s">
        <v>120</v>
      </c>
      <c r="C104" s="21"/>
      <c r="D104" s="875">
        <f>SUM(D93:D103)</f>
        <v>0</v>
      </c>
      <c r="E104" s="875">
        <f>SUM(E93:E103)</f>
        <v>0</v>
      </c>
    </row>
    <row r="105" ht="25" customHeight="1" spans="1:5">
      <c r="A105" s="10"/>
      <c r="B105" s="866"/>
      <c r="C105" s="21"/>
      <c r="D105" s="1016"/>
      <c r="E105" s="1016"/>
    </row>
    <row r="106" ht="25" customHeight="1" spans="1:5">
      <c r="A106" s="10"/>
      <c r="B106" s="866" t="s">
        <v>205</v>
      </c>
      <c r="C106" s="21"/>
      <c r="D106" s="1016"/>
      <c r="E106" s="1016"/>
    </row>
    <row r="107" ht="25" customHeight="1" spans="1:5">
      <c r="A107" s="10">
        <v>1</v>
      </c>
      <c r="B107" s="651" t="s">
        <v>206</v>
      </c>
      <c r="C107" s="10" t="s">
        <v>140</v>
      </c>
      <c r="D107" s="747"/>
      <c r="E107" s="747">
        <f t="shared" ref="E107:E119" si="5">D107*0.2</f>
        <v>0</v>
      </c>
    </row>
    <row r="108" ht="25" customHeight="1" spans="1:5">
      <c r="A108" s="10">
        <v>2</v>
      </c>
      <c r="B108" s="651" t="s">
        <v>208</v>
      </c>
      <c r="C108" s="10" t="s">
        <v>210</v>
      </c>
      <c r="D108" s="747"/>
      <c r="E108" s="747">
        <f t="shared" si="5"/>
        <v>0</v>
      </c>
    </row>
    <row r="109" ht="25" customHeight="1" spans="1:5">
      <c r="A109" s="10">
        <v>3</v>
      </c>
      <c r="B109" s="651" t="s">
        <v>479</v>
      </c>
      <c r="C109" s="10" t="s">
        <v>39</v>
      </c>
      <c r="D109" s="747"/>
      <c r="E109" s="747">
        <f t="shared" si="5"/>
        <v>0</v>
      </c>
    </row>
    <row r="110" ht="25" customHeight="1" spans="1:5">
      <c r="A110" s="10">
        <v>4</v>
      </c>
      <c r="B110" s="651" t="s">
        <v>211</v>
      </c>
      <c r="C110" s="15" t="s">
        <v>47</v>
      </c>
      <c r="D110" s="747"/>
      <c r="E110" s="747">
        <f t="shared" si="5"/>
        <v>0</v>
      </c>
    </row>
    <row r="111" ht="25" customHeight="1" spans="1:5">
      <c r="A111" s="10">
        <v>5</v>
      </c>
      <c r="B111" s="651" t="s">
        <v>212</v>
      </c>
      <c r="C111" s="15" t="s">
        <v>47</v>
      </c>
      <c r="D111" s="747"/>
      <c r="E111" s="747">
        <f t="shared" si="5"/>
        <v>0</v>
      </c>
    </row>
    <row r="112" ht="25" customHeight="1" spans="1:5">
      <c r="A112" s="10">
        <v>6</v>
      </c>
      <c r="B112" s="651" t="s">
        <v>213</v>
      </c>
      <c r="C112" s="15" t="s">
        <v>214</v>
      </c>
      <c r="D112" s="747"/>
      <c r="E112" s="747">
        <f t="shared" si="5"/>
        <v>0</v>
      </c>
    </row>
    <row r="113" ht="25" customHeight="1" spans="1:5">
      <c r="A113" s="10">
        <v>7</v>
      </c>
      <c r="B113" s="651" t="s">
        <v>215</v>
      </c>
      <c r="C113" s="15" t="s">
        <v>173</v>
      </c>
      <c r="D113" s="747"/>
      <c r="E113" s="747">
        <f t="shared" si="5"/>
        <v>0</v>
      </c>
    </row>
    <row r="114" ht="25" customHeight="1" spans="1:5">
      <c r="A114" s="10">
        <v>8</v>
      </c>
      <c r="B114" s="651" t="s">
        <v>216</v>
      </c>
      <c r="C114" s="15" t="s">
        <v>218</v>
      </c>
      <c r="D114" s="747"/>
      <c r="E114" s="747">
        <f t="shared" si="5"/>
        <v>0</v>
      </c>
    </row>
    <row r="115" ht="25" customHeight="1" spans="1:5">
      <c r="A115" s="10">
        <v>9</v>
      </c>
      <c r="B115" s="351" t="s">
        <v>219</v>
      </c>
      <c r="C115" s="15" t="s">
        <v>131</v>
      </c>
      <c r="D115" s="748">
        <v>1200000</v>
      </c>
      <c r="E115" s="747">
        <f t="shared" si="5"/>
        <v>240000</v>
      </c>
    </row>
    <row r="116" ht="25" customHeight="1" spans="1:5">
      <c r="A116" s="10">
        <v>10</v>
      </c>
      <c r="B116" s="651" t="s">
        <v>220</v>
      </c>
      <c r="C116" s="10" t="s">
        <v>153</v>
      </c>
      <c r="D116" s="748"/>
      <c r="E116" s="747">
        <f t="shared" si="5"/>
        <v>0</v>
      </c>
    </row>
    <row r="117" ht="25" customHeight="1" spans="1:5">
      <c r="A117" s="10">
        <v>11</v>
      </c>
      <c r="B117" s="351" t="s">
        <v>222</v>
      </c>
      <c r="C117" s="10" t="s">
        <v>99</v>
      </c>
      <c r="D117" s="747"/>
      <c r="E117" s="747">
        <f t="shared" si="5"/>
        <v>0</v>
      </c>
    </row>
    <row r="118" ht="25" customHeight="1" spans="1:5">
      <c r="A118" s="10">
        <v>12</v>
      </c>
      <c r="B118" s="351" t="s">
        <v>223</v>
      </c>
      <c r="C118" s="10" t="s">
        <v>99</v>
      </c>
      <c r="D118" s="747"/>
      <c r="E118" s="747">
        <f t="shared" si="5"/>
        <v>0</v>
      </c>
    </row>
    <row r="119" ht="25" customHeight="1" spans="1:5">
      <c r="A119" s="10">
        <v>13</v>
      </c>
      <c r="B119" s="651" t="s">
        <v>224</v>
      </c>
      <c r="C119" s="15" t="s">
        <v>506</v>
      </c>
      <c r="D119" s="748"/>
      <c r="E119" s="747">
        <f t="shared" si="5"/>
        <v>0</v>
      </c>
    </row>
    <row r="120" ht="25" customHeight="1" spans="1:5">
      <c r="A120" s="10"/>
      <c r="B120" s="866" t="s">
        <v>120</v>
      </c>
      <c r="C120" s="21"/>
      <c r="D120" s="875">
        <f>SUM(D107:D119)</f>
        <v>1200000</v>
      </c>
      <c r="E120" s="875">
        <f>SUM(E107:E119)</f>
        <v>240000</v>
      </c>
    </row>
    <row r="121" ht="25" customHeight="1" spans="1:5">
      <c r="A121" s="10"/>
      <c r="B121" s="869"/>
      <c r="C121" s="21"/>
      <c r="D121" s="1016"/>
      <c r="E121" s="1016"/>
    </row>
    <row r="122" ht="25" customHeight="1" spans="1:5">
      <c r="A122" s="10"/>
      <c r="B122" s="866" t="s">
        <v>226</v>
      </c>
      <c r="C122" s="21"/>
      <c r="D122" s="1016"/>
      <c r="E122" s="1016"/>
    </row>
    <row r="123" ht="25" customHeight="1" spans="1:5">
      <c r="A123" s="10">
        <v>1</v>
      </c>
      <c r="B123" s="643" t="s">
        <v>227</v>
      </c>
      <c r="C123" s="16" t="s">
        <v>124</v>
      </c>
      <c r="D123" s="747"/>
      <c r="E123" s="747">
        <f t="shared" ref="E123:E129" si="6">D123*0.2</f>
        <v>0</v>
      </c>
    </row>
    <row r="124" ht="25" customHeight="1" spans="1:5">
      <c r="A124" s="10">
        <v>2</v>
      </c>
      <c r="B124" s="651" t="s">
        <v>229</v>
      </c>
      <c r="C124" s="15" t="s">
        <v>192</v>
      </c>
      <c r="D124" s="747"/>
      <c r="E124" s="747">
        <f t="shared" si="6"/>
        <v>0</v>
      </c>
    </row>
    <row r="125" ht="25" customHeight="1" spans="1:5">
      <c r="A125" s="10">
        <v>3</v>
      </c>
      <c r="B125" s="651" t="s">
        <v>231</v>
      </c>
      <c r="C125" s="15" t="s">
        <v>218</v>
      </c>
      <c r="D125" s="747"/>
      <c r="E125" s="747">
        <f t="shared" si="6"/>
        <v>0</v>
      </c>
    </row>
    <row r="126" ht="25" customHeight="1" spans="1:5">
      <c r="A126" s="10">
        <v>4</v>
      </c>
      <c r="B126" s="651" t="s">
        <v>233</v>
      </c>
      <c r="C126" s="15" t="s">
        <v>64</v>
      </c>
      <c r="D126" s="747"/>
      <c r="E126" s="747">
        <f t="shared" si="6"/>
        <v>0</v>
      </c>
    </row>
    <row r="127" ht="25" customHeight="1" spans="1:5">
      <c r="A127" s="10">
        <v>5</v>
      </c>
      <c r="B127" s="651" t="s">
        <v>235</v>
      </c>
      <c r="C127" s="15" t="s">
        <v>64</v>
      </c>
      <c r="D127" s="747"/>
      <c r="E127" s="747">
        <f t="shared" si="6"/>
        <v>0</v>
      </c>
    </row>
    <row r="128" ht="25" customHeight="1" spans="1:5">
      <c r="A128" s="10">
        <v>6</v>
      </c>
      <c r="B128" s="651" t="s">
        <v>236</v>
      </c>
      <c r="C128" s="15" t="s">
        <v>153</v>
      </c>
      <c r="D128" s="748"/>
      <c r="E128" s="747">
        <f t="shared" si="6"/>
        <v>0</v>
      </c>
    </row>
    <row r="129" ht="25" customHeight="1" spans="1:5">
      <c r="A129" s="10">
        <v>7</v>
      </c>
      <c r="B129" s="351" t="s">
        <v>237</v>
      </c>
      <c r="C129" s="15" t="s">
        <v>75</v>
      </c>
      <c r="D129" s="747"/>
      <c r="E129" s="747">
        <f t="shared" si="6"/>
        <v>0</v>
      </c>
    </row>
    <row r="130" ht="25" customHeight="1" spans="1:5">
      <c r="A130" s="4"/>
      <c r="B130" s="866" t="s">
        <v>120</v>
      </c>
      <c r="C130" s="26"/>
      <c r="D130" s="875">
        <f>SUM(D123:D129)</f>
        <v>0</v>
      </c>
      <c r="E130" s="875">
        <f>SUM(E123:E129)</f>
        <v>0</v>
      </c>
    </row>
    <row r="131" ht="25" customHeight="1" spans="1:5">
      <c r="A131" s="4"/>
      <c r="B131" s="869"/>
      <c r="C131" s="26"/>
      <c r="D131" s="1016"/>
      <c r="E131" s="1016"/>
    </row>
    <row r="132" ht="25" customHeight="1" spans="1:5">
      <c r="A132" s="4"/>
      <c r="B132" s="866" t="s">
        <v>239</v>
      </c>
      <c r="C132" s="4"/>
      <c r="D132" s="778"/>
      <c r="E132" s="778"/>
    </row>
    <row r="133" ht="25" customHeight="1" spans="1:5">
      <c r="A133" s="4">
        <v>1</v>
      </c>
      <c r="B133" s="651" t="s">
        <v>240</v>
      </c>
      <c r="C133" s="15" t="s">
        <v>124</v>
      </c>
      <c r="D133" s="747"/>
      <c r="E133" s="747">
        <f t="shared" ref="E133:E143" si="7">D133*0.2</f>
        <v>0</v>
      </c>
    </row>
    <row r="134" ht="25" customHeight="1" spans="1:5">
      <c r="A134" s="4">
        <v>2</v>
      </c>
      <c r="B134" s="651" t="s">
        <v>242</v>
      </c>
      <c r="C134" s="16" t="s">
        <v>36</v>
      </c>
      <c r="D134" s="747"/>
      <c r="E134" s="747">
        <f t="shared" si="7"/>
        <v>0</v>
      </c>
    </row>
    <row r="135" ht="25" customHeight="1" spans="1:5">
      <c r="A135" s="4">
        <v>3</v>
      </c>
      <c r="B135" s="651" t="s">
        <v>244</v>
      </c>
      <c r="C135" s="10" t="s">
        <v>214</v>
      </c>
      <c r="D135" s="747"/>
      <c r="E135" s="747">
        <f t="shared" si="7"/>
        <v>0</v>
      </c>
    </row>
    <row r="136" ht="25" customHeight="1" spans="1:5">
      <c r="A136" s="4">
        <v>4</v>
      </c>
      <c r="B136" s="651" t="s">
        <v>246</v>
      </c>
      <c r="C136" s="10" t="s">
        <v>214</v>
      </c>
      <c r="D136" s="747"/>
      <c r="E136" s="747">
        <f t="shared" si="7"/>
        <v>0</v>
      </c>
    </row>
    <row r="137" ht="25" customHeight="1" spans="1:5">
      <c r="A137" s="4">
        <v>5</v>
      </c>
      <c r="B137" s="351" t="s">
        <v>247</v>
      </c>
      <c r="C137" s="15" t="s">
        <v>131</v>
      </c>
      <c r="D137" s="748"/>
      <c r="E137" s="747">
        <f t="shared" si="7"/>
        <v>0</v>
      </c>
    </row>
    <row r="138" ht="25" customHeight="1" spans="1:5">
      <c r="A138" s="4">
        <v>6</v>
      </c>
      <c r="B138" s="651" t="s">
        <v>249</v>
      </c>
      <c r="C138" s="15" t="s">
        <v>251</v>
      </c>
      <c r="D138" s="748"/>
      <c r="E138" s="747">
        <f t="shared" si="7"/>
        <v>0</v>
      </c>
    </row>
    <row r="139" ht="25" customHeight="1" spans="1:5">
      <c r="A139" s="4">
        <v>7</v>
      </c>
      <c r="B139" s="351" t="s">
        <v>252</v>
      </c>
      <c r="C139" s="10" t="s">
        <v>99</v>
      </c>
      <c r="D139" s="748"/>
      <c r="E139" s="747">
        <f t="shared" si="7"/>
        <v>0</v>
      </c>
    </row>
    <row r="140" ht="25" customHeight="1" spans="1:5">
      <c r="A140" s="4">
        <v>8</v>
      </c>
      <c r="B140" s="351" t="s">
        <v>253</v>
      </c>
      <c r="C140" s="15" t="s">
        <v>506</v>
      </c>
      <c r="D140" s="748"/>
      <c r="E140" s="747">
        <f t="shared" si="7"/>
        <v>0</v>
      </c>
    </row>
    <row r="141" ht="25" customHeight="1" spans="1:5">
      <c r="A141" s="4">
        <v>9</v>
      </c>
      <c r="B141" s="351" t="s">
        <v>254</v>
      </c>
      <c r="C141" s="15" t="s">
        <v>111</v>
      </c>
      <c r="D141" s="747"/>
      <c r="E141" s="747">
        <f t="shared" si="7"/>
        <v>0</v>
      </c>
    </row>
    <row r="142" ht="25" customHeight="1" spans="1:5">
      <c r="A142" s="4">
        <v>10</v>
      </c>
      <c r="B142" s="351" t="s">
        <v>255</v>
      </c>
      <c r="C142" s="15" t="s">
        <v>111</v>
      </c>
      <c r="D142" s="747"/>
      <c r="E142" s="747">
        <f t="shared" si="7"/>
        <v>0</v>
      </c>
    </row>
    <row r="143" ht="25" customHeight="1" spans="1:5">
      <c r="A143" s="4">
        <v>11</v>
      </c>
      <c r="B143" s="351" t="s">
        <v>256</v>
      </c>
      <c r="C143" s="15" t="s">
        <v>111</v>
      </c>
      <c r="D143" s="747"/>
      <c r="E143" s="747">
        <f t="shared" si="7"/>
        <v>0</v>
      </c>
    </row>
    <row r="144" ht="25" customHeight="1" spans="1:5">
      <c r="A144" s="4"/>
      <c r="B144" s="866" t="s">
        <v>120</v>
      </c>
      <c r="C144" s="4"/>
      <c r="D144" s="1017">
        <f>SUM(D133:D143)</f>
        <v>0</v>
      </c>
      <c r="E144" s="1017">
        <f>SUM(E133:E143)</f>
        <v>0</v>
      </c>
    </row>
    <row r="145" ht="25" customHeight="1" spans="1:5">
      <c r="A145" s="4"/>
      <c r="B145" s="866"/>
      <c r="C145" s="4"/>
      <c r="D145" s="1017"/>
      <c r="E145" s="1017"/>
    </row>
    <row r="146" ht="25" customHeight="1" spans="1:5">
      <c r="A146" s="10"/>
      <c r="B146" s="866" t="s">
        <v>257</v>
      </c>
      <c r="C146" s="21"/>
      <c r="D146" s="1016"/>
      <c r="E146" s="1016"/>
    </row>
    <row r="147" ht="25" customHeight="1" spans="1:5">
      <c r="A147" s="10">
        <v>1</v>
      </c>
      <c r="B147" s="651" t="s">
        <v>258</v>
      </c>
      <c r="C147" s="10" t="s">
        <v>50</v>
      </c>
      <c r="D147" s="747"/>
      <c r="E147" s="747">
        <f t="shared" ref="E147:E154" si="8">D147*0.2</f>
        <v>0</v>
      </c>
    </row>
    <row r="148" ht="25" customHeight="1" spans="1:5">
      <c r="A148" s="10">
        <v>2</v>
      </c>
      <c r="B148" s="651" t="s">
        <v>259</v>
      </c>
      <c r="C148" s="15" t="s">
        <v>261</v>
      </c>
      <c r="D148" s="747"/>
      <c r="E148" s="747">
        <f t="shared" si="8"/>
        <v>0</v>
      </c>
    </row>
    <row r="149" ht="25" customHeight="1" spans="1:5">
      <c r="A149" s="10">
        <v>3</v>
      </c>
      <c r="B149" s="651" t="s">
        <v>480</v>
      </c>
      <c r="C149" s="15" t="s">
        <v>70</v>
      </c>
      <c r="D149" s="747"/>
      <c r="E149" s="747">
        <f t="shared" si="8"/>
        <v>0</v>
      </c>
    </row>
    <row r="150" ht="25" customHeight="1" spans="1:5">
      <c r="A150" s="10">
        <v>4</v>
      </c>
      <c r="B150" s="351" t="s">
        <v>262</v>
      </c>
      <c r="C150" s="10" t="s">
        <v>99</v>
      </c>
      <c r="D150" s="747"/>
      <c r="E150" s="747">
        <f t="shared" si="8"/>
        <v>0</v>
      </c>
    </row>
    <row r="151" ht="25" customHeight="1" spans="1:5">
      <c r="A151" s="10">
        <v>5</v>
      </c>
      <c r="B151" s="351" t="s">
        <v>263</v>
      </c>
      <c r="C151" s="10" t="s">
        <v>99</v>
      </c>
      <c r="D151" s="747"/>
      <c r="E151" s="747">
        <f t="shared" si="8"/>
        <v>0</v>
      </c>
    </row>
    <row r="152" ht="25" customHeight="1" spans="1:5">
      <c r="A152" s="10">
        <v>6</v>
      </c>
      <c r="B152" s="351" t="s">
        <v>264</v>
      </c>
      <c r="C152" s="10" t="s">
        <v>99</v>
      </c>
      <c r="D152" s="747"/>
      <c r="E152" s="747">
        <f t="shared" si="8"/>
        <v>0</v>
      </c>
    </row>
    <row r="153" ht="25" customHeight="1" spans="1:5">
      <c r="A153" s="10">
        <v>7</v>
      </c>
      <c r="B153" s="351" t="s">
        <v>265</v>
      </c>
      <c r="C153" s="10" t="s">
        <v>99</v>
      </c>
      <c r="D153" s="747"/>
      <c r="E153" s="747">
        <f t="shared" si="8"/>
        <v>0</v>
      </c>
    </row>
    <row r="154" ht="25" customHeight="1" spans="1:5">
      <c r="A154" s="10">
        <v>8</v>
      </c>
      <c r="B154" s="351" t="s">
        <v>266</v>
      </c>
      <c r="C154" s="15" t="s">
        <v>111</v>
      </c>
      <c r="D154" s="747"/>
      <c r="E154" s="747">
        <f t="shared" si="8"/>
        <v>0</v>
      </c>
    </row>
    <row r="155" ht="25" customHeight="1" spans="1:5">
      <c r="A155" s="4"/>
      <c r="B155" s="866" t="s">
        <v>120</v>
      </c>
      <c r="C155" s="26"/>
      <c r="D155" s="875">
        <f>SUM(D147:D154)</f>
        <v>0</v>
      </c>
      <c r="E155" s="875">
        <f>SUM(E147:E154)</f>
        <v>0</v>
      </c>
    </row>
    <row r="156" ht="25" customHeight="1" spans="1:5">
      <c r="A156" s="4"/>
      <c r="B156" s="866"/>
      <c r="C156" s="26"/>
      <c r="D156" s="875"/>
      <c r="E156" s="875"/>
    </row>
    <row r="157" ht="25" customHeight="1" spans="1:5">
      <c r="A157" s="10"/>
      <c r="B157" s="866" t="s">
        <v>268</v>
      </c>
      <c r="C157" s="21"/>
      <c r="D157" s="1016"/>
      <c r="E157" s="1016"/>
    </row>
    <row r="158" ht="25" customHeight="1" spans="1:5">
      <c r="A158" s="4">
        <v>1</v>
      </c>
      <c r="B158" s="351" t="s">
        <v>481</v>
      </c>
      <c r="C158" s="15" t="s">
        <v>75</v>
      </c>
      <c r="D158" s="747"/>
      <c r="E158" s="747">
        <f t="shared" ref="E158:E162" si="9">D158*0.2</f>
        <v>0</v>
      </c>
    </row>
    <row r="159" ht="25" customHeight="1" spans="1:5">
      <c r="A159" s="4">
        <v>2</v>
      </c>
      <c r="B159" s="351" t="s">
        <v>269</v>
      </c>
      <c r="C159" s="10" t="s">
        <v>99</v>
      </c>
      <c r="D159" s="747"/>
      <c r="E159" s="747">
        <f t="shared" si="9"/>
        <v>0</v>
      </c>
    </row>
    <row r="160" ht="25" customHeight="1" spans="1:5">
      <c r="A160" s="4">
        <v>3</v>
      </c>
      <c r="B160" s="651" t="s">
        <v>271</v>
      </c>
      <c r="C160" s="10" t="s">
        <v>111</v>
      </c>
      <c r="D160" s="747"/>
      <c r="E160" s="747">
        <f t="shared" si="9"/>
        <v>0</v>
      </c>
    </row>
    <row r="161" ht="25" customHeight="1" spans="1:5">
      <c r="A161" s="4">
        <v>4</v>
      </c>
      <c r="B161" s="351" t="s">
        <v>273</v>
      </c>
      <c r="C161" s="15" t="s">
        <v>275</v>
      </c>
      <c r="D161" s="747"/>
      <c r="E161" s="747">
        <f t="shared" si="9"/>
        <v>0</v>
      </c>
    </row>
    <row r="162" ht="25" customHeight="1" spans="1:5">
      <c r="A162" s="4">
        <v>5</v>
      </c>
      <c r="B162" s="651" t="s">
        <v>276</v>
      </c>
      <c r="C162" s="10" t="s">
        <v>111</v>
      </c>
      <c r="D162" s="747"/>
      <c r="E162" s="747">
        <f t="shared" si="9"/>
        <v>0</v>
      </c>
    </row>
    <row r="163" ht="25" customHeight="1" spans="1:5">
      <c r="A163" s="4"/>
      <c r="B163" s="866" t="s">
        <v>120</v>
      </c>
      <c r="C163" s="26"/>
      <c r="D163" s="875">
        <f>SUM(D158:D162)</f>
        <v>0</v>
      </c>
      <c r="E163" s="875">
        <f>SUM(E158:E162)</f>
        <v>0</v>
      </c>
    </row>
    <row r="164" ht="25" customHeight="1" spans="1:5">
      <c r="A164" s="4"/>
      <c r="B164" s="866"/>
      <c r="C164" s="26"/>
      <c r="D164" s="875"/>
      <c r="E164" s="875"/>
    </row>
    <row r="165" ht="25" customHeight="1" spans="1:5">
      <c r="A165" s="4"/>
      <c r="B165" s="866" t="s">
        <v>278</v>
      </c>
      <c r="C165" s="21"/>
      <c r="D165" s="1016"/>
      <c r="E165" s="1016"/>
    </row>
    <row r="166" ht="25" customHeight="1" spans="1:5">
      <c r="A166" s="4">
        <v>1</v>
      </c>
      <c r="B166" s="651" t="s">
        <v>279</v>
      </c>
      <c r="C166" s="15" t="s">
        <v>124</v>
      </c>
      <c r="D166" s="747"/>
      <c r="E166" s="747">
        <f t="shared" ref="E166:E177" si="10">D166*0.2</f>
        <v>0</v>
      </c>
    </row>
    <row r="167" ht="25" customHeight="1" spans="1:5">
      <c r="A167" s="4">
        <v>2</v>
      </c>
      <c r="B167" s="651" t="s">
        <v>281</v>
      </c>
      <c r="C167" s="15" t="s">
        <v>36</v>
      </c>
      <c r="D167" s="747"/>
      <c r="E167" s="747">
        <f t="shared" si="10"/>
        <v>0</v>
      </c>
    </row>
    <row r="168" ht="25" customHeight="1" spans="1:5">
      <c r="A168" s="4">
        <v>3</v>
      </c>
      <c r="B168" s="643" t="s">
        <v>283</v>
      </c>
      <c r="C168" s="15" t="s">
        <v>36</v>
      </c>
      <c r="D168" s="747"/>
      <c r="E168" s="747">
        <f t="shared" si="10"/>
        <v>0</v>
      </c>
    </row>
    <row r="169" ht="25" customHeight="1" spans="1:5">
      <c r="A169" s="4">
        <v>4</v>
      </c>
      <c r="B169" s="651" t="s">
        <v>284</v>
      </c>
      <c r="C169" s="15" t="s">
        <v>50</v>
      </c>
      <c r="D169" s="747"/>
      <c r="E169" s="747">
        <f t="shared" si="10"/>
        <v>0</v>
      </c>
    </row>
    <row r="170" ht="25" customHeight="1" spans="1:5">
      <c r="A170" s="4">
        <v>5</v>
      </c>
      <c r="B170" s="651" t="s">
        <v>286</v>
      </c>
      <c r="C170" s="15" t="s">
        <v>42</v>
      </c>
      <c r="D170" s="747"/>
      <c r="E170" s="747">
        <f t="shared" si="10"/>
        <v>0</v>
      </c>
    </row>
    <row r="171" ht="25" customHeight="1" spans="1:5">
      <c r="A171" s="4">
        <v>6</v>
      </c>
      <c r="B171" s="651" t="s">
        <v>287</v>
      </c>
      <c r="C171" s="15" t="s">
        <v>47</v>
      </c>
      <c r="D171" s="747"/>
      <c r="E171" s="747">
        <f t="shared" si="10"/>
        <v>0</v>
      </c>
    </row>
    <row r="172" ht="25" customHeight="1" spans="1:5">
      <c r="A172" s="4">
        <v>7</v>
      </c>
      <c r="B172" s="651" t="s">
        <v>289</v>
      </c>
      <c r="C172" s="15" t="s">
        <v>192</v>
      </c>
      <c r="D172" s="747"/>
      <c r="E172" s="747">
        <f t="shared" si="10"/>
        <v>0</v>
      </c>
    </row>
    <row r="173" ht="25" customHeight="1" spans="1:5">
      <c r="A173" s="4">
        <v>8</v>
      </c>
      <c r="B173" s="351" t="s">
        <v>290</v>
      </c>
      <c r="C173" s="15" t="s">
        <v>99</v>
      </c>
      <c r="D173" s="747"/>
      <c r="E173" s="747">
        <f t="shared" si="10"/>
        <v>0</v>
      </c>
    </row>
    <row r="174" ht="25" customHeight="1" spans="1:5">
      <c r="A174" s="4">
        <v>9</v>
      </c>
      <c r="B174" s="651" t="s">
        <v>292</v>
      </c>
      <c r="C174" s="15" t="s">
        <v>81</v>
      </c>
      <c r="D174" s="747"/>
      <c r="E174" s="747">
        <f t="shared" si="10"/>
        <v>0</v>
      </c>
    </row>
    <row r="175" ht="25" customHeight="1" spans="1:5">
      <c r="A175" s="4">
        <v>10</v>
      </c>
      <c r="B175" s="351" t="s">
        <v>294</v>
      </c>
      <c r="C175" s="15" t="s">
        <v>105</v>
      </c>
      <c r="D175" s="747"/>
      <c r="E175" s="747">
        <f t="shared" si="10"/>
        <v>0</v>
      </c>
    </row>
    <row r="176" ht="25" customHeight="1" spans="1:5">
      <c r="A176" s="4">
        <v>11</v>
      </c>
      <c r="B176" s="351" t="s">
        <v>296</v>
      </c>
      <c r="C176" s="15" t="s">
        <v>105</v>
      </c>
      <c r="D176" s="747"/>
      <c r="E176" s="747"/>
    </row>
    <row r="177" ht="25" customHeight="1" spans="1:5">
      <c r="A177" s="4">
        <v>12</v>
      </c>
      <c r="B177" s="351" t="s">
        <v>297</v>
      </c>
      <c r="C177" s="15" t="s">
        <v>108</v>
      </c>
      <c r="D177" s="1018"/>
      <c r="E177" s="747">
        <f t="shared" si="10"/>
        <v>0</v>
      </c>
    </row>
    <row r="178" ht="25" customHeight="1" spans="1:5">
      <c r="A178" s="4"/>
      <c r="B178" s="866" t="s">
        <v>120</v>
      </c>
      <c r="C178" s="15"/>
      <c r="D178" s="868">
        <f>SUM(D166:D177)</f>
        <v>0</v>
      </c>
      <c r="E178" s="868">
        <f>SUM(E166:E177)</f>
        <v>0</v>
      </c>
    </row>
    <row r="179" ht="25" customHeight="1" spans="1:5">
      <c r="A179" s="4"/>
      <c r="B179" s="869"/>
      <c r="C179" s="15"/>
      <c r="D179" s="1016"/>
      <c r="E179" s="1016"/>
    </row>
    <row r="180" ht="25" customHeight="1" spans="1:5">
      <c r="A180" s="4"/>
      <c r="B180" s="866" t="s">
        <v>299</v>
      </c>
      <c r="C180" s="15"/>
      <c r="D180" s="747"/>
      <c r="E180" s="747"/>
    </row>
    <row r="181" ht="25" customHeight="1" spans="1:5">
      <c r="A181" s="27">
        <v>1</v>
      </c>
      <c r="B181" s="643" t="s">
        <v>300</v>
      </c>
      <c r="C181" s="10" t="s">
        <v>487</v>
      </c>
      <c r="D181" s="747"/>
      <c r="E181" s="747">
        <f t="shared" ref="E181:E244" si="11">D181*0.2</f>
        <v>0</v>
      </c>
    </row>
    <row r="182" ht="25" customHeight="1" spans="1:5">
      <c r="A182" s="27">
        <v>2</v>
      </c>
      <c r="B182" s="643" t="s">
        <v>302</v>
      </c>
      <c r="C182" s="16" t="s">
        <v>36</v>
      </c>
      <c r="D182" s="747"/>
      <c r="E182" s="747">
        <f t="shared" si="11"/>
        <v>0</v>
      </c>
    </row>
    <row r="183" ht="25" customHeight="1" spans="1:5">
      <c r="A183" s="27">
        <v>3</v>
      </c>
      <c r="B183" s="651" t="s">
        <v>305</v>
      </c>
      <c r="C183" s="15" t="s">
        <v>50</v>
      </c>
      <c r="D183" s="747"/>
      <c r="E183" s="747">
        <f t="shared" si="11"/>
        <v>0</v>
      </c>
    </row>
    <row r="184" ht="25" customHeight="1" spans="1:5">
      <c r="A184" s="27">
        <v>4</v>
      </c>
      <c r="B184" s="651" t="s">
        <v>307</v>
      </c>
      <c r="C184" s="15" t="s">
        <v>50</v>
      </c>
      <c r="D184" s="747"/>
      <c r="E184" s="747">
        <f t="shared" si="11"/>
        <v>0</v>
      </c>
    </row>
    <row r="185" ht="25" customHeight="1" spans="1:5">
      <c r="A185" s="27">
        <v>5</v>
      </c>
      <c r="B185" s="651" t="s">
        <v>309</v>
      </c>
      <c r="C185" s="15" t="s">
        <v>50</v>
      </c>
      <c r="D185" s="747"/>
      <c r="E185" s="747">
        <f t="shared" si="11"/>
        <v>0</v>
      </c>
    </row>
    <row r="186" ht="25" customHeight="1" spans="1:5">
      <c r="A186" s="27">
        <v>6</v>
      </c>
      <c r="B186" s="651" t="s">
        <v>310</v>
      </c>
      <c r="C186" s="10" t="s">
        <v>53</v>
      </c>
      <c r="D186" s="747"/>
      <c r="E186" s="747">
        <f t="shared" si="11"/>
        <v>0</v>
      </c>
    </row>
    <row r="187" ht="25" customHeight="1" spans="1:5">
      <c r="A187" s="27">
        <v>7</v>
      </c>
      <c r="B187" s="651" t="s">
        <v>312</v>
      </c>
      <c r="C187" s="15" t="s">
        <v>64</v>
      </c>
      <c r="D187" s="747"/>
      <c r="E187" s="747">
        <f t="shared" si="11"/>
        <v>0</v>
      </c>
    </row>
    <row r="188" ht="25" customHeight="1" spans="1:5">
      <c r="A188" s="27">
        <v>8</v>
      </c>
      <c r="B188" s="651" t="s">
        <v>313</v>
      </c>
      <c r="C188" s="15" t="s">
        <v>64</v>
      </c>
      <c r="D188" s="747"/>
      <c r="E188" s="747">
        <f t="shared" si="11"/>
        <v>0</v>
      </c>
    </row>
    <row r="189" ht="25" customHeight="1" spans="1:5">
      <c r="A189" s="27">
        <v>9</v>
      </c>
      <c r="B189" s="651" t="s">
        <v>315</v>
      </c>
      <c r="C189" s="15" t="s">
        <v>67</v>
      </c>
      <c r="D189" s="747"/>
      <c r="E189" s="747">
        <f t="shared" si="11"/>
        <v>0</v>
      </c>
    </row>
    <row r="190" ht="25" customHeight="1" spans="1:5">
      <c r="A190" s="27">
        <v>10</v>
      </c>
      <c r="B190" s="651" t="s">
        <v>317</v>
      </c>
      <c r="C190" s="15" t="s">
        <v>173</v>
      </c>
      <c r="D190" s="747"/>
      <c r="E190" s="747">
        <f t="shared" si="11"/>
        <v>0</v>
      </c>
    </row>
    <row r="191" ht="25" customHeight="1" spans="1:5">
      <c r="A191" s="27">
        <v>11</v>
      </c>
      <c r="B191" s="351" t="s">
        <v>319</v>
      </c>
      <c r="C191" s="15" t="s">
        <v>70</v>
      </c>
      <c r="D191" s="748"/>
      <c r="E191" s="747">
        <f t="shared" si="11"/>
        <v>0</v>
      </c>
    </row>
    <row r="192" ht="25" customHeight="1" spans="1:5">
      <c r="A192" s="27">
        <v>12</v>
      </c>
      <c r="B192" s="651" t="s">
        <v>321</v>
      </c>
      <c r="C192" s="15" t="s">
        <v>131</v>
      </c>
      <c r="D192" s="748"/>
      <c r="E192" s="747">
        <f t="shared" si="11"/>
        <v>0</v>
      </c>
    </row>
    <row r="193" ht="25" customHeight="1" spans="1:5">
      <c r="A193" s="27">
        <v>13</v>
      </c>
      <c r="B193" s="651" t="s">
        <v>322</v>
      </c>
      <c r="C193" s="15" t="s">
        <v>131</v>
      </c>
      <c r="D193" s="748"/>
      <c r="E193" s="747">
        <f t="shared" si="11"/>
        <v>0</v>
      </c>
    </row>
    <row r="194" ht="25" customHeight="1" spans="1:5">
      <c r="A194" s="27">
        <v>14</v>
      </c>
      <c r="B194" s="651" t="s">
        <v>323</v>
      </c>
      <c r="C194" s="15" t="s">
        <v>131</v>
      </c>
      <c r="D194" s="748"/>
      <c r="E194" s="747">
        <f t="shared" si="11"/>
        <v>0</v>
      </c>
    </row>
    <row r="195" ht="25" customHeight="1" spans="1:5">
      <c r="A195" s="27">
        <v>15</v>
      </c>
      <c r="B195" s="651" t="s">
        <v>324</v>
      </c>
      <c r="C195" s="15" t="s">
        <v>70</v>
      </c>
      <c r="D195" s="748"/>
      <c r="E195" s="747">
        <f t="shared" si="11"/>
        <v>0</v>
      </c>
    </row>
    <row r="196" ht="25" customHeight="1" spans="1:5">
      <c r="A196" s="27">
        <v>16</v>
      </c>
      <c r="B196" s="651" t="s">
        <v>325</v>
      </c>
      <c r="C196" s="15" t="s">
        <v>153</v>
      </c>
      <c r="D196" s="748"/>
      <c r="E196" s="747">
        <f t="shared" si="11"/>
        <v>0</v>
      </c>
    </row>
    <row r="197" ht="25" customHeight="1" spans="1:5">
      <c r="A197" s="27">
        <v>17</v>
      </c>
      <c r="B197" s="651" t="s">
        <v>327</v>
      </c>
      <c r="C197" s="10" t="s">
        <v>81</v>
      </c>
      <c r="D197" s="747"/>
      <c r="E197" s="747">
        <f t="shared" si="11"/>
        <v>0</v>
      </c>
    </row>
    <row r="198" ht="25" customHeight="1" spans="1:5">
      <c r="A198" s="27">
        <v>18</v>
      </c>
      <c r="B198" s="651" t="s">
        <v>329</v>
      </c>
      <c r="C198" s="15" t="s">
        <v>131</v>
      </c>
      <c r="D198" s="748"/>
      <c r="E198" s="747">
        <f t="shared" si="11"/>
        <v>0</v>
      </c>
    </row>
    <row r="199" ht="25" customHeight="1" spans="1:5">
      <c r="A199" s="27">
        <v>19</v>
      </c>
      <c r="B199" s="651" t="s">
        <v>331</v>
      </c>
      <c r="C199" s="15" t="s">
        <v>75</v>
      </c>
      <c r="D199" s="747"/>
      <c r="E199" s="747">
        <f t="shared" si="11"/>
        <v>0</v>
      </c>
    </row>
    <row r="200" ht="25" customHeight="1" spans="1:5">
      <c r="A200" s="27">
        <v>20</v>
      </c>
      <c r="B200" s="651" t="s">
        <v>333</v>
      </c>
      <c r="C200" s="15" t="s">
        <v>131</v>
      </c>
      <c r="D200" s="748"/>
      <c r="E200" s="747">
        <f t="shared" si="11"/>
        <v>0</v>
      </c>
    </row>
    <row r="201" ht="25" customHeight="1" spans="1:5">
      <c r="A201" s="27">
        <v>21</v>
      </c>
      <c r="B201" s="651" t="s">
        <v>334</v>
      </c>
      <c r="C201" s="15" t="s">
        <v>81</v>
      </c>
      <c r="D201" s="747"/>
      <c r="E201" s="747">
        <f t="shared" si="11"/>
        <v>0</v>
      </c>
    </row>
    <row r="202" ht="25" customHeight="1" spans="1:5">
      <c r="A202" s="27">
        <v>22</v>
      </c>
      <c r="B202" s="351" t="s">
        <v>336</v>
      </c>
      <c r="C202" s="15" t="s">
        <v>86</v>
      </c>
      <c r="D202" s="748"/>
      <c r="E202" s="747">
        <f t="shared" si="11"/>
        <v>0</v>
      </c>
    </row>
    <row r="203" ht="25" customHeight="1" spans="1:5">
      <c r="A203" s="27">
        <v>23</v>
      </c>
      <c r="B203" s="351" t="s">
        <v>338</v>
      </c>
      <c r="C203" s="15" t="s">
        <v>86</v>
      </c>
      <c r="D203" s="748"/>
      <c r="E203" s="747">
        <f t="shared" si="11"/>
        <v>0</v>
      </c>
    </row>
    <row r="204" ht="25" customHeight="1" spans="1:5">
      <c r="A204" s="27">
        <v>24</v>
      </c>
      <c r="B204" s="351" t="s">
        <v>339</v>
      </c>
      <c r="C204" s="10" t="s">
        <v>99</v>
      </c>
      <c r="D204" s="747"/>
      <c r="E204" s="747">
        <f t="shared" si="11"/>
        <v>0</v>
      </c>
    </row>
    <row r="205" ht="25" customHeight="1" spans="1:5">
      <c r="A205" s="27">
        <v>25</v>
      </c>
      <c r="B205" s="351" t="s">
        <v>341</v>
      </c>
      <c r="C205" s="10" t="s">
        <v>225</v>
      </c>
      <c r="D205" s="747"/>
      <c r="E205" s="747">
        <f t="shared" si="11"/>
        <v>0</v>
      </c>
    </row>
    <row r="206" ht="25" customHeight="1" spans="1:5">
      <c r="A206" s="27">
        <v>26</v>
      </c>
      <c r="B206" s="351" t="s">
        <v>343</v>
      </c>
      <c r="C206" s="15" t="s">
        <v>105</v>
      </c>
      <c r="D206" s="747"/>
      <c r="E206" s="747">
        <f t="shared" si="11"/>
        <v>0</v>
      </c>
    </row>
    <row r="207" ht="25" customHeight="1" spans="1:5">
      <c r="A207" s="27">
        <v>27</v>
      </c>
      <c r="B207" s="351" t="s">
        <v>345</v>
      </c>
      <c r="C207" s="15" t="s">
        <v>105</v>
      </c>
      <c r="D207" s="747"/>
      <c r="E207" s="747">
        <f t="shared" si="11"/>
        <v>0</v>
      </c>
    </row>
    <row r="208" ht="25" customHeight="1" spans="1:5">
      <c r="A208" s="27">
        <v>28</v>
      </c>
      <c r="B208" s="351" t="s">
        <v>347</v>
      </c>
      <c r="C208" s="15" t="s">
        <v>105</v>
      </c>
      <c r="D208" s="747"/>
      <c r="E208" s="747">
        <f t="shared" si="11"/>
        <v>0</v>
      </c>
    </row>
    <row r="209" ht="25" customHeight="1" spans="1:5">
      <c r="A209" s="27">
        <v>29</v>
      </c>
      <c r="B209" s="351" t="s">
        <v>349</v>
      </c>
      <c r="C209" s="10" t="s">
        <v>225</v>
      </c>
      <c r="D209" s="747"/>
      <c r="E209" s="747">
        <f t="shared" si="11"/>
        <v>0</v>
      </c>
    </row>
    <row r="210" ht="25" customHeight="1" spans="1:5">
      <c r="A210" s="27">
        <v>30</v>
      </c>
      <c r="B210" s="351" t="s">
        <v>350</v>
      </c>
      <c r="C210" s="15" t="s">
        <v>105</v>
      </c>
      <c r="D210" s="747"/>
      <c r="E210" s="747">
        <f t="shared" si="11"/>
        <v>0</v>
      </c>
    </row>
    <row r="211" ht="25" customHeight="1" spans="1:5">
      <c r="A211" s="27">
        <v>31</v>
      </c>
      <c r="B211" s="351" t="s">
        <v>351</v>
      </c>
      <c r="C211" s="15" t="s">
        <v>108</v>
      </c>
      <c r="D211" s="1015"/>
      <c r="E211" s="747">
        <f t="shared" si="11"/>
        <v>0</v>
      </c>
    </row>
    <row r="212" ht="25" customHeight="1" spans="1:5">
      <c r="A212" s="27">
        <v>32</v>
      </c>
      <c r="B212" s="351" t="s">
        <v>353</v>
      </c>
      <c r="C212" s="15" t="s">
        <v>108</v>
      </c>
      <c r="D212" s="1015"/>
      <c r="E212" s="747">
        <f t="shared" si="11"/>
        <v>0</v>
      </c>
    </row>
    <row r="213" ht="25" customHeight="1" spans="1:5">
      <c r="A213" s="27">
        <v>33</v>
      </c>
      <c r="B213" s="351" t="s">
        <v>354</v>
      </c>
      <c r="C213" s="15" t="s">
        <v>111</v>
      </c>
      <c r="D213" s="747"/>
      <c r="E213" s="747">
        <f t="shared" si="11"/>
        <v>0</v>
      </c>
    </row>
    <row r="214" ht="25" customHeight="1" spans="1:5">
      <c r="A214" s="27">
        <v>34</v>
      </c>
      <c r="B214" s="351" t="s">
        <v>355</v>
      </c>
      <c r="C214" s="15" t="s">
        <v>111</v>
      </c>
      <c r="D214" s="747"/>
      <c r="E214" s="747">
        <f t="shared" si="11"/>
        <v>0</v>
      </c>
    </row>
    <row r="215" ht="25" customHeight="1" spans="1:5">
      <c r="A215" s="27">
        <v>35</v>
      </c>
      <c r="B215" s="351" t="s">
        <v>356</v>
      </c>
      <c r="C215" s="15" t="s">
        <v>111</v>
      </c>
      <c r="D215" s="747"/>
      <c r="E215" s="747">
        <f t="shared" si="11"/>
        <v>0</v>
      </c>
    </row>
    <row r="216" ht="25" customHeight="1" spans="1:5">
      <c r="A216" s="27">
        <v>36</v>
      </c>
      <c r="B216" s="351" t="s">
        <v>357</v>
      </c>
      <c r="C216" s="15" t="s">
        <v>275</v>
      </c>
      <c r="D216" s="747"/>
      <c r="E216" s="747">
        <f t="shared" si="11"/>
        <v>0</v>
      </c>
    </row>
    <row r="217" ht="25" customHeight="1" spans="1:5">
      <c r="A217" s="27">
        <v>37</v>
      </c>
      <c r="B217" s="351" t="s">
        <v>358</v>
      </c>
      <c r="C217" s="15" t="s">
        <v>275</v>
      </c>
      <c r="D217" s="747"/>
      <c r="E217" s="747">
        <f t="shared" si="11"/>
        <v>0</v>
      </c>
    </row>
    <row r="218" ht="25" customHeight="1" spans="1:5">
      <c r="A218" s="27">
        <v>38</v>
      </c>
      <c r="B218" s="651" t="s">
        <v>359</v>
      </c>
      <c r="C218" s="15" t="s">
        <v>361</v>
      </c>
      <c r="D218" s="1019"/>
      <c r="E218" s="747">
        <f t="shared" si="11"/>
        <v>0</v>
      </c>
    </row>
    <row r="219" ht="25" customHeight="1" spans="1:5">
      <c r="A219" s="27">
        <v>39</v>
      </c>
      <c r="B219" s="651" t="s">
        <v>362</v>
      </c>
      <c r="C219" s="15" t="s">
        <v>361</v>
      </c>
      <c r="D219" s="1019"/>
      <c r="E219" s="747">
        <f t="shared" si="11"/>
        <v>0</v>
      </c>
    </row>
    <row r="220" ht="25" customHeight="1" spans="1:5">
      <c r="A220" s="27">
        <v>40</v>
      </c>
      <c r="B220" s="651" t="s">
        <v>363</v>
      </c>
      <c r="C220" s="15" t="s">
        <v>361</v>
      </c>
      <c r="D220" s="1019"/>
      <c r="E220" s="747">
        <f t="shared" si="11"/>
        <v>0</v>
      </c>
    </row>
    <row r="221" ht="25" customHeight="1" spans="1:5">
      <c r="A221" s="27">
        <v>41</v>
      </c>
      <c r="B221" s="651" t="s">
        <v>364</v>
      </c>
      <c r="C221" s="15" t="s">
        <v>361</v>
      </c>
      <c r="D221" s="1019"/>
      <c r="E221" s="747">
        <f t="shared" si="11"/>
        <v>0</v>
      </c>
    </row>
    <row r="222" ht="25" customHeight="1" spans="1:5">
      <c r="A222" s="27">
        <v>42</v>
      </c>
      <c r="B222" s="651" t="s">
        <v>365</v>
      </c>
      <c r="C222" s="15" t="s">
        <v>366</v>
      </c>
      <c r="D222" s="1019"/>
      <c r="E222" s="747">
        <f t="shared" si="11"/>
        <v>0</v>
      </c>
    </row>
    <row r="223" ht="25" customHeight="1" spans="1:5">
      <c r="A223" s="27">
        <v>43</v>
      </c>
      <c r="B223" s="651" t="s">
        <v>367</v>
      </c>
      <c r="C223" s="15" t="s">
        <v>366</v>
      </c>
      <c r="D223" s="1019"/>
      <c r="E223" s="747">
        <f t="shared" si="11"/>
        <v>0</v>
      </c>
    </row>
    <row r="224" ht="25" customHeight="1" spans="1:5">
      <c r="A224" s="27">
        <v>44</v>
      </c>
      <c r="B224" s="643" t="s">
        <v>368</v>
      </c>
      <c r="C224" s="15" t="s">
        <v>366</v>
      </c>
      <c r="D224" s="1019"/>
      <c r="E224" s="747">
        <f t="shared" si="11"/>
        <v>0</v>
      </c>
    </row>
    <row r="225" ht="25" customHeight="1" spans="1:5">
      <c r="A225" s="27">
        <v>45</v>
      </c>
      <c r="B225" s="651" t="s">
        <v>369</v>
      </c>
      <c r="C225" s="15" t="s">
        <v>366</v>
      </c>
      <c r="D225" s="1019"/>
      <c r="E225" s="747">
        <f t="shared" si="11"/>
        <v>0</v>
      </c>
    </row>
    <row r="226" ht="25" customHeight="1" spans="1:5">
      <c r="A226" s="27">
        <v>46</v>
      </c>
      <c r="B226" s="351" t="s">
        <v>370</v>
      </c>
      <c r="C226" s="15" t="s">
        <v>366</v>
      </c>
      <c r="D226" s="1019"/>
      <c r="E226" s="747">
        <f t="shared" si="11"/>
        <v>0</v>
      </c>
    </row>
    <row r="227" ht="25" customHeight="1" spans="1:5">
      <c r="A227" s="27">
        <v>47</v>
      </c>
      <c r="B227" s="651" t="s">
        <v>371</v>
      </c>
      <c r="C227" s="15" t="s">
        <v>372</v>
      </c>
      <c r="D227" s="747"/>
      <c r="E227" s="747">
        <f t="shared" si="11"/>
        <v>0</v>
      </c>
    </row>
    <row r="228" ht="25" customHeight="1" spans="1:5">
      <c r="A228" s="27">
        <v>48</v>
      </c>
      <c r="B228" s="651" t="s">
        <v>373</v>
      </c>
      <c r="C228" s="15" t="s">
        <v>372</v>
      </c>
      <c r="D228" s="747"/>
      <c r="E228" s="747">
        <f t="shared" si="11"/>
        <v>0</v>
      </c>
    </row>
    <row r="229" ht="25" customHeight="1" spans="1:5">
      <c r="A229" s="27">
        <v>49</v>
      </c>
      <c r="B229" s="351" t="s">
        <v>374</v>
      </c>
      <c r="C229" s="15" t="s">
        <v>375</v>
      </c>
      <c r="D229" s="747"/>
      <c r="E229" s="747">
        <f t="shared" si="11"/>
        <v>0</v>
      </c>
    </row>
    <row r="230" ht="25" customHeight="1" spans="1:5">
      <c r="A230" s="27">
        <v>50</v>
      </c>
      <c r="B230" s="651" t="s">
        <v>376</v>
      </c>
      <c r="C230" s="15" t="s">
        <v>377</v>
      </c>
      <c r="D230" s="747"/>
      <c r="E230" s="747">
        <f t="shared" si="11"/>
        <v>0</v>
      </c>
    </row>
    <row r="231" ht="25" customHeight="1" spans="1:5">
      <c r="A231" s="27">
        <v>51</v>
      </c>
      <c r="B231" s="651" t="s">
        <v>378</v>
      </c>
      <c r="C231" s="15" t="s">
        <v>377</v>
      </c>
      <c r="D231" s="747"/>
      <c r="E231" s="747">
        <f t="shared" si="11"/>
        <v>0</v>
      </c>
    </row>
    <row r="232" ht="25" customHeight="1" spans="1:5">
      <c r="A232" s="27">
        <v>52</v>
      </c>
      <c r="B232" s="651" t="s">
        <v>379</v>
      </c>
      <c r="C232" s="15" t="s">
        <v>377</v>
      </c>
      <c r="D232" s="747"/>
      <c r="E232" s="747">
        <f t="shared" si="11"/>
        <v>0</v>
      </c>
    </row>
    <row r="233" ht="25" customHeight="1" spans="1:5">
      <c r="A233" s="27">
        <v>53</v>
      </c>
      <c r="B233" s="651" t="s">
        <v>380</v>
      </c>
      <c r="C233" s="15" t="s">
        <v>377</v>
      </c>
      <c r="D233" s="747"/>
      <c r="E233" s="747">
        <f t="shared" si="11"/>
        <v>0</v>
      </c>
    </row>
    <row r="234" ht="25" customHeight="1" spans="1:5">
      <c r="A234" s="27">
        <v>54</v>
      </c>
      <c r="B234" s="651" t="s">
        <v>381</v>
      </c>
      <c r="C234" s="15" t="s">
        <v>377</v>
      </c>
      <c r="D234" s="747"/>
      <c r="E234" s="747">
        <f t="shared" si="11"/>
        <v>0</v>
      </c>
    </row>
    <row r="235" ht="25" customHeight="1" spans="1:5">
      <c r="A235" s="27">
        <v>55</v>
      </c>
      <c r="B235" s="651" t="s">
        <v>382</v>
      </c>
      <c r="C235" s="15" t="s">
        <v>377</v>
      </c>
      <c r="D235" s="747"/>
      <c r="E235" s="747">
        <f t="shared" si="11"/>
        <v>0</v>
      </c>
    </row>
    <row r="236" ht="25" customHeight="1" spans="1:5">
      <c r="A236" s="27">
        <v>56</v>
      </c>
      <c r="B236" s="351" t="s">
        <v>383</v>
      </c>
      <c r="C236" s="15" t="s">
        <v>384</v>
      </c>
      <c r="D236" s="747"/>
      <c r="E236" s="747">
        <f t="shared" si="11"/>
        <v>0</v>
      </c>
    </row>
    <row r="237" ht="25" customHeight="1" spans="1:5">
      <c r="A237" s="27">
        <v>57</v>
      </c>
      <c r="B237" s="351" t="s">
        <v>385</v>
      </c>
      <c r="C237" s="15" t="s">
        <v>388</v>
      </c>
      <c r="D237" s="747"/>
      <c r="E237" s="747">
        <f t="shared" si="11"/>
        <v>0</v>
      </c>
    </row>
    <row r="238" ht="25" customHeight="1" spans="1:5">
      <c r="A238" s="27">
        <v>58</v>
      </c>
      <c r="B238" s="651" t="s">
        <v>386</v>
      </c>
      <c r="C238" s="15" t="s">
        <v>388</v>
      </c>
      <c r="D238" s="747"/>
      <c r="E238" s="747">
        <f t="shared" si="11"/>
        <v>0</v>
      </c>
    </row>
    <row r="239" ht="25" customHeight="1" spans="1:5">
      <c r="A239" s="27">
        <v>59</v>
      </c>
      <c r="B239" s="351" t="s">
        <v>389</v>
      </c>
      <c r="C239" s="15" t="s">
        <v>391</v>
      </c>
      <c r="D239" s="747"/>
      <c r="E239" s="747">
        <f t="shared" si="11"/>
        <v>0</v>
      </c>
    </row>
    <row r="240" ht="25" customHeight="1" spans="1:5">
      <c r="A240" s="27">
        <v>60</v>
      </c>
      <c r="B240" s="351" t="s">
        <v>392</v>
      </c>
      <c r="C240" s="15" t="s">
        <v>393</v>
      </c>
      <c r="D240" s="747"/>
      <c r="E240" s="747">
        <f t="shared" si="11"/>
        <v>0</v>
      </c>
    </row>
    <row r="241" ht="25" customHeight="1" spans="1:5">
      <c r="A241" s="27">
        <v>61</v>
      </c>
      <c r="B241" s="351" t="s">
        <v>394</v>
      </c>
      <c r="C241" s="15" t="s">
        <v>395</v>
      </c>
      <c r="D241" s="747"/>
      <c r="E241" s="747">
        <f t="shared" si="11"/>
        <v>0</v>
      </c>
    </row>
    <row r="242" ht="25" customHeight="1" spans="1:5">
      <c r="A242" s="27">
        <v>62</v>
      </c>
      <c r="B242" s="351" t="s">
        <v>396</v>
      </c>
      <c r="C242" s="15" t="s">
        <v>398</v>
      </c>
      <c r="D242" s="747"/>
      <c r="E242" s="747">
        <f t="shared" si="11"/>
        <v>0</v>
      </c>
    </row>
    <row r="243" ht="25" customHeight="1" spans="1:5">
      <c r="A243" s="27">
        <v>63</v>
      </c>
      <c r="B243" s="351" t="s">
        <v>399</v>
      </c>
      <c r="C243" s="15" t="s">
        <v>398</v>
      </c>
      <c r="D243" s="747"/>
      <c r="E243" s="747">
        <f t="shared" si="11"/>
        <v>0</v>
      </c>
    </row>
    <row r="244" ht="25" customHeight="1" spans="1:5">
      <c r="A244" s="27">
        <v>64</v>
      </c>
      <c r="B244" s="351" t="s">
        <v>400</v>
      </c>
      <c r="C244" s="15" t="s">
        <v>398</v>
      </c>
      <c r="D244" s="747"/>
      <c r="E244" s="747">
        <f t="shared" si="11"/>
        <v>0</v>
      </c>
    </row>
    <row r="245" ht="25" customHeight="1" spans="1:5">
      <c r="A245" s="27">
        <v>65</v>
      </c>
      <c r="B245" s="351" t="s">
        <v>401</v>
      </c>
      <c r="C245" s="15" t="s">
        <v>403</v>
      </c>
      <c r="D245" s="747"/>
      <c r="E245" s="747">
        <f>D245*0.2</f>
        <v>0</v>
      </c>
    </row>
    <row r="246" ht="25" customHeight="1" spans="1:5">
      <c r="A246" s="27">
        <v>66</v>
      </c>
      <c r="B246" s="351" t="s">
        <v>404</v>
      </c>
      <c r="C246" s="15" t="s">
        <v>403</v>
      </c>
      <c r="D246" s="747"/>
      <c r="E246" s="747">
        <f>D246*0.2</f>
        <v>0</v>
      </c>
    </row>
    <row r="247" ht="25" customHeight="1" spans="1:5">
      <c r="A247" s="27"/>
      <c r="B247" s="8" t="s">
        <v>120</v>
      </c>
      <c r="C247" s="29"/>
      <c r="D247" s="875">
        <f>SUM(D181:D246)</f>
        <v>0</v>
      </c>
      <c r="E247" s="875">
        <f>SUM(E181:E246)</f>
        <v>0</v>
      </c>
    </row>
    <row r="248" ht="25" customHeight="1" spans="1:5">
      <c r="A248" s="4"/>
      <c r="B248" s="30" t="s">
        <v>406</v>
      </c>
      <c r="C248" s="32"/>
      <c r="D248" s="1020">
        <f>D247+D178+D163+D155+D144+D130+D120+D104+D90+D76+D71+D56+D46</f>
        <v>7750000</v>
      </c>
      <c r="E248" s="1020">
        <f>E247+E178+E163+E155+E144+E130+E120+E104+E90+E76+E71+E56+E46</f>
        <v>1550000</v>
      </c>
    </row>
  </sheetData>
  <mergeCells count="1">
    <mergeCell ref="A1:E1"/>
  </mergeCells>
  <pageMargins left="0.75" right="0.75" top="1" bottom="1" header="0.5" footer="0.5"/>
  <pageSetup paperSize="256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view="pageBreakPreview" zoomScaleNormal="100" workbookViewId="0">
      <selection activeCell="K9" sqref="K9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546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547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998"/>
      <c r="J3" s="998"/>
      <c r="K3" s="998"/>
    </row>
    <row r="4" ht="41" customHeight="1" spans="1:11">
      <c r="A4" s="754" t="s">
        <v>548</v>
      </c>
      <c r="B4" s="990" t="s">
        <v>549</v>
      </c>
      <c r="C4" s="990" t="s">
        <v>550</v>
      </c>
      <c r="D4" s="990" t="s">
        <v>551</v>
      </c>
      <c r="E4" s="990" t="s">
        <v>552</v>
      </c>
      <c r="F4" s="990" t="s">
        <v>553</v>
      </c>
      <c r="G4" s="990" t="s">
        <v>554</v>
      </c>
      <c r="H4" s="990" t="s">
        <v>555</v>
      </c>
      <c r="I4" s="990" t="s">
        <v>556</v>
      </c>
      <c r="J4" s="990" t="s">
        <v>557</v>
      </c>
      <c r="K4" s="990" t="s">
        <v>558</v>
      </c>
    </row>
    <row r="5" ht="14" spans="1:11">
      <c r="A5" s="754"/>
      <c r="B5" s="999"/>
      <c r="C5" s="1000"/>
      <c r="D5" s="1000"/>
      <c r="E5" s="1000"/>
      <c r="F5" s="1001" t="s">
        <v>21</v>
      </c>
      <c r="G5" s="1001" t="s">
        <v>21</v>
      </c>
      <c r="H5" s="1001" t="s">
        <v>21</v>
      </c>
      <c r="I5" s="1001"/>
      <c r="J5" s="1001"/>
      <c r="K5" s="1001" t="s">
        <v>21</v>
      </c>
    </row>
    <row r="6" ht="30" customHeight="1" spans="1:11">
      <c r="A6" s="760">
        <v>1</v>
      </c>
      <c r="B6" s="1002" t="s">
        <v>559</v>
      </c>
      <c r="C6" s="1003" t="s">
        <v>560</v>
      </c>
      <c r="D6" s="1199" t="s">
        <v>561</v>
      </c>
      <c r="E6" s="1002" t="s">
        <v>562</v>
      </c>
      <c r="F6" s="1005">
        <v>592662.666666667</v>
      </c>
      <c r="G6" s="1005">
        <f>'[21]Peculiar Allowance'!$H$41+'[21] FGN 2024 MGT Monthly'!$H$41+120000</f>
        <v>602846.583333333</v>
      </c>
      <c r="H6" s="1005">
        <f>G6-F6</f>
        <v>10183.9166666664</v>
      </c>
      <c r="I6" s="1003" t="s">
        <v>563</v>
      </c>
      <c r="J6" s="1006">
        <f>1+(12/31)</f>
        <v>1.38709677419355</v>
      </c>
      <c r="K6" s="1005">
        <f>H6*J6</f>
        <v>14126.0779569889</v>
      </c>
    </row>
    <row r="7" ht="30" customHeight="1" spans="1:11">
      <c r="A7" s="760">
        <v>2</v>
      </c>
      <c r="B7" s="1002" t="s">
        <v>564</v>
      </c>
      <c r="C7" s="1003" t="s">
        <v>565</v>
      </c>
      <c r="D7" s="1199" t="s">
        <v>566</v>
      </c>
      <c r="E7" s="1002" t="s">
        <v>567</v>
      </c>
      <c r="F7" s="1005">
        <v>499131.166666667</v>
      </c>
      <c r="G7" s="1005">
        <f>'[21] FGN 2024 MGT Monthly'!$H$40+'[21]Peculiar Allowance'!$H$40+110000</f>
        <v>551159</v>
      </c>
      <c r="H7" s="1005">
        <f>G7-F7</f>
        <v>52027.833333333</v>
      </c>
      <c r="I7" s="1003" t="s">
        <v>568</v>
      </c>
      <c r="J7" s="1006">
        <f>19+(7/30)</f>
        <v>19.2333333333333</v>
      </c>
      <c r="K7" s="1005">
        <f>H7*J7</f>
        <v>1000668.6611111</v>
      </c>
    </row>
    <row r="8" ht="30" customHeight="1" spans="1:11">
      <c r="A8" s="760">
        <v>3</v>
      </c>
      <c r="B8" s="1002" t="s">
        <v>569</v>
      </c>
      <c r="C8" s="1003" t="s">
        <v>560</v>
      </c>
      <c r="D8" s="1199" t="s">
        <v>570</v>
      </c>
      <c r="E8" s="1002" t="s">
        <v>571</v>
      </c>
      <c r="F8" s="1005">
        <v>415930.583333333</v>
      </c>
      <c r="G8" s="1005">
        <f>330408.083333333+100000</f>
        <v>430408.083333333</v>
      </c>
      <c r="H8" s="1005">
        <f>G8-F8</f>
        <v>14477.5</v>
      </c>
      <c r="I8" s="1003" t="s">
        <v>572</v>
      </c>
      <c r="J8" s="1006">
        <v>8</v>
      </c>
      <c r="K8" s="1005">
        <f>H8*J8</f>
        <v>115820</v>
      </c>
    </row>
    <row r="9" ht="30" customHeight="1" spans="1:11">
      <c r="A9" s="760">
        <v>4</v>
      </c>
      <c r="B9" s="1002" t="s">
        <v>573</v>
      </c>
      <c r="C9" s="1003" t="s">
        <v>574</v>
      </c>
      <c r="D9" s="1199" t="s">
        <v>575</v>
      </c>
      <c r="E9" s="1002" t="s">
        <v>576</v>
      </c>
      <c r="F9" s="1005">
        <v>176217.75</v>
      </c>
      <c r="G9" s="1005">
        <v>252750.583333333</v>
      </c>
      <c r="H9" s="1005">
        <f>G9-F9</f>
        <v>76532.833333333</v>
      </c>
      <c r="I9" s="1003" t="s">
        <v>577</v>
      </c>
      <c r="J9" s="1006">
        <f>3+(4/31)</f>
        <v>3.12903225806452</v>
      </c>
      <c r="K9" s="1005">
        <f>H9*J9</f>
        <v>239473.704301074</v>
      </c>
    </row>
    <row r="10" ht="28" customHeight="1" spans="1:11">
      <c r="A10" s="1007"/>
      <c r="B10" s="1007" t="s">
        <v>120</v>
      </c>
      <c r="C10" s="1007"/>
      <c r="D10" s="1007"/>
      <c r="E10" s="1007"/>
      <c r="F10" s="1005"/>
      <c r="G10" s="1005"/>
      <c r="H10" s="1011">
        <f>SUM(H6:H6)</f>
        <v>10183.9166666664</v>
      </c>
      <c r="I10" s="1007"/>
      <c r="J10" s="1010"/>
      <c r="K10" s="1011">
        <f>SUM(K6:K9)</f>
        <v>1370088.44336917</v>
      </c>
    </row>
    <row r="11" ht="14" spans="1:11">
      <c r="A11" s="1012"/>
      <c r="B11" s="1012"/>
      <c r="C11" s="1012"/>
      <c r="D11" s="1012"/>
      <c r="E11" s="1012"/>
      <c r="F11" s="1012"/>
      <c r="G11" s="1012"/>
      <c r="H11" s="1012"/>
      <c r="I11" s="1012"/>
      <c r="J11" s="1012"/>
      <c r="K11" s="1012"/>
    </row>
    <row r="12" ht="14" spans="1:11">
      <c r="A12" s="1012"/>
      <c r="B12" s="1012"/>
      <c r="C12" s="1012"/>
      <c r="D12" s="1012"/>
      <c r="E12" s="1012"/>
      <c r="F12" s="1012"/>
      <c r="G12" s="1012"/>
      <c r="H12" s="1012"/>
      <c r="I12" s="1012"/>
      <c r="J12" s="1012"/>
      <c r="K12" s="1012"/>
    </row>
    <row r="13" ht="14" spans="1:11">
      <c r="A13" s="1012"/>
      <c r="B13" s="1012"/>
      <c r="C13" s="1012"/>
      <c r="D13" s="1012"/>
      <c r="E13" s="1012"/>
      <c r="F13" s="1012"/>
      <c r="G13" s="1012"/>
      <c r="H13" s="1012"/>
      <c r="I13" s="1012"/>
      <c r="J13" s="1012"/>
      <c r="K13" s="1012"/>
    </row>
    <row r="14" ht="14" spans="1:11">
      <c r="A14" s="1012"/>
      <c r="B14" s="1012"/>
      <c r="C14" s="1012"/>
      <c r="D14" s="1012"/>
      <c r="E14" s="1012"/>
      <c r="F14" s="1012"/>
      <c r="G14" s="1012"/>
      <c r="H14" s="1012"/>
      <c r="I14" s="1012"/>
      <c r="J14" s="1012"/>
      <c r="K14" s="1012"/>
    </row>
    <row r="15" ht="14" spans="1:11">
      <c r="A15" s="1012"/>
      <c r="B15" s="1012"/>
      <c r="C15" s="1012"/>
      <c r="D15" s="1012"/>
      <c r="E15" s="1012"/>
      <c r="F15" s="1012"/>
      <c r="G15" s="1012"/>
      <c r="H15" s="1012"/>
      <c r="I15" s="1012"/>
      <c r="J15" s="1012"/>
      <c r="K15" s="1012"/>
    </row>
    <row r="16" ht="14" spans="1:11">
      <c r="A16" s="1012"/>
      <c r="B16" s="1012"/>
      <c r="C16" s="1012"/>
      <c r="D16" s="1012"/>
      <c r="E16" s="1012"/>
      <c r="F16" s="1012"/>
      <c r="G16" s="1012"/>
      <c r="H16" s="1012"/>
      <c r="I16" s="1012"/>
      <c r="J16" s="1012"/>
      <c r="K16" s="1012"/>
    </row>
    <row r="17" ht="14" spans="1:11">
      <c r="A17" s="1012"/>
      <c r="B17" s="1012"/>
      <c r="C17" s="1012"/>
      <c r="D17" s="1012"/>
      <c r="E17" s="1012"/>
      <c r="F17" s="1012"/>
      <c r="G17" s="1012"/>
      <c r="H17" s="1012"/>
      <c r="I17" s="1012"/>
      <c r="J17" s="1012"/>
      <c r="K17" s="1012"/>
    </row>
    <row r="18" ht="14" spans="1:11">
      <c r="A18" s="1012"/>
      <c r="B18" s="1012"/>
      <c r="C18" s="1012"/>
      <c r="D18" s="1012"/>
      <c r="E18" s="1012"/>
      <c r="F18" s="1012"/>
      <c r="G18" s="1012"/>
      <c r="H18" s="1012"/>
      <c r="I18" s="1012"/>
      <c r="J18" s="1012"/>
      <c r="K18" s="1012"/>
    </row>
    <row r="19" ht="14" spans="1:11">
      <c r="A19" s="1012"/>
      <c r="B19" s="1012"/>
      <c r="C19" s="1012"/>
      <c r="D19" s="1012"/>
      <c r="E19" s="1012"/>
      <c r="F19" s="1012"/>
      <c r="G19" s="1012"/>
      <c r="H19" s="1012"/>
      <c r="I19" s="1012"/>
      <c r="J19" s="1012"/>
      <c r="K19" s="1012"/>
    </row>
    <row r="20" ht="14" spans="1:11">
      <c r="A20" s="1012"/>
      <c r="B20" s="1012"/>
      <c r="C20" s="1012"/>
      <c r="D20" s="1012"/>
      <c r="E20" s="1012"/>
      <c r="F20" s="1012"/>
      <c r="G20" s="1012"/>
      <c r="H20" s="1012"/>
      <c r="I20" s="1012"/>
      <c r="J20" s="1012"/>
      <c r="K20" s="1012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7" sqref="I17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9"/>
  <sheetViews>
    <sheetView zoomScale="90" zoomScaleNormal="90" zoomScaleSheetLayoutView="50" workbookViewId="0">
      <pane xSplit="3" ySplit="7" topLeftCell="D12" activePane="bottomRight" state="frozen"/>
      <selection/>
      <selection pane="topRight"/>
      <selection pane="bottomLeft"/>
      <selection pane="bottomRight" activeCell="I17" sqref="I17"/>
    </sheetView>
  </sheetViews>
  <sheetFormatPr defaultColWidth="9.13636363636364" defaultRowHeight="20.1" customHeight="1"/>
  <cols>
    <col min="1" max="1" width="5.42727272727273" style="1" customWidth="1"/>
    <col min="2" max="2" width="41" style="1" customWidth="1"/>
    <col min="3" max="3" width="31.2090909090909" style="1" customWidth="1"/>
    <col min="4" max="4" width="12.7090909090909" style="1" customWidth="1"/>
    <col min="5" max="5" width="16.9090909090909" style="1" customWidth="1"/>
    <col min="6" max="7" width="16.4545454545455" style="1" customWidth="1"/>
    <col min="8" max="8" width="16.9090909090909" style="1" customWidth="1"/>
    <col min="9" max="9" width="12.5272727272727" style="1" customWidth="1"/>
    <col min="10" max="16384" width="9.13636363636364" style="1"/>
  </cols>
  <sheetData>
    <row r="1" ht="27" customHeight="1" spans="1:8">
      <c r="A1" s="370" t="s">
        <v>0</v>
      </c>
      <c r="B1" s="370"/>
      <c r="C1" s="370"/>
      <c r="D1" s="370"/>
      <c r="E1" s="370"/>
    </row>
    <row r="2" ht="33.75" customHeight="1" spans="1:8">
      <c r="A2" s="236" t="s">
        <v>499</v>
      </c>
      <c r="B2" s="77"/>
      <c r="C2" s="77"/>
      <c r="D2" s="76"/>
      <c r="E2" s="78"/>
    </row>
    <row r="3" ht="9.75" customHeight="1"/>
    <row r="4" ht="49.5" customHeight="1" spans="1:8">
      <c r="A4" s="4"/>
      <c r="B4" s="5" t="s">
        <v>2</v>
      </c>
      <c r="C4" s="6" t="s">
        <v>3</v>
      </c>
      <c r="D4" s="79" t="s">
        <v>4</v>
      </c>
      <c r="E4" s="80" t="s">
        <v>484</v>
      </c>
      <c r="F4" s="80" t="s">
        <v>500</v>
      </c>
      <c r="G4" s="80" t="s">
        <v>501</v>
      </c>
      <c r="H4" s="80" t="s">
        <v>502</v>
      </c>
    </row>
    <row r="5" ht="17.25" customHeight="1" spans="1:8">
      <c r="C5" s="81"/>
      <c r="D5" s="8"/>
      <c r="E5" s="82" t="s">
        <v>21</v>
      </c>
      <c r="F5" s="82" t="s">
        <v>21</v>
      </c>
      <c r="G5" s="82" t="s">
        <v>21</v>
      </c>
      <c r="H5" s="82" t="s">
        <v>21</v>
      </c>
    </row>
    <row r="6" customHeight="1" spans="1:8">
      <c r="A6" s="9" t="s">
        <v>22</v>
      </c>
      <c r="B6" s="8" t="s">
        <v>23</v>
      </c>
      <c r="C6" s="8"/>
      <c r="D6" s="8"/>
      <c r="E6" s="82"/>
      <c r="F6" s="21"/>
      <c r="G6" s="21"/>
      <c r="H6" s="82"/>
    </row>
    <row r="7" customHeight="1" spans="1:8">
      <c r="A7" s="10">
        <v>1</v>
      </c>
      <c r="B7" s="11" t="s">
        <v>24</v>
      </c>
      <c r="C7" s="12" t="s">
        <v>25</v>
      </c>
      <c r="D7" s="12" t="s">
        <v>26</v>
      </c>
      <c r="E7" s="85">
        <v>2000000</v>
      </c>
      <c r="F7" s="85"/>
      <c r="G7" s="85"/>
      <c r="H7" s="220">
        <f>E7</f>
        <v>2000000</v>
      </c>
    </row>
    <row r="8" customHeight="1" spans="1:8">
      <c r="A8" s="10">
        <v>2</v>
      </c>
      <c r="B8" s="11" t="s">
        <v>27</v>
      </c>
      <c r="C8" s="12" t="s">
        <v>28</v>
      </c>
      <c r="D8" s="10" t="s">
        <v>29</v>
      </c>
      <c r="E8" s="85">
        <v>350000</v>
      </c>
      <c r="F8" s="85"/>
      <c r="G8" s="85"/>
      <c r="H8" s="220">
        <f>E8</f>
        <v>350000</v>
      </c>
    </row>
    <row r="9" customHeight="1" spans="1:8">
      <c r="A9" s="10">
        <v>3</v>
      </c>
      <c r="B9" s="14" t="s">
        <v>30</v>
      </c>
      <c r="C9" s="4" t="s">
        <v>31</v>
      </c>
      <c r="D9" s="10" t="s">
        <v>29</v>
      </c>
      <c r="E9" s="85">
        <v>700000</v>
      </c>
      <c r="F9" s="85"/>
      <c r="G9" s="85"/>
      <c r="H9" s="220">
        <f>E9</f>
        <v>700000</v>
      </c>
    </row>
    <row r="10" customHeight="1" spans="1:8">
      <c r="A10" s="10">
        <v>4</v>
      </c>
      <c r="B10" s="11" t="s">
        <v>32</v>
      </c>
      <c r="C10" s="17" t="s">
        <v>33</v>
      </c>
      <c r="D10" s="10" t="s">
        <v>29</v>
      </c>
      <c r="E10" s="85">
        <v>700000</v>
      </c>
      <c r="F10" s="85"/>
      <c r="G10" s="85"/>
      <c r="H10" s="220">
        <f>E10</f>
        <v>700000</v>
      </c>
    </row>
    <row r="11" customHeight="1" spans="1:8">
      <c r="A11" s="10">
        <v>5</v>
      </c>
      <c r="B11" s="11" t="s">
        <v>34</v>
      </c>
      <c r="C11" s="12" t="s">
        <v>35</v>
      </c>
      <c r="D11" s="15" t="s">
        <v>36</v>
      </c>
      <c r="E11" s="85">
        <v>700000</v>
      </c>
      <c r="F11" s="85"/>
      <c r="G11" s="85"/>
      <c r="H11" s="220">
        <f t="shared" ref="H11:H17" si="0">E11</f>
        <v>700000</v>
      </c>
    </row>
    <row r="12" customHeight="1" spans="1:8">
      <c r="A12" s="10">
        <v>6</v>
      </c>
      <c r="B12" s="11" t="s">
        <v>37</v>
      </c>
      <c r="C12" s="4" t="s">
        <v>38</v>
      </c>
      <c r="D12" s="10" t="s">
        <v>39</v>
      </c>
      <c r="E12" s="85">
        <v>700000</v>
      </c>
      <c r="F12" s="85"/>
      <c r="G12" s="85"/>
      <c r="H12" s="220">
        <f t="shared" si="0"/>
        <v>700000</v>
      </c>
    </row>
    <row r="13" customHeight="1" spans="1:8">
      <c r="A13" s="10">
        <v>7</v>
      </c>
      <c r="B13" s="11" t="s">
        <v>40</v>
      </c>
      <c r="C13" s="4" t="s">
        <v>41</v>
      </c>
      <c r="D13" s="15" t="s">
        <v>42</v>
      </c>
      <c r="E13" s="85">
        <v>700000</v>
      </c>
      <c r="F13" s="85"/>
      <c r="G13" s="85"/>
      <c r="H13" s="220">
        <f t="shared" si="0"/>
        <v>700000</v>
      </c>
    </row>
    <row r="14" customHeight="1" spans="1:8">
      <c r="A14" s="10">
        <v>8</v>
      </c>
      <c r="B14" s="14" t="s">
        <v>43</v>
      </c>
      <c r="C14" s="17" t="s">
        <v>44</v>
      </c>
      <c r="D14" s="15" t="s">
        <v>39</v>
      </c>
      <c r="E14" s="85">
        <v>700000</v>
      </c>
      <c r="F14" s="85"/>
      <c r="G14" s="85"/>
      <c r="H14" s="220">
        <f t="shared" si="0"/>
        <v>700000</v>
      </c>
    </row>
    <row r="15" customHeight="1" spans="1:8">
      <c r="A15" s="10">
        <v>9</v>
      </c>
      <c r="B15" s="11" t="s">
        <v>45</v>
      </c>
      <c r="C15" s="4" t="s">
        <v>46</v>
      </c>
      <c r="D15" s="10" t="s">
        <v>47</v>
      </c>
      <c r="E15" s="85">
        <v>500000</v>
      </c>
      <c r="F15" s="85"/>
      <c r="G15" s="85">
        <f>E15</f>
        <v>500000</v>
      </c>
      <c r="H15" s="220"/>
    </row>
    <row r="16" customHeight="1" spans="1:8">
      <c r="A16" s="10">
        <v>10</v>
      </c>
      <c r="B16" s="11" t="s">
        <v>48</v>
      </c>
      <c r="C16" s="4" t="s">
        <v>49</v>
      </c>
      <c r="D16" s="10" t="s">
        <v>50</v>
      </c>
      <c r="E16" s="85">
        <v>700000</v>
      </c>
      <c r="F16" s="85"/>
      <c r="G16" s="85"/>
      <c r="H16" s="220">
        <f t="shared" si="0"/>
        <v>700000</v>
      </c>
    </row>
    <row r="17" customHeight="1" spans="1:8">
      <c r="A17" s="10">
        <v>11</v>
      </c>
      <c r="B17" s="11" t="s">
        <v>51</v>
      </c>
      <c r="C17" s="12" t="s">
        <v>52</v>
      </c>
      <c r="D17" s="10" t="s">
        <v>53</v>
      </c>
      <c r="E17" s="85">
        <v>500000</v>
      </c>
      <c r="F17" s="85"/>
      <c r="G17" s="85">
        <f t="shared" ref="G17:G24" si="1">E17</f>
        <v>500000</v>
      </c>
      <c r="H17" s="220"/>
    </row>
    <row r="18" customHeight="1" spans="1:8">
      <c r="A18" s="10">
        <v>12</v>
      </c>
      <c r="B18" s="18" t="s">
        <v>54</v>
      </c>
      <c r="C18" s="4" t="s">
        <v>55</v>
      </c>
      <c r="D18" s="15" t="s">
        <v>56</v>
      </c>
      <c r="E18" s="85">
        <v>500000</v>
      </c>
      <c r="F18" s="85"/>
      <c r="G18" s="85">
        <f t="shared" si="1"/>
        <v>500000</v>
      </c>
      <c r="H18" s="220"/>
    </row>
    <row r="19" customHeight="1" spans="1:8">
      <c r="A19" s="10">
        <v>13</v>
      </c>
      <c r="B19" s="18" t="s">
        <v>57</v>
      </c>
      <c r="C19" s="4" t="s">
        <v>58</v>
      </c>
      <c r="D19" s="15" t="s">
        <v>59</v>
      </c>
      <c r="E19" s="85">
        <v>250000</v>
      </c>
      <c r="F19" s="85"/>
      <c r="G19" s="85">
        <f t="shared" si="1"/>
        <v>250000</v>
      </c>
      <c r="H19" s="4"/>
    </row>
    <row r="20" customHeight="1" spans="1:8">
      <c r="A20" s="10">
        <v>14</v>
      </c>
      <c r="B20" s="18" t="s">
        <v>60</v>
      </c>
      <c r="C20" s="4" t="s">
        <v>61</v>
      </c>
      <c r="D20" s="15" t="s">
        <v>59</v>
      </c>
      <c r="E20" s="85">
        <v>500000</v>
      </c>
      <c r="F20" s="85"/>
      <c r="G20" s="85">
        <f t="shared" si="1"/>
        <v>500000</v>
      </c>
      <c r="H20" s="833"/>
    </row>
    <row r="21" customHeight="1" spans="1:8">
      <c r="A21" s="10">
        <v>15</v>
      </c>
      <c r="B21" s="11" t="s">
        <v>62</v>
      </c>
      <c r="C21" s="12" t="s">
        <v>63</v>
      </c>
      <c r="D21" s="15" t="s">
        <v>64</v>
      </c>
      <c r="E21" s="85">
        <v>500000</v>
      </c>
      <c r="F21" s="85"/>
      <c r="G21" s="85">
        <f t="shared" si="1"/>
        <v>500000</v>
      </c>
      <c r="H21" s="220"/>
    </row>
    <row r="22" ht="18.75" customHeight="1" spans="1:8">
      <c r="A22" s="10">
        <v>16</v>
      </c>
      <c r="B22" s="11" t="s">
        <v>65</v>
      </c>
      <c r="C22" s="4" t="s">
        <v>66</v>
      </c>
      <c r="D22" s="15" t="s">
        <v>67</v>
      </c>
      <c r="E22" s="85">
        <v>500000</v>
      </c>
      <c r="F22" s="85"/>
      <c r="G22" s="85">
        <f t="shared" si="1"/>
        <v>500000</v>
      </c>
      <c r="H22" s="220"/>
    </row>
    <row r="23" customHeight="1" spans="1:8">
      <c r="A23" s="10">
        <v>17</v>
      </c>
      <c r="B23" s="14" t="s">
        <v>68</v>
      </c>
      <c r="C23" s="17" t="s">
        <v>69</v>
      </c>
      <c r="D23" s="10" t="s">
        <v>70</v>
      </c>
      <c r="E23" s="85">
        <v>400000</v>
      </c>
      <c r="F23" s="85"/>
      <c r="G23" s="85">
        <f t="shared" si="1"/>
        <v>400000</v>
      </c>
      <c r="H23" s="220"/>
    </row>
    <row r="24" ht="21.6" customHeight="1" spans="1:8">
      <c r="A24" s="10">
        <v>18</v>
      </c>
      <c r="B24" s="11" t="s">
        <v>71</v>
      </c>
      <c r="C24" s="17" t="s">
        <v>72</v>
      </c>
      <c r="D24" s="15" t="s">
        <v>70</v>
      </c>
      <c r="E24" s="85">
        <v>400000</v>
      </c>
      <c r="F24" s="85"/>
      <c r="G24" s="85">
        <f t="shared" si="1"/>
        <v>400000</v>
      </c>
      <c r="H24" s="220"/>
    </row>
    <row r="25" customHeight="1" spans="1:8">
      <c r="A25" s="10">
        <v>19</v>
      </c>
      <c r="B25" s="14" t="s">
        <v>73</v>
      </c>
      <c r="C25" s="17" t="s">
        <v>74</v>
      </c>
      <c r="D25" s="10" t="s">
        <v>75</v>
      </c>
      <c r="E25" s="85">
        <v>300000</v>
      </c>
      <c r="F25" s="85">
        <f t="shared" ref="F19:F46" si="2">E25</f>
        <v>300000</v>
      </c>
      <c r="G25" s="85"/>
      <c r="H25" s="220"/>
    </row>
    <row r="26" customHeight="1" spans="1:8">
      <c r="A26" s="10">
        <v>20</v>
      </c>
      <c r="B26" s="14" t="s">
        <v>76</v>
      </c>
      <c r="C26" s="17" t="s">
        <v>77</v>
      </c>
      <c r="D26" s="10" t="s">
        <v>78</v>
      </c>
      <c r="E26" s="85">
        <v>300000</v>
      </c>
      <c r="F26" s="85">
        <f t="shared" si="2"/>
        <v>300000</v>
      </c>
      <c r="G26" s="85"/>
      <c r="H26" s="220"/>
    </row>
    <row r="27" ht="18.75" customHeight="1" spans="1:8">
      <c r="A27" s="10">
        <v>21</v>
      </c>
      <c r="B27" s="18" t="s">
        <v>79</v>
      </c>
      <c r="C27" s="12" t="s">
        <v>80</v>
      </c>
      <c r="D27" s="15" t="s">
        <v>81</v>
      </c>
      <c r="E27" s="85">
        <v>300000</v>
      </c>
      <c r="F27" s="85">
        <f t="shared" si="2"/>
        <v>300000</v>
      </c>
      <c r="G27" s="85"/>
      <c r="H27" s="220"/>
    </row>
    <row r="28" customHeight="1" spans="1:8">
      <c r="A28" s="10">
        <v>22</v>
      </c>
      <c r="B28" s="11" t="s">
        <v>82</v>
      </c>
      <c r="C28" s="4" t="s">
        <v>83</v>
      </c>
      <c r="D28" s="15" t="s">
        <v>75</v>
      </c>
      <c r="E28" s="85">
        <v>300000</v>
      </c>
      <c r="F28" s="85">
        <f t="shared" si="2"/>
        <v>300000</v>
      </c>
      <c r="G28" s="85"/>
      <c r="H28" s="220"/>
    </row>
    <row r="29" ht="18.75" customHeight="1" spans="1:8">
      <c r="A29" s="10">
        <v>23</v>
      </c>
      <c r="B29" s="18" t="s">
        <v>84</v>
      </c>
      <c r="C29" s="12" t="s">
        <v>85</v>
      </c>
      <c r="D29" s="15" t="s">
        <v>156</v>
      </c>
      <c r="E29" s="85">
        <v>300000</v>
      </c>
      <c r="F29" s="85">
        <f t="shared" si="2"/>
        <v>300000</v>
      </c>
      <c r="G29" s="85"/>
      <c r="H29" s="220"/>
    </row>
    <row r="30" ht="18.75" customHeight="1" spans="1:8">
      <c r="A30" s="10">
        <v>24</v>
      </c>
      <c r="B30" s="18" t="s">
        <v>87</v>
      </c>
      <c r="C30" s="4" t="s">
        <v>88</v>
      </c>
      <c r="D30" s="10" t="s">
        <v>86</v>
      </c>
      <c r="E30" s="85">
        <v>300000</v>
      </c>
      <c r="F30" s="85">
        <f t="shared" si="2"/>
        <v>300000</v>
      </c>
      <c r="G30" s="85"/>
      <c r="H30" s="220"/>
    </row>
    <row r="31" ht="18.75" customHeight="1" spans="1:8">
      <c r="A31" s="10">
        <v>25</v>
      </c>
      <c r="B31" s="18" t="s">
        <v>89</v>
      </c>
      <c r="C31" s="4" t="s">
        <v>90</v>
      </c>
      <c r="D31" s="15" t="s">
        <v>81</v>
      </c>
      <c r="E31" s="85">
        <v>300000</v>
      </c>
      <c r="F31" s="85">
        <f t="shared" si="2"/>
        <v>300000</v>
      </c>
      <c r="G31" s="85"/>
      <c r="H31" s="220"/>
    </row>
    <row r="32" ht="18.75" customHeight="1" spans="1:8">
      <c r="A32" s="10">
        <v>26</v>
      </c>
      <c r="B32" s="18" t="s">
        <v>91</v>
      </c>
      <c r="C32" s="4" t="s">
        <v>92</v>
      </c>
      <c r="D32" s="15" t="s">
        <v>81</v>
      </c>
      <c r="E32" s="85">
        <v>300000</v>
      </c>
      <c r="F32" s="85">
        <f t="shared" si="2"/>
        <v>300000</v>
      </c>
      <c r="G32" s="85"/>
      <c r="H32" s="220"/>
    </row>
    <row r="33" ht="18.75" customHeight="1" spans="1:8">
      <c r="A33" s="10">
        <v>27</v>
      </c>
      <c r="B33" s="18" t="s">
        <v>93</v>
      </c>
      <c r="C33" s="4" t="s">
        <v>94</v>
      </c>
      <c r="D33" s="10" t="s">
        <v>86</v>
      </c>
      <c r="E33" s="85">
        <v>300000</v>
      </c>
      <c r="F33" s="85">
        <f t="shared" si="2"/>
        <v>300000</v>
      </c>
      <c r="G33" s="85"/>
      <c r="H33" s="220"/>
    </row>
    <row r="34" ht="18.75" customHeight="1" spans="1:8">
      <c r="A34" s="10">
        <v>28</v>
      </c>
      <c r="B34" s="18" t="s">
        <v>95</v>
      </c>
      <c r="C34" s="4" t="s">
        <v>96</v>
      </c>
      <c r="D34" s="15" t="s">
        <v>81</v>
      </c>
      <c r="E34" s="85">
        <v>300000</v>
      </c>
      <c r="F34" s="85">
        <f t="shared" si="2"/>
        <v>300000</v>
      </c>
      <c r="G34" s="85"/>
      <c r="H34" s="220"/>
    </row>
    <row r="35" s="1" customFormat="1" ht="18.75" customHeight="1" spans="1:8">
      <c r="A35" s="10">
        <v>29</v>
      </c>
      <c r="B35" s="18" t="s">
        <v>97</v>
      </c>
      <c r="C35" s="4" t="s">
        <v>98</v>
      </c>
      <c r="D35" s="10" t="s">
        <v>99</v>
      </c>
      <c r="E35" s="85">
        <v>300000</v>
      </c>
      <c r="F35" s="85">
        <f t="shared" si="2"/>
        <v>300000</v>
      </c>
      <c r="G35" s="85"/>
      <c r="H35" s="220"/>
    </row>
    <row r="36" s="1" customFormat="1" ht="18.75" customHeight="1" spans="1:8">
      <c r="A36" s="10">
        <v>30</v>
      </c>
      <c r="B36" s="18" t="s">
        <v>100</v>
      </c>
      <c r="C36" s="4" t="s">
        <v>98</v>
      </c>
      <c r="D36" s="10" t="s">
        <v>99</v>
      </c>
      <c r="E36" s="85">
        <v>300000</v>
      </c>
      <c r="F36" s="85">
        <f t="shared" si="2"/>
        <v>300000</v>
      </c>
      <c r="G36" s="85"/>
      <c r="H36" s="220"/>
    </row>
    <row r="37" s="1" customFormat="1" ht="18.75" customHeight="1" spans="1:8">
      <c r="A37" s="10">
        <v>31</v>
      </c>
      <c r="B37" s="18" t="s">
        <v>101</v>
      </c>
      <c r="C37" s="4" t="s">
        <v>85</v>
      </c>
      <c r="D37" s="10" t="s">
        <v>99</v>
      </c>
      <c r="E37" s="85">
        <v>300000</v>
      </c>
      <c r="F37" s="85">
        <f t="shared" si="2"/>
        <v>300000</v>
      </c>
      <c r="G37" s="85"/>
      <c r="H37" s="220"/>
    </row>
    <row r="38" s="1" customFormat="1" ht="18.75" customHeight="1" spans="1:8">
      <c r="A38" s="10">
        <v>32</v>
      </c>
      <c r="B38" s="18" t="s">
        <v>102</v>
      </c>
      <c r="C38" s="4" t="s">
        <v>94</v>
      </c>
      <c r="D38" s="10" t="s">
        <v>99</v>
      </c>
      <c r="E38" s="85">
        <v>300000</v>
      </c>
      <c r="F38" s="85">
        <f t="shared" si="2"/>
        <v>300000</v>
      </c>
      <c r="G38" s="85"/>
      <c r="H38" s="220"/>
    </row>
    <row r="39" ht="18.75" customHeight="1" spans="1:8">
      <c r="A39" s="10">
        <v>33</v>
      </c>
      <c r="B39" s="18" t="s">
        <v>103</v>
      </c>
      <c r="C39" s="12" t="s">
        <v>104</v>
      </c>
      <c r="D39" s="15" t="s">
        <v>105</v>
      </c>
      <c r="E39" s="85">
        <v>300000</v>
      </c>
      <c r="F39" s="85">
        <f t="shared" si="2"/>
        <v>300000</v>
      </c>
      <c r="G39" s="85"/>
      <c r="H39" s="220"/>
    </row>
    <row r="40" ht="18.75" customHeight="1" spans="1:8">
      <c r="A40" s="10">
        <v>34</v>
      </c>
      <c r="B40" s="18" t="s">
        <v>106</v>
      </c>
      <c r="C40" s="12" t="s">
        <v>107</v>
      </c>
      <c r="D40" s="15" t="s">
        <v>108</v>
      </c>
      <c r="E40" s="85">
        <v>300000</v>
      </c>
      <c r="F40" s="85">
        <f t="shared" si="2"/>
        <v>300000</v>
      </c>
      <c r="G40" s="85"/>
      <c r="H40" s="220"/>
    </row>
    <row r="41" s="1" customFormat="1" customHeight="1" spans="1:8">
      <c r="A41" s="10">
        <v>35</v>
      </c>
      <c r="B41" s="18" t="s">
        <v>109</v>
      </c>
      <c r="C41" s="12" t="s">
        <v>110</v>
      </c>
      <c r="D41" s="15" t="s">
        <v>111</v>
      </c>
      <c r="E41" s="85">
        <v>300000</v>
      </c>
      <c r="F41" s="85">
        <f t="shared" si="2"/>
        <v>300000</v>
      </c>
      <c r="G41" s="85"/>
      <c r="H41" s="220"/>
    </row>
    <row r="42" s="1" customFormat="1" customHeight="1" spans="1:8">
      <c r="A42" s="10">
        <v>36</v>
      </c>
      <c r="B42" s="18" t="s">
        <v>112</v>
      </c>
      <c r="C42" s="12" t="s">
        <v>113</v>
      </c>
      <c r="D42" s="15" t="s">
        <v>111</v>
      </c>
      <c r="E42" s="85">
        <v>300000</v>
      </c>
      <c r="F42" s="85">
        <f t="shared" si="2"/>
        <v>300000</v>
      </c>
      <c r="G42" s="85"/>
      <c r="H42" s="220"/>
    </row>
    <row r="43" s="1" customFormat="1" customHeight="1" spans="1:8">
      <c r="A43" s="10">
        <v>37</v>
      </c>
      <c r="B43" s="18" t="s">
        <v>114</v>
      </c>
      <c r="C43" s="12" t="s">
        <v>113</v>
      </c>
      <c r="D43" s="15" t="s">
        <v>111</v>
      </c>
      <c r="E43" s="85">
        <v>300000</v>
      </c>
      <c r="F43" s="85">
        <f t="shared" si="2"/>
        <v>300000</v>
      </c>
      <c r="G43" s="85"/>
      <c r="H43" s="220"/>
    </row>
    <row r="44" s="1" customFormat="1" customHeight="1" spans="1:8">
      <c r="A44" s="10">
        <v>38</v>
      </c>
      <c r="B44" s="18" t="s">
        <v>115</v>
      </c>
      <c r="C44" s="12" t="s">
        <v>116</v>
      </c>
      <c r="D44" s="15" t="s">
        <v>111</v>
      </c>
      <c r="E44" s="85">
        <v>300000</v>
      </c>
      <c r="F44" s="85">
        <f t="shared" si="2"/>
        <v>300000</v>
      </c>
      <c r="G44" s="85"/>
      <c r="H44" s="220"/>
    </row>
    <row r="45" s="1" customFormat="1" customHeight="1" spans="1:8">
      <c r="A45" s="10">
        <v>39</v>
      </c>
      <c r="B45" s="18" t="s">
        <v>117</v>
      </c>
      <c r="C45" s="12" t="s">
        <v>113</v>
      </c>
      <c r="D45" s="15" t="s">
        <v>111</v>
      </c>
      <c r="E45" s="85">
        <v>300000</v>
      </c>
      <c r="F45" s="85">
        <f t="shared" si="2"/>
        <v>300000</v>
      </c>
      <c r="G45" s="85"/>
      <c r="H45" s="220"/>
    </row>
    <row r="46" s="1" customFormat="1" customHeight="1" spans="1:8">
      <c r="A46" s="10">
        <v>40</v>
      </c>
      <c r="B46" s="18" t="s">
        <v>118</v>
      </c>
      <c r="C46" s="12" t="s">
        <v>119</v>
      </c>
      <c r="D46" s="15" t="s">
        <v>111</v>
      </c>
      <c r="E46" s="85">
        <v>300000</v>
      </c>
      <c r="F46" s="85">
        <f t="shared" si="2"/>
        <v>300000</v>
      </c>
      <c r="G46" s="85"/>
      <c r="H46" s="220"/>
    </row>
    <row r="47" ht="26.25" customHeight="1" spans="1:8">
      <c r="A47" s="10"/>
      <c r="B47" s="20" t="s">
        <v>120</v>
      </c>
      <c r="C47" s="21">
        <v>40</v>
      </c>
      <c r="D47" s="15"/>
      <c r="E47" s="221">
        <f>SUM(E7:E46)</f>
        <v>17900000</v>
      </c>
      <c r="F47" s="221">
        <f>SUM(F7:F46)</f>
        <v>6600000</v>
      </c>
      <c r="G47" s="221">
        <f>SUM(G7:G46)</f>
        <v>4050000</v>
      </c>
      <c r="H47" s="221">
        <f>SUM(H7:H46)</f>
        <v>7250000</v>
      </c>
    </row>
    <row r="48" ht="18.75" customHeight="1" spans="1:8">
      <c r="A48" s="10"/>
      <c r="B48" s="22"/>
      <c r="C48" s="4"/>
      <c r="D48" s="15"/>
      <c r="E48" s="221"/>
      <c r="F48" s="221"/>
      <c r="G48" s="221"/>
      <c r="H48" s="220"/>
    </row>
    <row r="49" ht="18.75" customHeight="1" spans="1:8">
      <c r="A49" s="10"/>
      <c r="B49" s="20" t="s">
        <v>121</v>
      </c>
      <c r="C49" s="4"/>
      <c r="D49" s="15"/>
      <c r="E49" s="85"/>
      <c r="F49" s="85"/>
      <c r="G49" s="85"/>
      <c r="H49" s="220"/>
    </row>
    <row r="50" ht="18.75" customHeight="1" spans="1:8">
      <c r="A50" s="10">
        <v>1</v>
      </c>
      <c r="B50" s="18" t="s">
        <v>122</v>
      </c>
      <c r="C50" s="4" t="s">
        <v>123</v>
      </c>
      <c r="D50" s="10" t="s">
        <v>124</v>
      </c>
      <c r="E50" s="85">
        <v>1000000</v>
      </c>
      <c r="F50" s="85"/>
      <c r="G50" s="85"/>
      <c r="H50" s="220">
        <f>E50</f>
        <v>1000000</v>
      </c>
    </row>
    <row r="51" customHeight="1" spans="1:8">
      <c r="A51" s="10">
        <v>2</v>
      </c>
      <c r="B51" s="11" t="s">
        <v>125</v>
      </c>
      <c r="C51" s="12" t="s">
        <v>126</v>
      </c>
      <c r="D51" s="15" t="s">
        <v>50</v>
      </c>
      <c r="E51" s="85">
        <v>700000</v>
      </c>
      <c r="F51" s="85"/>
      <c r="G51" s="85"/>
      <c r="H51" s="220">
        <f>E51</f>
        <v>700000</v>
      </c>
    </row>
    <row r="52" ht="18.75" customHeight="1" spans="1:8">
      <c r="A52" s="10">
        <v>3</v>
      </c>
      <c r="B52" s="18" t="s">
        <v>127</v>
      </c>
      <c r="C52" s="4" t="s">
        <v>128</v>
      </c>
      <c r="D52" s="10" t="s">
        <v>78</v>
      </c>
      <c r="E52" s="85">
        <v>300000</v>
      </c>
      <c r="F52" s="85">
        <f>E52</f>
        <v>300000</v>
      </c>
      <c r="G52" s="85"/>
      <c r="H52" s="220"/>
    </row>
    <row r="53" ht="18.75" customHeight="1" spans="1:8">
      <c r="A53" s="10">
        <v>4</v>
      </c>
      <c r="B53" s="11" t="s">
        <v>129</v>
      </c>
      <c r="C53" s="4" t="s">
        <v>130</v>
      </c>
      <c r="D53" s="15" t="s">
        <v>131</v>
      </c>
      <c r="E53" s="220">
        <v>400000</v>
      </c>
      <c r="F53" s="85"/>
      <c r="G53" s="85">
        <f>E53</f>
        <v>400000</v>
      </c>
      <c r="H53" s="220"/>
    </row>
    <row r="54" s="1" customFormat="1" customHeight="1" spans="1:8">
      <c r="A54" s="10">
        <v>5</v>
      </c>
      <c r="B54" s="18" t="s">
        <v>132</v>
      </c>
      <c r="C54" s="4" t="s">
        <v>128</v>
      </c>
      <c r="D54" s="15" t="s">
        <v>99</v>
      </c>
      <c r="E54" s="85">
        <v>300000</v>
      </c>
      <c r="F54" s="85">
        <f>E54</f>
        <v>300000</v>
      </c>
      <c r="G54" s="85"/>
      <c r="H54" s="220"/>
    </row>
    <row r="55" ht="18.75" customHeight="1" spans="1:8">
      <c r="A55" s="10">
        <v>6</v>
      </c>
      <c r="B55" s="11" t="s">
        <v>133</v>
      </c>
      <c r="C55" s="4" t="s">
        <v>134</v>
      </c>
      <c r="D55" s="15" t="s">
        <v>86</v>
      </c>
      <c r="E55" s="85">
        <v>300000</v>
      </c>
      <c r="F55" s="85">
        <f>E55</f>
        <v>300000</v>
      </c>
      <c r="G55" s="85"/>
      <c r="H55" s="220"/>
    </row>
    <row r="56" s="1" customFormat="1" customHeight="1" spans="1:8">
      <c r="A56" s="10">
        <v>7</v>
      </c>
      <c r="B56" s="18" t="s">
        <v>135</v>
      </c>
      <c r="C56" s="12" t="s">
        <v>136</v>
      </c>
      <c r="D56" s="15" t="s">
        <v>111</v>
      </c>
      <c r="E56" s="85">
        <v>300000</v>
      </c>
      <c r="F56" s="85">
        <f>E56</f>
        <v>300000</v>
      </c>
      <c r="G56" s="85"/>
      <c r="H56" s="220"/>
    </row>
    <row r="57" ht="19.5" customHeight="1" spans="1:8">
      <c r="A57" s="10"/>
      <c r="B57" s="14"/>
      <c r="C57" s="21">
        <v>7</v>
      </c>
      <c r="D57" s="10"/>
      <c r="E57" s="221">
        <f>SUM(E50:E56)</f>
        <v>3300000</v>
      </c>
      <c r="F57" s="221">
        <f>SUM(F50:F56)</f>
        <v>1200000</v>
      </c>
      <c r="G57" s="221">
        <f>SUM(G50:G56)</f>
        <v>400000</v>
      </c>
      <c r="H57" s="221">
        <f>SUM(H50:H56)</f>
        <v>1700000</v>
      </c>
    </row>
    <row r="58" customHeight="1" spans="1:8">
      <c r="A58" s="10"/>
      <c r="B58" s="14"/>
      <c r="C58" s="4"/>
      <c r="D58" s="10"/>
      <c r="E58" s="221"/>
      <c r="F58" s="221"/>
      <c r="G58" s="221"/>
      <c r="H58" s="220"/>
    </row>
    <row r="59" customHeight="1" spans="1:8">
      <c r="A59" s="10"/>
      <c r="B59" s="23" t="s">
        <v>137</v>
      </c>
      <c r="C59" s="5"/>
      <c r="D59" s="24"/>
      <c r="E59" s="221"/>
      <c r="F59" s="221"/>
      <c r="G59" s="221"/>
      <c r="H59" s="220"/>
    </row>
    <row r="60" customHeight="1" spans="1:8">
      <c r="A60" s="10">
        <v>1</v>
      </c>
      <c r="B60" s="11" t="s">
        <v>138</v>
      </c>
      <c r="C60" s="4" t="s">
        <v>139</v>
      </c>
      <c r="D60" s="10" t="s">
        <v>140</v>
      </c>
      <c r="E60" s="85">
        <v>1000000</v>
      </c>
      <c r="F60" s="85"/>
      <c r="G60" s="85"/>
      <c r="H60" s="220">
        <f t="shared" ref="H60:H65" si="3">E60</f>
        <v>1000000</v>
      </c>
    </row>
    <row r="61" customHeight="1" spans="1:8">
      <c r="A61" s="10">
        <v>2</v>
      </c>
      <c r="B61" s="11" t="s">
        <v>141</v>
      </c>
      <c r="C61" s="4" t="s">
        <v>142</v>
      </c>
      <c r="D61" s="10" t="s">
        <v>143</v>
      </c>
      <c r="E61" s="85">
        <v>700000</v>
      </c>
      <c r="F61" s="85"/>
      <c r="G61" s="85"/>
      <c r="H61" s="220">
        <f t="shared" si="3"/>
        <v>700000</v>
      </c>
    </row>
    <row r="62" customHeight="1" spans="1:8">
      <c r="A62" s="10">
        <v>3</v>
      </c>
      <c r="B62" s="11" t="s">
        <v>144</v>
      </c>
      <c r="C62" s="4" t="s">
        <v>145</v>
      </c>
      <c r="D62" s="10" t="s">
        <v>39</v>
      </c>
      <c r="E62" s="85">
        <v>700000</v>
      </c>
      <c r="F62" s="85"/>
      <c r="G62" s="85"/>
      <c r="H62" s="220">
        <f t="shared" si="3"/>
        <v>700000</v>
      </c>
    </row>
    <row r="63" customHeight="1" spans="1:8">
      <c r="A63" s="10">
        <v>4</v>
      </c>
      <c r="B63" s="11" t="s">
        <v>146</v>
      </c>
      <c r="C63" s="4" t="s">
        <v>145</v>
      </c>
      <c r="D63" s="10" t="s">
        <v>39</v>
      </c>
      <c r="E63" s="85">
        <v>700000</v>
      </c>
      <c r="F63" s="85"/>
      <c r="G63" s="85"/>
      <c r="H63" s="220">
        <f t="shared" si="3"/>
        <v>700000</v>
      </c>
    </row>
    <row r="64" customHeight="1" spans="1:8">
      <c r="A64" s="10">
        <v>5</v>
      </c>
      <c r="B64" s="14" t="s">
        <v>147</v>
      </c>
      <c r="C64" s="4" t="s">
        <v>145</v>
      </c>
      <c r="D64" s="10" t="s">
        <v>50</v>
      </c>
      <c r="E64" s="85">
        <v>700000</v>
      </c>
      <c r="F64" s="85"/>
      <c r="G64" s="85"/>
      <c r="H64" s="220">
        <f t="shared" si="3"/>
        <v>700000</v>
      </c>
    </row>
    <row r="65" customFormat="1" customHeight="1" spans="1:8">
      <c r="A65" s="10">
        <v>6</v>
      </c>
      <c r="B65" s="14" t="s">
        <v>148</v>
      </c>
      <c r="C65" s="4" t="s">
        <v>145</v>
      </c>
      <c r="D65" s="10" t="s">
        <v>50</v>
      </c>
      <c r="E65" s="85">
        <v>700000</v>
      </c>
      <c r="F65" s="85"/>
      <c r="G65" s="85"/>
      <c r="H65" s="220">
        <f t="shared" si="3"/>
        <v>700000</v>
      </c>
    </row>
    <row r="66" s="1" customFormat="1" customHeight="1" spans="1:8">
      <c r="A66" s="10">
        <v>7</v>
      </c>
      <c r="B66" s="18" t="s">
        <v>149</v>
      </c>
      <c r="C66" s="4" t="s">
        <v>150</v>
      </c>
      <c r="D66" s="15" t="s">
        <v>131</v>
      </c>
      <c r="E66" s="220">
        <v>400000</v>
      </c>
      <c r="F66" s="85"/>
      <c r="G66" s="85">
        <f>E66</f>
        <v>400000</v>
      </c>
      <c r="H66" s="220"/>
    </row>
    <row r="67" customHeight="1" spans="1:8">
      <c r="A67" s="10">
        <v>8</v>
      </c>
      <c r="B67" s="11" t="s">
        <v>151</v>
      </c>
      <c r="C67" s="4" t="s">
        <v>152</v>
      </c>
      <c r="D67" s="10" t="s">
        <v>153</v>
      </c>
      <c r="E67" s="85">
        <v>300000</v>
      </c>
      <c r="F67" s="85">
        <f t="shared" ref="F66:F71" si="4">E67</f>
        <v>300000</v>
      </c>
      <c r="G67" s="85"/>
      <c r="H67" s="220"/>
    </row>
    <row r="68" s="1" customFormat="1" customHeight="1" spans="1:8">
      <c r="A68" s="10">
        <v>9</v>
      </c>
      <c r="B68" s="11" t="s">
        <v>154</v>
      </c>
      <c r="C68" s="4" t="s">
        <v>83</v>
      </c>
      <c r="D68" s="10" t="s">
        <v>75</v>
      </c>
      <c r="E68" s="85">
        <v>300000</v>
      </c>
      <c r="F68" s="85">
        <f t="shared" si="4"/>
        <v>300000</v>
      </c>
      <c r="G68" s="85"/>
      <c r="H68" s="220"/>
    </row>
    <row r="69" customHeight="1" spans="1:8">
      <c r="A69" s="10">
        <v>10</v>
      </c>
      <c r="B69" s="11" t="s">
        <v>155</v>
      </c>
      <c r="C69" s="4" t="s">
        <v>152</v>
      </c>
      <c r="D69" s="10" t="s">
        <v>156</v>
      </c>
      <c r="E69" s="85">
        <v>300000</v>
      </c>
      <c r="F69" s="85">
        <f t="shared" si="4"/>
        <v>300000</v>
      </c>
      <c r="G69" s="85"/>
      <c r="H69" s="220"/>
    </row>
    <row r="70" customHeight="1" spans="1:8">
      <c r="A70" s="10">
        <v>11</v>
      </c>
      <c r="B70" s="11" t="s">
        <v>157</v>
      </c>
      <c r="C70" s="4" t="s">
        <v>152</v>
      </c>
      <c r="D70" s="10" t="s">
        <v>156</v>
      </c>
      <c r="E70" s="85">
        <v>300000</v>
      </c>
      <c r="F70" s="85">
        <f t="shared" si="4"/>
        <v>300000</v>
      </c>
      <c r="G70" s="85"/>
      <c r="H70" s="220"/>
    </row>
    <row r="71" s="1" customFormat="1" ht="18.75" customHeight="1" spans="1:8">
      <c r="A71" s="10">
        <v>12</v>
      </c>
      <c r="B71" s="18" t="s">
        <v>158</v>
      </c>
      <c r="C71" s="4" t="s">
        <v>152</v>
      </c>
      <c r="D71" s="10" t="s">
        <v>99</v>
      </c>
      <c r="E71" s="85">
        <v>300000</v>
      </c>
      <c r="F71" s="85">
        <f t="shared" si="4"/>
        <v>300000</v>
      </c>
      <c r="G71" s="85"/>
      <c r="H71" s="220"/>
    </row>
    <row r="72" ht="25.5" customHeight="1" spans="1:8">
      <c r="A72" s="10"/>
      <c r="B72" s="20" t="s">
        <v>120</v>
      </c>
      <c r="C72" s="21">
        <v>12</v>
      </c>
      <c r="D72" s="21"/>
      <c r="E72" s="93">
        <f>SUM(E60:E71)</f>
        <v>6400000</v>
      </c>
      <c r="F72" s="93">
        <f>SUM(F60:F71)</f>
        <v>1500000</v>
      </c>
      <c r="G72" s="93">
        <f>SUM(G60:G71)</f>
        <v>400000</v>
      </c>
      <c r="H72" s="93">
        <f>SUM(H60:H71)</f>
        <v>4500000</v>
      </c>
    </row>
    <row r="73" customHeight="1" spans="1:8">
      <c r="A73" s="10"/>
      <c r="B73" s="22"/>
      <c r="C73" s="21"/>
      <c r="D73" s="21"/>
      <c r="E73" s="156"/>
      <c r="F73" s="156"/>
      <c r="G73" s="156"/>
      <c r="H73" s="220"/>
    </row>
    <row r="74" customHeight="1" spans="1:8">
      <c r="A74" s="10"/>
      <c r="B74" s="20" t="s">
        <v>159</v>
      </c>
      <c r="C74" s="21"/>
      <c r="D74" s="21"/>
      <c r="E74" s="156"/>
      <c r="F74" s="156"/>
      <c r="G74" s="156"/>
      <c r="H74" s="220"/>
    </row>
    <row r="75" customHeight="1" spans="1:8">
      <c r="A75" s="10">
        <v>1</v>
      </c>
      <c r="B75" s="11" t="s">
        <v>160</v>
      </c>
      <c r="C75" s="12" t="s">
        <v>161</v>
      </c>
      <c r="D75" s="15" t="s">
        <v>124</v>
      </c>
      <c r="E75" s="85">
        <v>500000</v>
      </c>
      <c r="F75" s="85"/>
      <c r="G75" s="85"/>
      <c r="H75" s="220">
        <f>E75</f>
        <v>500000</v>
      </c>
    </row>
    <row r="76" customHeight="1" spans="1:8">
      <c r="A76" s="10">
        <v>2</v>
      </c>
      <c r="B76" s="11" t="s">
        <v>162</v>
      </c>
      <c r="C76" s="12" t="s">
        <v>503</v>
      </c>
      <c r="D76" s="15" t="s">
        <v>504</v>
      </c>
      <c r="E76" s="85">
        <v>700000</v>
      </c>
      <c r="F76" s="85"/>
      <c r="G76" s="85"/>
      <c r="H76" s="220">
        <f>E76</f>
        <v>700000</v>
      </c>
    </row>
    <row r="77" customHeight="1" spans="1:8">
      <c r="A77" s="10"/>
      <c r="B77" s="20" t="s">
        <v>120</v>
      </c>
      <c r="C77" s="21">
        <v>2</v>
      </c>
      <c r="D77" s="21"/>
      <c r="E77" s="93">
        <f>SUM(E75:E76)</f>
        <v>1200000</v>
      </c>
      <c r="F77" s="93">
        <f>SUM(F75:F76)</f>
        <v>0</v>
      </c>
      <c r="G77" s="93"/>
      <c r="H77" s="93">
        <f>SUM(H75:H76)</f>
        <v>1200000</v>
      </c>
    </row>
    <row r="78" customHeight="1" spans="1:8">
      <c r="A78" s="10"/>
      <c r="B78" s="20"/>
      <c r="C78" s="21"/>
      <c r="D78" s="21"/>
      <c r="E78" s="156"/>
      <c r="F78" s="156"/>
      <c r="G78" s="156"/>
      <c r="H78" s="220"/>
    </row>
    <row r="79" customHeight="1" spans="1:8">
      <c r="A79" s="10"/>
      <c r="B79" s="20" t="s">
        <v>164</v>
      </c>
      <c r="C79" s="21"/>
      <c r="D79" s="21"/>
      <c r="E79" s="156"/>
      <c r="F79" s="156"/>
      <c r="G79" s="156"/>
      <c r="H79" s="220"/>
    </row>
    <row r="80" customHeight="1" spans="1:8">
      <c r="A80" s="10">
        <v>1</v>
      </c>
      <c r="B80" s="14" t="s">
        <v>165</v>
      </c>
      <c r="C80" s="4" t="s">
        <v>166</v>
      </c>
      <c r="D80" s="10" t="s">
        <v>36</v>
      </c>
      <c r="E80" s="85">
        <v>1000000</v>
      </c>
      <c r="F80" s="85"/>
      <c r="G80" s="85"/>
      <c r="H80" s="220">
        <f>E80</f>
        <v>1000000</v>
      </c>
    </row>
    <row r="81" customHeight="1" spans="1:8">
      <c r="A81" s="10">
        <v>2</v>
      </c>
      <c r="B81" s="11" t="s">
        <v>167</v>
      </c>
      <c r="C81" s="4" t="s">
        <v>52</v>
      </c>
      <c r="D81" s="10" t="s">
        <v>47</v>
      </c>
      <c r="E81" s="85">
        <v>500000</v>
      </c>
      <c r="F81" s="85"/>
      <c r="G81" s="85">
        <f>E81</f>
        <v>500000</v>
      </c>
      <c r="H81" s="220"/>
    </row>
    <row r="82" s="1" customFormat="1" customHeight="1" spans="1:8">
      <c r="A82" s="10">
        <v>3</v>
      </c>
      <c r="B82" s="18" t="s">
        <v>168</v>
      </c>
      <c r="C82" s="17" t="s">
        <v>217</v>
      </c>
      <c r="D82" s="15" t="s">
        <v>64</v>
      </c>
      <c r="E82" s="85">
        <v>500000</v>
      </c>
      <c r="F82" s="85"/>
      <c r="G82" s="85">
        <f t="shared" ref="G82:G89" si="5">E82</f>
        <v>500000</v>
      </c>
      <c r="H82" s="220"/>
    </row>
    <row r="83" s="1" customFormat="1" customHeight="1" spans="1:8">
      <c r="A83" s="10">
        <v>4</v>
      </c>
      <c r="B83" s="18" t="s">
        <v>170</v>
      </c>
      <c r="C83" s="17" t="s">
        <v>217</v>
      </c>
      <c r="D83" s="15" t="s">
        <v>64</v>
      </c>
      <c r="E83" s="85">
        <v>500000</v>
      </c>
      <c r="F83" s="85"/>
      <c r="G83" s="85">
        <f t="shared" si="5"/>
        <v>500000</v>
      </c>
      <c r="H83" s="220"/>
    </row>
    <row r="84" customHeight="1" spans="1:8">
      <c r="A84" s="10">
        <v>5</v>
      </c>
      <c r="B84" s="11" t="s">
        <v>171</v>
      </c>
      <c r="C84" s="4" t="s">
        <v>152</v>
      </c>
      <c r="D84" s="10" t="s">
        <v>173</v>
      </c>
      <c r="E84" s="85">
        <v>400000</v>
      </c>
      <c r="F84" s="85"/>
      <c r="G84" s="85">
        <f t="shared" si="5"/>
        <v>400000</v>
      </c>
      <c r="H84" s="220"/>
    </row>
    <row r="85" customHeight="1" spans="1:8">
      <c r="A85" s="10">
        <v>6</v>
      </c>
      <c r="B85" s="11" t="s">
        <v>172</v>
      </c>
      <c r="C85" s="17" t="s">
        <v>72</v>
      </c>
      <c r="D85" s="10" t="s">
        <v>173</v>
      </c>
      <c r="E85" s="85">
        <v>400000</v>
      </c>
      <c r="F85" s="85"/>
      <c r="G85" s="85">
        <f t="shared" si="5"/>
        <v>400000</v>
      </c>
      <c r="H85" s="220"/>
    </row>
    <row r="86" customHeight="1" spans="1:8">
      <c r="A86" s="10">
        <v>7</v>
      </c>
      <c r="B86" s="11" t="s">
        <v>174</v>
      </c>
      <c r="C86" s="17" t="s">
        <v>72</v>
      </c>
      <c r="D86" s="10" t="s">
        <v>173</v>
      </c>
      <c r="E86" s="85">
        <v>400000</v>
      </c>
      <c r="F86" s="85"/>
      <c r="G86" s="85">
        <f t="shared" si="5"/>
        <v>400000</v>
      </c>
      <c r="H86" s="220"/>
    </row>
    <row r="87" customHeight="1" spans="1:8">
      <c r="A87" s="10">
        <v>8</v>
      </c>
      <c r="B87" s="11" t="s">
        <v>175</v>
      </c>
      <c r="C87" s="4" t="s">
        <v>176</v>
      </c>
      <c r="D87" s="15" t="s">
        <v>67</v>
      </c>
      <c r="E87" s="85">
        <v>500000</v>
      </c>
      <c r="F87" s="85"/>
      <c r="G87" s="85">
        <f t="shared" si="5"/>
        <v>500000</v>
      </c>
      <c r="H87" s="220"/>
    </row>
    <row r="88" s="1" customFormat="1" customHeight="1" spans="1:8">
      <c r="A88" s="10">
        <v>9</v>
      </c>
      <c r="B88" s="14" t="s">
        <v>177</v>
      </c>
      <c r="C88" s="17" t="s">
        <v>178</v>
      </c>
      <c r="D88" s="10" t="s">
        <v>131</v>
      </c>
      <c r="E88" s="85">
        <v>400000</v>
      </c>
      <c r="F88" s="85"/>
      <c r="G88" s="85">
        <f t="shared" si="5"/>
        <v>400000</v>
      </c>
      <c r="H88" s="220"/>
    </row>
    <row r="89" ht="21.6" customHeight="1" spans="1:8">
      <c r="A89" s="10">
        <v>10</v>
      </c>
      <c r="B89" s="11" t="s">
        <v>179</v>
      </c>
      <c r="C89" s="4" t="s">
        <v>152</v>
      </c>
      <c r="D89" s="10" t="s">
        <v>131</v>
      </c>
      <c r="E89" s="85">
        <v>400000</v>
      </c>
      <c r="F89" s="85"/>
      <c r="G89" s="85">
        <f t="shared" si="5"/>
        <v>400000</v>
      </c>
      <c r="H89" s="220"/>
    </row>
    <row r="90" s="1" customFormat="1" ht="18.75" customHeight="1" spans="1:8">
      <c r="A90" s="10">
        <v>11</v>
      </c>
      <c r="B90" s="18" t="s">
        <v>181</v>
      </c>
      <c r="C90" s="4" t="s">
        <v>182</v>
      </c>
      <c r="D90" s="10" t="s">
        <v>99</v>
      </c>
      <c r="E90" s="85">
        <v>300000</v>
      </c>
      <c r="F90" s="85">
        <f>E90</f>
        <v>300000</v>
      </c>
      <c r="G90" s="85"/>
      <c r="H90" s="220"/>
    </row>
    <row r="91" ht="27" customHeight="1" spans="1:8">
      <c r="A91" s="10"/>
      <c r="B91" s="20" t="s">
        <v>120</v>
      </c>
      <c r="C91" s="21">
        <v>11</v>
      </c>
      <c r="D91" s="21"/>
      <c r="E91" s="93">
        <f>SUM(E80:E90)</f>
        <v>5300000</v>
      </c>
      <c r="F91" s="93">
        <f>SUM(F80:F90)</f>
        <v>300000</v>
      </c>
      <c r="G91" s="93">
        <f>SUM(G80:G90)</f>
        <v>4000000</v>
      </c>
      <c r="H91" s="93">
        <f>SUM(H80:H90)</f>
        <v>1000000</v>
      </c>
    </row>
    <row r="92" customHeight="1" spans="1:8">
      <c r="A92" s="10"/>
      <c r="B92" s="22"/>
      <c r="C92" s="21"/>
      <c r="D92" s="21"/>
      <c r="E92" s="156"/>
      <c r="F92" s="156"/>
      <c r="G92" s="156"/>
      <c r="H92" s="220"/>
    </row>
    <row r="93" customHeight="1" spans="1:8">
      <c r="A93" s="10"/>
      <c r="B93" s="20" t="s">
        <v>183</v>
      </c>
      <c r="C93" s="21"/>
      <c r="D93" s="21"/>
      <c r="E93" s="156"/>
      <c r="F93" s="156"/>
      <c r="G93" s="156"/>
      <c r="H93" s="220"/>
    </row>
    <row r="94" customHeight="1" spans="1:8">
      <c r="A94" s="10">
        <v>1</v>
      </c>
      <c r="B94" s="11" t="s">
        <v>184</v>
      </c>
      <c r="C94" s="4" t="s">
        <v>185</v>
      </c>
      <c r="D94" s="10" t="s">
        <v>124</v>
      </c>
      <c r="E94" s="85">
        <v>1000000</v>
      </c>
      <c r="F94" s="85"/>
      <c r="G94" s="85"/>
      <c r="H94" s="220">
        <f>E94</f>
        <v>1000000</v>
      </c>
    </row>
    <row r="95" customHeight="1" spans="1:8">
      <c r="A95" s="10">
        <v>2</v>
      </c>
      <c r="B95" s="11" t="s">
        <v>186</v>
      </c>
      <c r="C95" s="4" t="s">
        <v>187</v>
      </c>
      <c r="D95" s="10" t="s">
        <v>50</v>
      </c>
      <c r="E95" s="85">
        <v>700000</v>
      </c>
      <c r="F95" s="85"/>
      <c r="G95" s="85"/>
      <c r="H95" s="220">
        <f>E95</f>
        <v>700000</v>
      </c>
    </row>
    <row r="96" customHeight="1" spans="1:8">
      <c r="A96" s="10">
        <v>3</v>
      </c>
      <c r="B96" s="11" t="s">
        <v>188</v>
      </c>
      <c r="C96" s="4" t="s">
        <v>189</v>
      </c>
      <c r="D96" s="10" t="s">
        <v>50</v>
      </c>
      <c r="E96" s="85">
        <v>700000</v>
      </c>
      <c r="F96" s="85"/>
      <c r="G96" s="85"/>
      <c r="H96" s="220">
        <f>E96</f>
        <v>700000</v>
      </c>
    </row>
    <row r="97" customHeight="1" spans="1:8">
      <c r="A97" s="10">
        <v>4</v>
      </c>
      <c r="B97" s="11" t="s">
        <v>190</v>
      </c>
      <c r="C97" s="4" t="s">
        <v>191</v>
      </c>
      <c r="D97" s="15" t="s">
        <v>192</v>
      </c>
      <c r="E97" s="85">
        <v>500000</v>
      </c>
      <c r="F97" s="85"/>
      <c r="G97" s="85">
        <f>E97</f>
        <v>500000</v>
      </c>
      <c r="H97" s="220"/>
    </row>
    <row r="98" customHeight="1" spans="1:8">
      <c r="A98" s="10">
        <v>5</v>
      </c>
      <c r="B98" s="11" t="s">
        <v>193</v>
      </c>
      <c r="C98" s="12" t="s">
        <v>194</v>
      </c>
      <c r="D98" s="15" t="s">
        <v>64</v>
      </c>
      <c r="E98" s="85">
        <v>500000</v>
      </c>
      <c r="F98" s="85"/>
      <c r="G98" s="85">
        <f>E98</f>
        <v>500000</v>
      </c>
      <c r="H98" s="220"/>
    </row>
    <row r="99" s="1" customFormat="1" customHeight="1" spans="1:8">
      <c r="A99" s="10">
        <v>6</v>
      </c>
      <c r="B99" s="11" t="s">
        <v>195</v>
      </c>
      <c r="C99" s="4" t="s">
        <v>196</v>
      </c>
      <c r="D99" s="15" t="s">
        <v>64</v>
      </c>
      <c r="E99" s="85">
        <v>500000</v>
      </c>
      <c r="F99" s="85"/>
      <c r="G99" s="85">
        <f>E99</f>
        <v>500000</v>
      </c>
      <c r="H99" s="220"/>
    </row>
    <row r="100" customHeight="1" spans="1:8">
      <c r="A100" s="10">
        <v>7</v>
      </c>
      <c r="B100" s="11" t="s">
        <v>197</v>
      </c>
      <c r="C100" s="4" t="s">
        <v>198</v>
      </c>
      <c r="D100" s="10" t="s">
        <v>70</v>
      </c>
      <c r="E100" s="85">
        <v>400000</v>
      </c>
      <c r="F100" s="85"/>
      <c r="G100" s="85">
        <f>E100</f>
        <v>400000</v>
      </c>
      <c r="H100" s="220"/>
    </row>
    <row r="101" s="1" customFormat="1" customHeight="1" spans="1:8">
      <c r="A101" s="10">
        <v>8</v>
      </c>
      <c r="B101" s="11" t="s">
        <v>199</v>
      </c>
      <c r="C101" s="4" t="s">
        <v>200</v>
      </c>
      <c r="D101" s="10" t="s">
        <v>75</v>
      </c>
      <c r="E101" s="85">
        <v>300000</v>
      </c>
      <c r="F101" s="85">
        <f t="shared" ref="F98:F104" si="6">E101</f>
        <v>300000</v>
      </c>
      <c r="G101" s="85"/>
      <c r="H101" s="220"/>
    </row>
    <row r="102" customHeight="1" spans="1:8">
      <c r="A102" s="10">
        <v>9</v>
      </c>
      <c r="B102" s="11" t="s">
        <v>201</v>
      </c>
      <c r="C102" s="4" t="s">
        <v>182</v>
      </c>
      <c r="D102" s="10" t="s">
        <v>86</v>
      </c>
      <c r="E102" s="85">
        <v>300000</v>
      </c>
      <c r="F102" s="85">
        <f t="shared" si="6"/>
        <v>300000</v>
      </c>
      <c r="G102" s="85"/>
      <c r="H102" s="220"/>
    </row>
    <row r="103" s="1" customFormat="1" ht="18.75" customHeight="1" spans="1:8">
      <c r="A103" s="10">
        <v>10</v>
      </c>
      <c r="B103" s="18" t="s">
        <v>202</v>
      </c>
      <c r="C103" s="4" t="s">
        <v>182</v>
      </c>
      <c r="D103" s="10" t="s">
        <v>99</v>
      </c>
      <c r="E103" s="85">
        <v>300000</v>
      </c>
      <c r="F103" s="85">
        <f t="shared" si="6"/>
        <v>300000</v>
      </c>
      <c r="G103" s="85"/>
      <c r="H103" s="220"/>
    </row>
    <row r="104" customHeight="1" spans="1:8">
      <c r="A104" s="10">
        <v>11</v>
      </c>
      <c r="B104" s="11" t="s">
        <v>203</v>
      </c>
      <c r="C104" s="4" t="s">
        <v>204</v>
      </c>
      <c r="D104" s="10" t="s">
        <v>105</v>
      </c>
      <c r="E104" s="85">
        <v>300000</v>
      </c>
      <c r="F104" s="85">
        <f t="shared" si="6"/>
        <v>300000</v>
      </c>
      <c r="G104" s="85"/>
      <c r="H104" s="220"/>
    </row>
    <row r="105" customHeight="1" spans="1:8">
      <c r="A105" s="10"/>
      <c r="B105" s="20" t="s">
        <v>120</v>
      </c>
      <c r="C105" s="21">
        <v>11</v>
      </c>
      <c r="D105" s="21"/>
      <c r="E105" s="93">
        <f>SUM(E94:E104)</f>
        <v>5500000</v>
      </c>
      <c r="F105" s="93">
        <f>SUM(F94:F104)</f>
        <v>1200000</v>
      </c>
      <c r="G105" s="93">
        <f>SUM(G94:G104)</f>
        <v>1900000</v>
      </c>
      <c r="H105" s="93">
        <f>SUM(H94:H104)</f>
        <v>2400000</v>
      </c>
    </row>
    <row r="106" customHeight="1" spans="1:8">
      <c r="A106" s="10"/>
      <c r="B106" s="20"/>
      <c r="C106" s="21"/>
      <c r="D106" s="21"/>
      <c r="E106" s="156"/>
      <c r="F106" s="156"/>
      <c r="G106" s="156"/>
      <c r="H106" s="220"/>
    </row>
    <row r="107" customHeight="1" spans="1:8">
      <c r="A107" s="10"/>
      <c r="B107" s="20" t="s">
        <v>205</v>
      </c>
      <c r="C107" s="25"/>
      <c r="D107" s="21"/>
      <c r="E107" s="156"/>
      <c r="F107" s="156"/>
      <c r="G107" s="156"/>
      <c r="H107" s="220"/>
    </row>
    <row r="108" customHeight="1" spans="1:8">
      <c r="A108" s="10">
        <v>1</v>
      </c>
      <c r="B108" s="11" t="s">
        <v>206</v>
      </c>
      <c r="C108" s="4" t="s">
        <v>207</v>
      </c>
      <c r="D108" s="10" t="s">
        <v>140</v>
      </c>
      <c r="E108" s="85">
        <v>1000000</v>
      </c>
      <c r="F108" s="85"/>
      <c r="G108" s="85"/>
      <c r="H108" s="220">
        <f>E108</f>
        <v>1000000</v>
      </c>
    </row>
    <row r="109" customHeight="1" spans="1:8">
      <c r="A109" s="10">
        <v>2</v>
      </c>
      <c r="B109" s="11" t="s">
        <v>208</v>
      </c>
      <c r="C109" s="4" t="s">
        <v>209</v>
      </c>
      <c r="D109" s="10" t="s">
        <v>210</v>
      </c>
      <c r="E109" s="85">
        <v>700000</v>
      </c>
      <c r="F109" s="85"/>
      <c r="G109" s="85"/>
      <c r="H109" s="220">
        <f>E109</f>
        <v>700000</v>
      </c>
    </row>
    <row r="110" ht="21.6" customHeight="1" spans="1:8">
      <c r="A110" s="10">
        <v>3</v>
      </c>
      <c r="B110" s="11" t="s">
        <v>211</v>
      </c>
      <c r="C110" s="4" t="s">
        <v>52</v>
      </c>
      <c r="D110" s="15" t="s">
        <v>47</v>
      </c>
      <c r="E110" s="85">
        <v>500000</v>
      </c>
      <c r="F110" s="85"/>
      <c r="G110" s="85">
        <f t="shared" ref="G110:G115" si="7">E110</f>
        <v>500000</v>
      </c>
      <c r="H110" s="220"/>
    </row>
    <row r="111" ht="21.6" customHeight="1" spans="1:8">
      <c r="A111" s="10">
        <v>4</v>
      </c>
      <c r="B111" s="11" t="s">
        <v>212</v>
      </c>
      <c r="C111" s="4" t="s">
        <v>52</v>
      </c>
      <c r="D111" s="15" t="s">
        <v>47</v>
      </c>
      <c r="E111" s="85">
        <v>500000</v>
      </c>
      <c r="F111" s="85"/>
      <c r="G111" s="85">
        <f t="shared" si="7"/>
        <v>500000</v>
      </c>
      <c r="H111" s="220"/>
    </row>
    <row r="112" ht="21.6" customHeight="1" spans="1:8">
      <c r="A112" s="10">
        <v>5</v>
      </c>
      <c r="B112" s="11" t="s">
        <v>213</v>
      </c>
      <c r="C112" s="12" t="s">
        <v>52</v>
      </c>
      <c r="D112" s="15" t="s">
        <v>214</v>
      </c>
      <c r="E112" s="85">
        <v>250000</v>
      </c>
      <c r="F112" s="85"/>
      <c r="G112" s="85">
        <f t="shared" si="7"/>
        <v>250000</v>
      </c>
      <c r="H112" s="220"/>
    </row>
    <row r="113" ht="21.6" customHeight="1" spans="1:8">
      <c r="A113" s="10">
        <v>6</v>
      </c>
      <c r="B113" s="11" t="s">
        <v>215</v>
      </c>
      <c r="C113" s="17" t="s">
        <v>72</v>
      </c>
      <c r="D113" s="15" t="s">
        <v>173</v>
      </c>
      <c r="E113" s="85">
        <v>400000</v>
      </c>
      <c r="F113" s="85"/>
      <c r="G113" s="85">
        <f t="shared" si="7"/>
        <v>400000</v>
      </c>
      <c r="H113" s="220"/>
    </row>
    <row r="114" ht="21.6" customHeight="1" spans="1:8">
      <c r="A114" s="10">
        <v>7</v>
      </c>
      <c r="B114" s="11" t="s">
        <v>216</v>
      </c>
      <c r="C114" s="17" t="s">
        <v>217</v>
      </c>
      <c r="D114" s="15" t="s">
        <v>218</v>
      </c>
      <c r="E114" s="85">
        <v>250000</v>
      </c>
      <c r="F114" s="85"/>
      <c r="G114" s="85">
        <f t="shared" si="7"/>
        <v>250000</v>
      </c>
      <c r="H114" s="220"/>
    </row>
    <row r="115" s="1" customFormat="1" customHeight="1" spans="1:8">
      <c r="A115" s="10">
        <v>8</v>
      </c>
      <c r="B115" s="18" t="s">
        <v>219</v>
      </c>
      <c r="C115" s="4" t="s">
        <v>150</v>
      </c>
      <c r="D115" s="15" t="s">
        <v>131</v>
      </c>
      <c r="E115" s="220">
        <v>400000</v>
      </c>
      <c r="F115" s="85"/>
      <c r="G115" s="85">
        <f t="shared" si="7"/>
        <v>400000</v>
      </c>
      <c r="H115" s="220"/>
    </row>
    <row r="116" ht="21.6" customHeight="1" spans="1:8">
      <c r="A116" s="10">
        <v>9</v>
      </c>
      <c r="B116" s="11" t="s">
        <v>220</v>
      </c>
      <c r="C116" s="4" t="s">
        <v>221</v>
      </c>
      <c r="D116" s="10" t="s">
        <v>153</v>
      </c>
      <c r="E116" s="220">
        <v>300000</v>
      </c>
      <c r="F116" s="85">
        <f t="shared" ref="F114:F119" si="8">E116</f>
        <v>300000</v>
      </c>
      <c r="G116" s="85"/>
      <c r="H116" s="220"/>
    </row>
    <row r="117" s="1" customFormat="1" ht="18.75" customHeight="1" spans="1:8">
      <c r="A117" s="10">
        <v>10</v>
      </c>
      <c r="B117" s="18" t="s">
        <v>222</v>
      </c>
      <c r="C117" s="4" t="s">
        <v>152</v>
      </c>
      <c r="D117" s="10" t="s">
        <v>99</v>
      </c>
      <c r="E117" s="220">
        <v>300000</v>
      </c>
      <c r="F117" s="85">
        <f t="shared" si="8"/>
        <v>300000</v>
      </c>
      <c r="G117" s="85"/>
      <c r="H117" s="220"/>
    </row>
    <row r="118" s="1" customFormat="1" ht="18.75" customHeight="1" spans="1:8">
      <c r="A118" s="10">
        <v>11</v>
      </c>
      <c r="B118" s="18" t="s">
        <v>223</v>
      </c>
      <c r="C118" s="4" t="s">
        <v>152</v>
      </c>
      <c r="D118" s="10" t="s">
        <v>99</v>
      </c>
      <c r="E118" s="220">
        <v>300000</v>
      </c>
      <c r="F118" s="85">
        <f t="shared" si="8"/>
        <v>300000</v>
      </c>
      <c r="G118" s="85"/>
      <c r="H118" s="220"/>
    </row>
    <row r="119" ht="21.6" customHeight="1" spans="1:8">
      <c r="A119" s="10">
        <v>12</v>
      </c>
      <c r="B119" s="11" t="s">
        <v>224</v>
      </c>
      <c r="C119" s="17" t="s">
        <v>505</v>
      </c>
      <c r="D119" s="15" t="s">
        <v>506</v>
      </c>
      <c r="E119" s="220">
        <v>300000</v>
      </c>
      <c r="F119" s="85">
        <f t="shared" si="8"/>
        <v>300000</v>
      </c>
      <c r="G119" s="85"/>
      <c r="H119" s="220"/>
    </row>
    <row r="120" customHeight="1" spans="1:8">
      <c r="A120" s="10"/>
      <c r="B120" s="20" t="s">
        <v>120</v>
      </c>
      <c r="C120" s="21">
        <v>12</v>
      </c>
      <c r="D120" s="21"/>
      <c r="E120" s="93">
        <f>SUM(E108:E119)</f>
        <v>5200000</v>
      </c>
      <c r="F120" s="93">
        <f>SUM(F108:F119)</f>
        <v>1200000</v>
      </c>
      <c r="G120" s="93">
        <f>SUM(G108:G119)</f>
        <v>2300000</v>
      </c>
      <c r="H120" s="93">
        <f>SUM(H108:H119)</f>
        <v>1700000</v>
      </c>
    </row>
    <row r="121" customHeight="1" spans="1:8">
      <c r="A121" s="10"/>
      <c r="B121" s="22"/>
      <c r="C121" s="21"/>
      <c r="D121" s="21"/>
      <c r="E121" s="156"/>
      <c r="F121" s="156"/>
      <c r="G121" s="156"/>
      <c r="H121" s="220"/>
    </row>
    <row r="122" customHeight="1" spans="1:8">
      <c r="A122" s="10"/>
      <c r="B122" s="20" t="s">
        <v>507</v>
      </c>
      <c r="C122" s="21"/>
      <c r="D122" s="21"/>
      <c r="E122" s="156"/>
      <c r="F122" s="156"/>
      <c r="G122" s="156"/>
      <c r="H122" s="220"/>
    </row>
    <row r="123" customHeight="1" spans="1:8">
      <c r="A123" s="10">
        <v>1</v>
      </c>
      <c r="B123" s="14" t="s">
        <v>227</v>
      </c>
      <c r="C123" s="4" t="s">
        <v>508</v>
      </c>
      <c r="D123" s="16" t="s">
        <v>124</v>
      </c>
      <c r="E123" s="85">
        <v>500000</v>
      </c>
      <c r="F123" s="85"/>
      <c r="G123" s="85"/>
      <c r="H123" s="220">
        <f>E123</f>
        <v>500000</v>
      </c>
    </row>
    <row r="124" customHeight="1" spans="1:8">
      <c r="A124" s="10">
        <v>2</v>
      </c>
      <c r="B124" s="11" t="s">
        <v>229</v>
      </c>
      <c r="C124" s="4" t="s">
        <v>230</v>
      </c>
      <c r="D124" s="15" t="s">
        <v>192</v>
      </c>
      <c r="E124" s="85">
        <v>500000</v>
      </c>
      <c r="F124" s="85"/>
      <c r="G124" s="85">
        <f>E124</f>
        <v>500000</v>
      </c>
      <c r="H124" s="220"/>
    </row>
    <row r="125" customHeight="1" spans="1:8">
      <c r="A125" s="10">
        <v>3</v>
      </c>
      <c r="B125" s="11" t="s">
        <v>231</v>
      </c>
      <c r="C125" s="12" t="s">
        <v>232</v>
      </c>
      <c r="D125" s="15" t="s">
        <v>218</v>
      </c>
      <c r="E125" s="85">
        <v>500000</v>
      </c>
      <c r="F125" s="85"/>
      <c r="G125" s="85">
        <f>E125</f>
        <v>500000</v>
      </c>
      <c r="H125" s="220"/>
    </row>
    <row r="126" s="1" customFormat="1" customHeight="1" spans="1:8">
      <c r="A126" s="10">
        <v>4</v>
      </c>
      <c r="B126" s="11" t="s">
        <v>233</v>
      </c>
      <c r="C126" s="4" t="s">
        <v>234</v>
      </c>
      <c r="D126" s="15" t="s">
        <v>64</v>
      </c>
      <c r="E126" s="85">
        <v>500000</v>
      </c>
      <c r="F126" s="85"/>
      <c r="G126" s="85">
        <f>E126</f>
        <v>500000</v>
      </c>
      <c r="H126" s="220"/>
    </row>
    <row r="127" customHeight="1" spans="1:8">
      <c r="A127" s="10">
        <v>5</v>
      </c>
      <c r="B127" s="11" t="s">
        <v>235</v>
      </c>
      <c r="C127" s="4" t="s">
        <v>234</v>
      </c>
      <c r="D127" s="15" t="s">
        <v>64</v>
      </c>
      <c r="E127" s="85">
        <v>500000</v>
      </c>
      <c r="F127" s="85"/>
      <c r="G127" s="85">
        <f>E127</f>
        <v>500000</v>
      </c>
      <c r="H127" s="220"/>
    </row>
    <row r="128" customHeight="1" spans="1:8">
      <c r="A128" s="10">
        <v>6</v>
      </c>
      <c r="B128" s="11" t="s">
        <v>236</v>
      </c>
      <c r="C128" s="4" t="s">
        <v>200</v>
      </c>
      <c r="D128" s="15" t="s">
        <v>153</v>
      </c>
      <c r="E128" s="220">
        <v>300000</v>
      </c>
      <c r="F128" s="85">
        <f>E128</f>
        <v>300000</v>
      </c>
      <c r="G128" s="85"/>
      <c r="H128" s="220"/>
    </row>
    <row r="129" s="1" customFormat="1" customHeight="1" spans="1:8">
      <c r="A129" s="10">
        <v>7</v>
      </c>
      <c r="B129" s="18" t="s">
        <v>237</v>
      </c>
      <c r="C129" s="12" t="s">
        <v>238</v>
      </c>
      <c r="D129" s="15" t="s">
        <v>75</v>
      </c>
      <c r="E129" s="220">
        <v>300000</v>
      </c>
      <c r="F129" s="85">
        <f>E129</f>
        <v>300000</v>
      </c>
      <c r="G129" s="85"/>
      <c r="H129" s="220"/>
    </row>
    <row r="130" customHeight="1" spans="1:8">
      <c r="A130" s="4"/>
      <c r="B130" s="20" t="s">
        <v>120</v>
      </c>
      <c r="C130" s="21">
        <v>7</v>
      </c>
      <c r="D130" s="26"/>
      <c r="E130" s="93">
        <f>SUM(E123:E129)</f>
        <v>3100000</v>
      </c>
      <c r="F130" s="93">
        <f>SUM(F123:F129)</f>
        <v>600000</v>
      </c>
      <c r="G130" s="93">
        <f>SUM(G123:G129)</f>
        <v>2000000</v>
      </c>
      <c r="H130" s="93">
        <f>SUM(H123:H129)</f>
        <v>500000</v>
      </c>
    </row>
    <row r="131" customHeight="1" spans="1:8">
      <c r="A131" s="4"/>
      <c r="B131" s="22"/>
      <c r="C131" s="21"/>
      <c r="D131" s="26"/>
      <c r="E131" s="156"/>
      <c r="F131" s="156"/>
      <c r="G131" s="156"/>
      <c r="H131" s="220"/>
    </row>
    <row r="132" customHeight="1" spans="1:8">
      <c r="A132" s="4"/>
      <c r="B132" s="20" t="s">
        <v>239</v>
      </c>
      <c r="C132" s="4"/>
      <c r="D132" s="4"/>
      <c r="E132" s="4"/>
      <c r="F132" s="4"/>
      <c r="G132" s="4"/>
      <c r="H132" s="220"/>
    </row>
    <row r="133" customHeight="1" spans="1:8">
      <c r="A133" s="4">
        <v>1</v>
      </c>
      <c r="B133" s="11" t="s">
        <v>242</v>
      </c>
      <c r="C133" s="4" t="s">
        <v>243</v>
      </c>
      <c r="D133" s="16" t="s">
        <v>36</v>
      </c>
      <c r="E133" s="85">
        <v>700000</v>
      </c>
      <c r="F133" s="85"/>
      <c r="G133" s="85"/>
      <c r="H133" s="220">
        <f>E133</f>
        <v>700000</v>
      </c>
    </row>
    <row r="134" customHeight="1" spans="1:8">
      <c r="A134" s="4">
        <v>2</v>
      </c>
      <c r="B134" s="11" t="s">
        <v>244</v>
      </c>
      <c r="C134" s="4" t="s">
        <v>245</v>
      </c>
      <c r="D134" s="10" t="s">
        <v>214</v>
      </c>
      <c r="E134" s="85">
        <v>500000</v>
      </c>
      <c r="F134" s="85"/>
      <c r="G134" s="85">
        <f>E134</f>
        <v>500000</v>
      </c>
      <c r="H134" s="220"/>
    </row>
    <row r="135" customHeight="1" spans="1:8">
      <c r="A135" s="4">
        <v>3</v>
      </c>
      <c r="B135" s="11" t="s">
        <v>246</v>
      </c>
      <c r="C135" s="4" t="s">
        <v>245</v>
      </c>
      <c r="D135" s="10" t="s">
        <v>214</v>
      </c>
      <c r="E135" s="85">
        <v>500000</v>
      </c>
      <c r="F135" s="85"/>
      <c r="G135" s="85">
        <f>E135</f>
        <v>500000</v>
      </c>
      <c r="H135" s="220"/>
    </row>
    <row r="136" s="1" customFormat="1" customHeight="1" spans="1:8">
      <c r="A136" s="4">
        <v>4</v>
      </c>
      <c r="B136" s="18" t="s">
        <v>247</v>
      </c>
      <c r="C136" s="4" t="s">
        <v>248</v>
      </c>
      <c r="D136" s="15" t="s">
        <v>131</v>
      </c>
      <c r="E136" s="220">
        <v>400000</v>
      </c>
      <c r="F136" s="85"/>
      <c r="G136" s="85">
        <f>E136</f>
        <v>400000</v>
      </c>
      <c r="H136" s="220"/>
    </row>
    <row r="137" customHeight="1" spans="1:8">
      <c r="A137" s="4">
        <v>5</v>
      </c>
      <c r="B137" s="11" t="s">
        <v>249</v>
      </c>
      <c r="C137" s="4" t="s">
        <v>250</v>
      </c>
      <c r="D137" s="15" t="s">
        <v>251</v>
      </c>
      <c r="E137" s="220">
        <v>300000</v>
      </c>
      <c r="F137" s="85">
        <f t="shared" ref="F137:F142" si="9">E137</f>
        <v>300000</v>
      </c>
      <c r="G137" s="85"/>
      <c r="H137" s="220"/>
    </row>
    <row r="138" customHeight="1" spans="1:8">
      <c r="A138" s="4">
        <v>6</v>
      </c>
      <c r="B138" s="18" t="s">
        <v>252</v>
      </c>
      <c r="C138" s="4" t="s">
        <v>250</v>
      </c>
      <c r="D138" s="10" t="s">
        <v>99</v>
      </c>
      <c r="E138" s="220">
        <v>300000</v>
      </c>
      <c r="F138" s="85">
        <f t="shared" si="9"/>
        <v>300000</v>
      </c>
      <c r="G138" s="85"/>
      <c r="H138" s="220"/>
    </row>
    <row r="139" customHeight="1" spans="1:8">
      <c r="A139" s="4">
        <v>7</v>
      </c>
      <c r="B139" s="18" t="s">
        <v>253</v>
      </c>
      <c r="C139" s="4" t="s">
        <v>250</v>
      </c>
      <c r="D139" s="15" t="s">
        <v>506</v>
      </c>
      <c r="E139" s="220">
        <v>300000</v>
      </c>
      <c r="F139" s="85">
        <f t="shared" si="9"/>
        <v>300000</v>
      </c>
      <c r="G139" s="85"/>
      <c r="H139" s="220"/>
    </row>
    <row r="140" s="1" customFormat="1" customHeight="1" spans="1:8">
      <c r="A140" s="4">
        <v>8</v>
      </c>
      <c r="B140" s="18" t="s">
        <v>254</v>
      </c>
      <c r="C140" s="4" t="s">
        <v>250</v>
      </c>
      <c r="D140" s="15" t="s">
        <v>111</v>
      </c>
      <c r="E140" s="220">
        <v>300000</v>
      </c>
      <c r="F140" s="85">
        <f t="shared" si="9"/>
        <v>300000</v>
      </c>
      <c r="G140" s="85"/>
      <c r="H140" s="220"/>
    </row>
    <row r="141" s="1" customFormat="1" customHeight="1" spans="1:8">
      <c r="A141" s="4">
        <v>9</v>
      </c>
      <c r="B141" s="18" t="s">
        <v>255</v>
      </c>
      <c r="C141" s="4" t="s">
        <v>250</v>
      </c>
      <c r="D141" s="15" t="s">
        <v>111</v>
      </c>
      <c r="E141" s="220">
        <v>300000</v>
      </c>
      <c r="F141" s="85">
        <f t="shared" si="9"/>
        <v>300000</v>
      </c>
      <c r="G141" s="85"/>
      <c r="H141" s="220"/>
    </row>
    <row r="142" s="1" customFormat="1" customHeight="1" spans="1:8">
      <c r="A142" s="4">
        <v>10</v>
      </c>
      <c r="B142" s="18" t="s">
        <v>256</v>
      </c>
      <c r="C142" s="4" t="s">
        <v>250</v>
      </c>
      <c r="D142" s="15" t="s">
        <v>111</v>
      </c>
      <c r="E142" s="220">
        <v>300000</v>
      </c>
      <c r="F142" s="85">
        <f t="shared" si="9"/>
        <v>300000</v>
      </c>
      <c r="G142" s="85"/>
      <c r="H142" s="220"/>
    </row>
    <row r="143" ht="25.5" customHeight="1" spans="1:8">
      <c r="A143" s="4"/>
      <c r="B143" s="20" t="s">
        <v>120</v>
      </c>
      <c r="C143" s="21">
        <v>10</v>
      </c>
      <c r="D143" s="4"/>
      <c r="E143" s="223">
        <f>SUM(E133:E142)</f>
        <v>3900000</v>
      </c>
      <c r="F143" s="223">
        <f>SUM(F133:F142)</f>
        <v>1800000</v>
      </c>
      <c r="G143" s="223">
        <f>SUM(G133:G142)</f>
        <v>1400000</v>
      </c>
      <c r="H143" s="223">
        <f>SUM(H133:H142)</f>
        <v>700000</v>
      </c>
    </row>
    <row r="144" customHeight="1" spans="1:8">
      <c r="A144" s="4"/>
      <c r="B144" s="20"/>
      <c r="C144" s="21"/>
      <c r="D144" s="4"/>
      <c r="E144" s="223"/>
      <c r="F144" s="223"/>
      <c r="G144" s="223"/>
      <c r="H144" s="521"/>
    </row>
    <row r="145" customHeight="1" spans="1:8">
      <c r="A145" s="10"/>
      <c r="B145" s="20" t="s">
        <v>257</v>
      </c>
      <c r="C145" s="21"/>
      <c r="D145" s="21"/>
      <c r="E145" s="156"/>
      <c r="F145" s="156"/>
      <c r="G145" s="156"/>
      <c r="H145" s="220"/>
    </row>
    <row r="146" s="1" customFormat="1" customHeight="1" spans="1:8">
      <c r="A146" s="10">
        <v>1</v>
      </c>
      <c r="B146" s="11" t="s">
        <v>258</v>
      </c>
      <c r="C146" s="17" t="s">
        <v>145</v>
      </c>
      <c r="D146" s="10" t="s">
        <v>50</v>
      </c>
      <c r="E146" s="85">
        <v>700000</v>
      </c>
      <c r="F146" s="85"/>
      <c r="G146" s="85"/>
      <c r="H146" s="220">
        <f>E146</f>
        <v>700000</v>
      </c>
    </row>
    <row r="147" ht="18.75" customHeight="1" spans="1:8">
      <c r="A147" s="10">
        <v>2</v>
      </c>
      <c r="B147" s="11" t="s">
        <v>259</v>
      </c>
      <c r="C147" s="4" t="s">
        <v>260</v>
      </c>
      <c r="D147" s="15" t="s">
        <v>261</v>
      </c>
      <c r="E147" s="85">
        <v>400000</v>
      </c>
      <c r="F147" s="85"/>
      <c r="G147" s="85">
        <f>E147</f>
        <v>400000</v>
      </c>
      <c r="H147" s="220"/>
    </row>
    <row r="148" s="1" customFormat="1" ht="18.75" customHeight="1" spans="1:8">
      <c r="A148" s="10">
        <v>3</v>
      </c>
      <c r="B148" s="18" t="s">
        <v>262</v>
      </c>
      <c r="C148" s="4" t="s">
        <v>152</v>
      </c>
      <c r="D148" s="10" t="s">
        <v>99</v>
      </c>
      <c r="E148" s="85">
        <v>300000</v>
      </c>
      <c r="F148" s="85">
        <f t="shared" ref="F147:F152" si="10">E148</f>
        <v>300000</v>
      </c>
      <c r="G148" s="85"/>
      <c r="H148" s="220"/>
    </row>
    <row r="149" s="1" customFormat="1" ht="18.75" customHeight="1" spans="1:8">
      <c r="A149" s="10">
        <v>4</v>
      </c>
      <c r="B149" s="18" t="s">
        <v>263</v>
      </c>
      <c r="C149" s="4" t="s">
        <v>152</v>
      </c>
      <c r="D149" s="10" t="s">
        <v>99</v>
      </c>
      <c r="E149" s="85">
        <v>300000</v>
      </c>
      <c r="F149" s="85">
        <f t="shared" si="10"/>
        <v>300000</v>
      </c>
      <c r="G149" s="85"/>
      <c r="H149" s="220"/>
    </row>
    <row r="150" s="1" customFormat="1" ht="18.75" customHeight="1" spans="1:8">
      <c r="A150" s="10">
        <v>5</v>
      </c>
      <c r="B150" s="18" t="s">
        <v>264</v>
      </c>
      <c r="C150" s="4" t="s">
        <v>152</v>
      </c>
      <c r="D150" s="10" t="s">
        <v>99</v>
      </c>
      <c r="E150" s="85">
        <v>300000</v>
      </c>
      <c r="F150" s="85">
        <f t="shared" si="10"/>
        <v>300000</v>
      </c>
      <c r="G150" s="85"/>
      <c r="H150" s="220"/>
    </row>
    <row r="151" s="1" customFormat="1" ht="18.75" customHeight="1" spans="1:8">
      <c r="A151" s="10">
        <v>6</v>
      </c>
      <c r="B151" s="18" t="s">
        <v>265</v>
      </c>
      <c r="C151" s="4" t="s">
        <v>152</v>
      </c>
      <c r="D151" s="10" t="s">
        <v>99</v>
      </c>
      <c r="E151" s="85">
        <v>300000</v>
      </c>
      <c r="F151" s="85">
        <f t="shared" si="10"/>
        <v>300000</v>
      </c>
      <c r="G151" s="85"/>
      <c r="H151" s="220"/>
    </row>
    <row r="152" s="1" customFormat="1" customHeight="1" spans="1:8">
      <c r="A152" s="10">
        <v>7</v>
      </c>
      <c r="B152" s="18" t="s">
        <v>266</v>
      </c>
      <c r="C152" s="12" t="s">
        <v>267</v>
      </c>
      <c r="D152" s="15" t="s">
        <v>111</v>
      </c>
      <c r="E152" s="85">
        <v>300000</v>
      </c>
      <c r="F152" s="85">
        <f t="shared" si="10"/>
        <v>300000</v>
      </c>
      <c r="G152" s="85"/>
      <c r="H152" s="220"/>
    </row>
    <row r="153" ht="24.75" customHeight="1" spans="1:8">
      <c r="A153" s="4"/>
      <c r="B153" s="20" t="s">
        <v>120</v>
      </c>
      <c r="C153" s="21">
        <v>7</v>
      </c>
      <c r="D153" s="26"/>
      <c r="E153" s="93">
        <f>SUM(E146:E152)</f>
        <v>2600000</v>
      </c>
      <c r="F153" s="93">
        <f>SUM(F146:F152)</f>
        <v>1500000</v>
      </c>
      <c r="G153" s="93">
        <f>SUM(G146:G152)</f>
        <v>400000</v>
      </c>
      <c r="H153" s="93">
        <f>SUM(H146:H152)</f>
        <v>700000</v>
      </c>
    </row>
    <row r="154" ht="24.75" customHeight="1" spans="1:8">
      <c r="A154" s="4"/>
      <c r="B154" s="20"/>
      <c r="C154" s="21"/>
      <c r="D154" s="26"/>
      <c r="E154" s="93"/>
      <c r="F154" s="93"/>
      <c r="G154" s="93"/>
      <c r="H154" s="93"/>
    </row>
    <row r="155" ht="24.75" customHeight="1" spans="1:8">
      <c r="A155" s="10"/>
      <c r="B155" s="20" t="s">
        <v>268</v>
      </c>
      <c r="C155" s="21"/>
      <c r="D155" s="21"/>
      <c r="E155" s="156"/>
      <c r="F155" s="156"/>
      <c r="G155" s="156"/>
      <c r="H155" s="220"/>
    </row>
    <row r="156" s="1" customFormat="1" ht="18.75" customHeight="1" spans="1:8">
      <c r="A156" s="4">
        <v>1</v>
      </c>
      <c r="B156" s="18" t="s">
        <v>269</v>
      </c>
      <c r="C156" s="4" t="s">
        <v>270</v>
      </c>
      <c r="D156" s="10" t="s">
        <v>99</v>
      </c>
      <c r="E156" s="85">
        <v>300000</v>
      </c>
      <c r="F156" s="85">
        <f>E156</f>
        <v>300000</v>
      </c>
      <c r="G156" s="85"/>
      <c r="H156" s="220"/>
    </row>
    <row r="157" ht="24.75" customHeight="1" spans="1:8">
      <c r="A157" s="4">
        <v>2</v>
      </c>
      <c r="B157" s="11" t="s">
        <v>271</v>
      </c>
      <c r="C157" s="4" t="s">
        <v>272</v>
      </c>
      <c r="D157" s="10" t="s">
        <v>111</v>
      </c>
      <c r="E157" s="85">
        <v>300000</v>
      </c>
      <c r="F157" s="85">
        <f>E157</f>
        <v>300000</v>
      </c>
      <c r="G157" s="85"/>
      <c r="H157" s="220"/>
    </row>
    <row r="158" s="1" customFormat="1" customHeight="1" spans="1:8">
      <c r="A158" s="4">
        <v>3</v>
      </c>
      <c r="B158" s="18" t="s">
        <v>273</v>
      </c>
      <c r="C158" s="12" t="s">
        <v>274</v>
      </c>
      <c r="D158" s="15" t="s">
        <v>275</v>
      </c>
      <c r="E158" s="85">
        <v>300000</v>
      </c>
      <c r="F158" s="85">
        <f>E158</f>
        <v>300000</v>
      </c>
      <c r="G158" s="85"/>
      <c r="H158" s="220"/>
    </row>
    <row r="159" ht="24.75" customHeight="1" spans="1:8">
      <c r="A159" s="4">
        <v>4</v>
      </c>
      <c r="B159" s="11" t="s">
        <v>276</v>
      </c>
      <c r="C159" s="4" t="s">
        <v>277</v>
      </c>
      <c r="D159" s="10" t="s">
        <v>111</v>
      </c>
      <c r="E159" s="85">
        <v>300000</v>
      </c>
      <c r="F159" s="85">
        <f>E159</f>
        <v>300000</v>
      </c>
      <c r="G159" s="85"/>
      <c r="H159" s="220"/>
    </row>
    <row r="160" customHeight="1" spans="1:8">
      <c r="A160" s="4"/>
      <c r="B160" s="20" t="s">
        <v>120</v>
      </c>
      <c r="C160" s="21">
        <v>4</v>
      </c>
      <c r="D160" s="26"/>
      <c r="E160" s="93">
        <f>SUM(E156:E159)</f>
        <v>1200000</v>
      </c>
      <c r="F160" s="93">
        <f>SUM(F156:F159)</f>
        <v>1200000</v>
      </c>
      <c r="G160" s="93">
        <f>SUM(G156:G159)</f>
        <v>0</v>
      </c>
      <c r="H160" s="93">
        <f>SUM(H156:H159)</f>
        <v>0</v>
      </c>
    </row>
    <row r="161" customHeight="1" spans="1:8">
      <c r="A161" s="4"/>
      <c r="B161" s="20"/>
      <c r="C161" s="21"/>
      <c r="D161" s="26"/>
      <c r="E161" s="93"/>
      <c r="F161" s="93"/>
      <c r="G161" s="93"/>
      <c r="H161" s="93"/>
    </row>
    <row r="162" customHeight="1" spans="1:8">
      <c r="A162" s="4"/>
      <c r="B162" s="20" t="s">
        <v>278</v>
      </c>
      <c r="C162" s="21"/>
      <c r="D162" s="21"/>
      <c r="E162" s="156"/>
      <c r="F162" s="156"/>
      <c r="G162" s="156"/>
      <c r="H162" s="220"/>
    </row>
    <row r="163" customHeight="1" spans="1:8">
      <c r="A163" s="4">
        <v>1</v>
      </c>
      <c r="B163" s="11" t="s">
        <v>279</v>
      </c>
      <c r="C163" s="12" t="s">
        <v>280</v>
      </c>
      <c r="D163" s="15" t="s">
        <v>124</v>
      </c>
      <c r="E163" s="85">
        <v>1000000</v>
      </c>
      <c r="F163" s="85"/>
      <c r="G163" s="85"/>
      <c r="H163" s="220">
        <f>E163</f>
        <v>1000000</v>
      </c>
    </row>
    <row r="164" customHeight="1" spans="1:8">
      <c r="A164" s="4">
        <v>2</v>
      </c>
      <c r="B164" s="11" t="s">
        <v>281</v>
      </c>
      <c r="C164" s="12" t="s">
        <v>282</v>
      </c>
      <c r="D164" s="15" t="s">
        <v>36</v>
      </c>
      <c r="E164" s="85">
        <v>700000</v>
      </c>
      <c r="F164" s="85"/>
      <c r="G164" s="85"/>
      <c r="H164" s="220">
        <f t="shared" ref="H164:H169" si="11">E164</f>
        <v>700000</v>
      </c>
    </row>
    <row r="165" customHeight="1" spans="1:8">
      <c r="A165" s="4">
        <v>3</v>
      </c>
      <c r="B165" s="14" t="s">
        <v>283</v>
      </c>
      <c r="C165" s="12" t="s">
        <v>282</v>
      </c>
      <c r="D165" s="15" t="s">
        <v>36</v>
      </c>
      <c r="E165" s="85">
        <v>700000</v>
      </c>
      <c r="F165" s="85"/>
      <c r="G165" s="85"/>
      <c r="H165" s="220">
        <f t="shared" si="11"/>
        <v>700000</v>
      </c>
    </row>
    <row r="166" customHeight="1" spans="1:8">
      <c r="A166" s="4">
        <v>4</v>
      </c>
      <c r="B166" s="11" t="s">
        <v>284</v>
      </c>
      <c r="C166" s="12" t="s">
        <v>285</v>
      </c>
      <c r="D166" s="15" t="s">
        <v>50</v>
      </c>
      <c r="E166" s="85">
        <v>700000</v>
      </c>
      <c r="F166" s="85"/>
      <c r="G166" s="85"/>
      <c r="H166" s="220">
        <f t="shared" si="11"/>
        <v>700000</v>
      </c>
    </row>
    <row r="167" customHeight="1" spans="1:8">
      <c r="A167" s="4">
        <v>5</v>
      </c>
      <c r="B167" s="11" t="s">
        <v>286</v>
      </c>
      <c r="C167" s="12" t="s">
        <v>285</v>
      </c>
      <c r="D167" s="15" t="s">
        <v>42</v>
      </c>
      <c r="E167" s="85">
        <v>700000</v>
      </c>
      <c r="F167" s="85"/>
      <c r="G167" s="85"/>
      <c r="H167" s="220">
        <f t="shared" si="11"/>
        <v>700000</v>
      </c>
    </row>
    <row r="168" customHeight="1" spans="1:8">
      <c r="A168" s="4">
        <v>6</v>
      </c>
      <c r="B168" s="11" t="s">
        <v>287</v>
      </c>
      <c r="C168" s="12" t="s">
        <v>288</v>
      </c>
      <c r="D168" s="15" t="s">
        <v>47</v>
      </c>
      <c r="E168" s="85">
        <v>500000</v>
      </c>
      <c r="F168" s="85"/>
      <c r="G168" s="85">
        <f>E168</f>
        <v>500000</v>
      </c>
      <c r="H168" s="220"/>
    </row>
    <row r="169" customHeight="1" spans="1:8">
      <c r="A169" s="4">
        <v>7</v>
      </c>
      <c r="B169" s="11" t="s">
        <v>289</v>
      </c>
      <c r="C169" s="12" t="s">
        <v>288</v>
      </c>
      <c r="D169" s="15" t="s">
        <v>192</v>
      </c>
      <c r="E169" s="85">
        <v>500000</v>
      </c>
      <c r="F169" s="85"/>
      <c r="G169" s="85">
        <f>E169</f>
        <v>500000</v>
      </c>
      <c r="H169" s="220"/>
    </row>
    <row r="170" s="1" customFormat="1" customHeight="1" spans="1:8">
      <c r="A170" s="4">
        <v>8</v>
      </c>
      <c r="B170" s="18" t="s">
        <v>290</v>
      </c>
      <c r="C170" s="12" t="s">
        <v>291</v>
      </c>
      <c r="D170" s="15" t="s">
        <v>99</v>
      </c>
      <c r="E170" s="85">
        <v>300000</v>
      </c>
      <c r="F170" s="85">
        <f>E170</f>
        <v>300000</v>
      </c>
      <c r="G170" s="85"/>
      <c r="H170" s="220"/>
    </row>
    <row r="171" customHeight="1" spans="1:8">
      <c r="A171" s="4">
        <v>9</v>
      </c>
      <c r="B171" s="11" t="s">
        <v>292</v>
      </c>
      <c r="C171" s="4" t="s">
        <v>293</v>
      </c>
      <c r="D171" s="15" t="s">
        <v>81</v>
      </c>
      <c r="E171" s="220">
        <v>300000</v>
      </c>
      <c r="F171" s="85">
        <f>E171</f>
        <v>300000</v>
      </c>
      <c r="G171" s="85"/>
      <c r="H171" s="220"/>
    </row>
    <row r="172" customHeight="1" spans="1:8">
      <c r="A172" s="4">
        <v>10</v>
      </c>
      <c r="B172" s="18" t="s">
        <v>294</v>
      </c>
      <c r="C172" s="12" t="s">
        <v>295</v>
      </c>
      <c r="D172" s="15" t="s">
        <v>105</v>
      </c>
      <c r="E172" s="85">
        <v>300000</v>
      </c>
      <c r="F172" s="85">
        <f>E172</f>
        <v>300000</v>
      </c>
      <c r="G172" s="85"/>
      <c r="H172" s="220"/>
    </row>
    <row r="173" customHeight="1" spans="1:8">
      <c r="A173" s="4">
        <v>11</v>
      </c>
      <c r="B173" s="18" t="s">
        <v>296</v>
      </c>
      <c r="C173" s="12" t="s">
        <v>291</v>
      </c>
      <c r="D173" s="15" t="s">
        <v>105</v>
      </c>
      <c r="E173" s="85">
        <v>300000</v>
      </c>
      <c r="F173" s="85">
        <f>E173</f>
        <v>300000</v>
      </c>
      <c r="G173" s="85"/>
      <c r="H173" s="220"/>
    </row>
    <row r="174" customHeight="1" spans="1:8">
      <c r="A174" s="4">
        <v>12</v>
      </c>
      <c r="B174" s="18" t="s">
        <v>297</v>
      </c>
      <c r="C174" s="12" t="s">
        <v>295</v>
      </c>
      <c r="D174" s="15" t="s">
        <v>108</v>
      </c>
      <c r="E174" s="85">
        <v>300000</v>
      </c>
      <c r="F174" s="85">
        <f>E174</f>
        <v>300000</v>
      </c>
      <c r="G174" s="85"/>
      <c r="H174" s="220"/>
    </row>
    <row r="175" ht="28.5" customHeight="1" spans="1:8">
      <c r="A175" s="4"/>
      <c r="B175" s="20" t="s">
        <v>120</v>
      </c>
      <c r="C175" s="26" t="s">
        <v>298</v>
      </c>
      <c r="D175" s="15"/>
      <c r="E175" s="221">
        <f>SUM(E163:E174)</f>
        <v>6300000</v>
      </c>
      <c r="F175" s="221">
        <f>SUM(F163:F174)</f>
        <v>1500000</v>
      </c>
      <c r="G175" s="221">
        <f>SUM(G163:G174)</f>
        <v>1000000</v>
      </c>
      <c r="H175" s="221">
        <f>SUM(H163:H174)</f>
        <v>3800000</v>
      </c>
    </row>
    <row r="176" customHeight="1" spans="1:8">
      <c r="A176" s="4"/>
      <c r="B176" s="22"/>
      <c r="C176" s="26"/>
      <c r="D176" s="15"/>
      <c r="E176" s="156"/>
      <c r="F176" s="156"/>
      <c r="G176" s="156"/>
      <c r="H176" s="220"/>
    </row>
    <row r="177" customHeight="1" spans="1:8">
      <c r="A177" s="4"/>
      <c r="B177" s="20" t="s">
        <v>299</v>
      </c>
      <c r="C177" s="12"/>
      <c r="D177" s="15"/>
      <c r="E177" s="85"/>
      <c r="F177" s="85"/>
      <c r="G177" s="85"/>
      <c r="H177" s="220"/>
    </row>
    <row r="178" customHeight="1" spans="1:8">
      <c r="A178" s="27">
        <v>1</v>
      </c>
      <c r="B178" s="14" t="s">
        <v>300</v>
      </c>
      <c r="C178" s="4" t="s">
        <v>509</v>
      </c>
      <c r="D178" s="10" t="s">
        <v>487</v>
      </c>
      <c r="E178" s="85">
        <v>1000000</v>
      </c>
      <c r="F178" s="85"/>
      <c r="G178" s="85"/>
      <c r="H178" s="220">
        <f t="shared" ref="H178:H183" si="12">E178</f>
        <v>1000000</v>
      </c>
    </row>
    <row r="179" customHeight="1" spans="1:8">
      <c r="A179" s="27">
        <v>2</v>
      </c>
      <c r="B179" s="14" t="s">
        <v>302</v>
      </c>
      <c r="C179" s="4" t="s">
        <v>510</v>
      </c>
      <c r="D179" s="10" t="s">
        <v>511</v>
      </c>
      <c r="E179" s="85">
        <v>1000000</v>
      </c>
      <c r="F179" s="85"/>
      <c r="G179" s="85"/>
      <c r="H179" s="220">
        <f t="shared" si="12"/>
        <v>1000000</v>
      </c>
    </row>
    <row r="180" customHeight="1" spans="1:8">
      <c r="A180" s="27">
        <v>3</v>
      </c>
      <c r="B180" s="11" t="s">
        <v>305</v>
      </c>
      <c r="C180" s="12" t="s">
        <v>306</v>
      </c>
      <c r="D180" s="15" t="s">
        <v>50</v>
      </c>
      <c r="E180" s="85">
        <v>700000</v>
      </c>
      <c r="F180" s="85"/>
      <c r="G180" s="85"/>
      <c r="H180" s="220">
        <f t="shared" si="12"/>
        <v>700000</v>
      </c>
    </row>
    <row r="181" customHeight="1" spans="1:8">
      <c r="A181" s="27">
        <v>4</v>
      </c>
      <c r="B181" s="11" t="s">
        <v>307</v>
      </c>
      <c r="C181" s="4" t="s">
        <v>489</v>
      </c>
      <c r="D181" s="15" t="s">
        <v>50</v>
      </c>
      <c r="E181" s="85">
        <v>700000</v>
      </c>
      <c r="F181" s="85"/>
      <c r="G181" s="85"/>
      <c r="H181" s="220">
        <f t="shared" si="12"/>
        <v>700000</v>
      </c>
    </row>
    <row r="182" customHeight="1" spans="1:8">
      <c r="A182" s="27">
        <v>5</v>
      </c>
      <c r="B182" s="11" t="s">
        <v>309</v>
      </c>
      <c r="C182" s="4" t="s">
        <v>489</v>
      </c>
      <c r="D182" s="15" t="s">
        <v>50</v>
      </c>
      <c r="E182" s="85">
        <v>700000</v>
      </c>
      <c r="F182" s="85"/>
      <c r="G182" s="85"/>
      <c r="H182" s="220">
        <f t="shared" si="12"/>
        <v>700000</v>
      </c>
    </row>
    <row r="183" customHeight="1" spans="1:8">
      <c r="A183" s="27">
        <v>6</v>
      </c>
      <c r="B183" s="11" t="s">
        <v>310</v>
      </c>
      <c r="C183" s="4" t="s">
        <v>311</v>
      </c>
      <c r="D183" s="10" t="s">
        <v>53</v>
      </c>
      <c r="E183" s="85">
        <v>500000</v>
      </c>
      <c r="F183" s="85"/>
      <c r="G183" s="85">
        <f>E183</f>
        <v>500000</v>
      </c>
      <c r="H183" s="220"/>
    </row>
    <row r="184" customHeight="1" spans="1:8">
      <c r="A184" s="27">
        <v>7</v>
      </c>
      <c r="B184" s="11" t="s">
        <v>312</v>
      </c>
      <c r="C184" s="12" t="s">
        <v>232</v>
      </c>
      <c r="D184" s="15" t="s">
        <v>64</v>
      </c>
      <c r="E184" s="85">
        <v>500000</v>
      </c>
      <c r="F184" s="85"/>
      <c r="G184" s="85">
        <f t="shared" ref="G184:G192" si="13">E184</f>
        <v>500000</v>
      </c>
      <c r="H184" s="220"/>
    </row>
    <row r="185" customHeight="1" spans="1:8">
      <c r="A185" s="27">
        <v>8</v>
      </c>
      <c r="B185" s="11" t="s">
        <v>313</v>
      </c>
      <c r="C185" s="4" t="s">
        <v>314</v>
      </c>
      <c r="D185" s="15" t="s">
        <v>64</v>
      </c>
      <c r="E185" s="85">
        <v>500000</v>
      </c>
      <c r="F185" s="85"/>
      <c r="G185" s="85">
        <f t="shared" si="13"/>
        <v>500000</v>
      </c>
      <c r="H185" s="220"/>
    </row>
    <row r="186" customHeight="1" spans="1:8">
      <c r="A186" s="27">
        <v>9</v>
      </c>
      <c r="B186" s="11" t="s">
        <v>315</v>
      </c>
      <c r="C186" s="12" t="s">
        <v>316</v>
      </c>
      <c r="D186" s="15" t="s">
        <v>67</v>
      </c>
      <c r="E186" s="85">
        <v>500000</v>
      </c>
      <c r="F186" s="85"/>
      <c r="G186" s="85">
        <f t="shared" si="13"/>
        <v>500000</v>
      </c>
      <c r="H186" s="220"/>
    </row>
    <row r="187" customHeight="1" spans="1:8">
      <c r="A187" s="27">
        <v>10</v>
      </c>
      <c r="B187" s="11" t="s">
        <v>317</v>
      </c>
      <c r="C187" s="12" t="s">
        <v>318</v>
      </c>
      <c r="D187" s="15" t="s">
        <v>173</v>
      </c>
      <c r="E187" s="85">
        <v>400000</v>
      </c>
      <c r="F187" s="85"/>
      <c r="G187" s="85">
        <f t="shared" si="13"/>
        <v>400000</v>
      </c>
      <c r="H187" s="220"/>
    </row>
    <row r="188" customHeight="1" spans="1:8">
      <c r="A188" s="27">
        <v>11</v>
      </c>
      <c r="B188" s="18" t="s">
        <v>319</v>
      </c>
      <c r="C188" s="4" t="s">
        <v>320</v>
      </c>
      <c r="D188" s="15" t="s">
        <v>70</v>
      </c>
      <c r="E188" s="85">
        <v>400000</v>
      </c>
      <c r="F188" s="85"/>
      <c r="G188" s="85">
        <f t="shared" si="13"/>
        <v>400000</v>
      </c>
      <c r="H188" s="220"/>
    </row>
    <row r="189" customHeight="1" spans="1:8">
      <c r="A189" s="27">
        <v>12</v>
      </c>
      <c r="B189" s="11" t="s">
        <v>321</v>
      </c>
      <c r="C189" s="4" t="s">
        <v>320</v>
      </c>
      <c r="D189" s="15" t="s">
        <v>131</v>
      </c>
      <c r="E189" s="85">
        <v>400000</v>
      </c>
      <c r="F189" s="85"/>
      <c r="G189" s="85">
        <f t="shared" si="13"/>
        <v>400000</v>
      </c>
      <c r="H189" s="220"/>
    </row>
    <row r="190" customHeight="1" spans="1:8">
      <c r="A190" s="27">
        <v>13</v>
      </c>
      <c r="B190" s="11" t="s">
        <v>322</v>
      </c>
      <c r="C190" s="4" t="s">
        <v>320</v>
      </c>
      <c r="D190" s="15" t="s">
        <v>131</v>
      </c>
      <c r="E190" s="85">
        <v>400000</v>
      </c>
      <c r="F190" s="85"/>
      <c r="G190" s="85">
        <f t="shared" si="13"/>
        <v>400000</v>
      </c>
      <c r="H190" s="220"/>
    </row>
    <row r="191" customHeight="1" spans="1:8">
      <c r="A191" s="27">
        <v>14</v>
      </c>
      <c r="B191" s="11" t="s">
        <v>323</v>
      </c>
      <c r="C191" s="4" t="s">
        <v>320</v>
      </c>
      <c r="D191" s="15" t="s">
        <v>131</v>
      </c>
      <c r="E191" s="85">
        <v>400000</v>
      </c>
      <c r="F191" s="85"/>
      <c r="G191" s="85">
        <f t="shared" si="13"/>
        <v>400000</v>
      </c>
      <c r="H191" s="220"/>
    </row>
    <row r="192" customHeight="1" spans="1:8">
      <c r="A192" s="27">
        <v>15</v>
      </c>
      <c r="B192" s="11" t="s">
        <v>324</v>
      </c>
      <c r="C192" s="4" t="s">
        <v>320</v>
      </c>
      <c r="D192" s="15" t="s">
        <v>70</v>
      </c>
      <c r="E192" s="85">
        <v>400000</v>
      </c>
      <c r="F192" s="85"/>
      <c r="G192" s="85">
        <f t="shared" si="13"/>
        <v>400000</v>
      </c>
      <c r="H192" s="220"/>
    </row>
    <row r="193" customHeight="1" spans="1:8">
      <c r="A193" s="27">
        <v>16</v>
      </c>
      <c r="B193" s="11" t="s">
        <v>325</v>
      </c>
      <c r="C193" s="12" t="s">
        <v>326</v>
      </c>
      <c r="D193" s="15" t="s">
        <v>153</v>
      </c>
      <c r="E193" s="220">
        <v>300000</v>
      </c>
      <c r="F193" s="85">
        <f t="shared" ref="F185:F216" si="14">E193</f>
        <v>300000</v>
      </c>
      <c r="G193" s="85"/>
      <c r="H193" s="220"/>
    </row>
    <row r="194" customHeight="1" spans="1:8">
      <c r="A194" s="27">
        <v>17</v>
      </c>
      <c r="B194" s="11" t="s">
        <v>327</v>
      </c>
      <c r="C194" s="12" t="s">
        <v>328</v>
      </c>
      <c r="D194" s="10" t="s">
        <v>81</v>
      </c>
      <c r="E194" s="220">
        <v>300000</v>
      </c>
      <c r="F194" s="85">
        <f t="shared" si="14"/>
        <v>300000</v>
      </c>
      <c r="G194" s="85"/>
      <c r="H194" s="220"/>
    </row>
    <row r="195" customHeight="1" spans="1:8">
      <c r="A195" s="27">
        <v>18</v>
      </c>
      <c r="B195" s="11" t="s">
        <v>329</v>
      </c>
      <c r="C195" s="4" t="s">
        <v>330</v>
      </c>
      <c r="D195" s="15" t="s">
        <v>131</v>
      </c>
      <c r="E195" s="220">
        <v>400000</v>
      </c>
      <c r="F195" s="85"/>
      <c r="G195" s="85">
        <f>E195</f>
        <v>400000</v>
      </c>
      <c r="H195" s="220"/>
    </row>
    <row r="196" customHeight="1" spans="1:8">
      <c r="A196" s="27">
        <v>19</v>
      </c>
      <c r="B196" s="11" t="s">
        <v>331</v>
      </c>
      <c r="C196" s="4" t="s">
        <v>332</v>
      </c>
      <c r="D196" s="15" t="s">
        <v>75</v>
      </c>
      <c r="E196" s="220">
        <v>300000</v>
      </c>
      <c r="F196" s="85">
        <f t="shared" si="14"/>
        <v>300000</v>
      </c>
      <c r="G196" s="85"/>
      <c r="H196" s="220"/>
    </row>
    <row r="197" customHeight="1" spans="1:8">
      <c r="A197" s="27">
        <v>20</v>
      </c>
      <c r="B197" s="11" t="s">
        <v>333</v>
      </c>
      <c r="C197" s="4" t="s">
        <v>330</v>
      </c>
      <c r="D197" s="15" t="s">
        <v>131</v>
      </c>
      <c r="E197" s="220">
        <v>400000</v>
      </c>
      <c r="F197" s="85"/>
      <c r="G197" s="85">
        <f>E197</f>
        <v>400000</v>
      </c>
      <c r="H197" s="220"/>
    </row>
    <row r="198" customHeight="1" spans="1:8">
      <c r="A198" s="27">
        <v>21</v>
      </c>
      <c r="B198" s="11" t="s">
        <v>334</v>
      </c>
      <c r="C198" s="4" t="s">
        <v>335</v>
      </c>
      <c r="D198" s="15" t="s">
        <v>81</v>
      </c>
      <c r="E198" s="220">
        <v>300000</v>
      </c>
      <c r="F198" s="85">
        <f t="shared" si="14"/>
        <v>300000</v>
      </c>
      <c r="G198" s="85"/>
      <c r="H198" s="220"/>
    </row>
    <row r="199" customHeight="1" spans="1:8">
      <c r="A199" s="27">
        <v>22</v>
      </c>
      <c r="B199" s="18" t="s">
        <v>336</v>
      </c>
      <c r="C199" s="12" t="s">
        <v>337</v>
      </c>
      <c r="D199" s="15" t="s">
        <v>86</v>
      </c>
      <c r="E199" s="85">
        <v>300000</v>
      </c>
      <c r="F199" s="85">
        <f t="shared" si="14"/>
        <v>300000</v>
      </c>
      <c r="G199" s="85"/>
      <c r="H199" s="220"/>
    </row>
    <row r="200" customHeight="1" spans="1:8">
      <c r="A200" s="27">
        <v>23</v>
      </c>
      <c r="B200" s="18" t="s">
        <v>338</v>
      </c>
      <c r="C200" s="12" t="s">
        <v>337</v>
      </c>
      <c r="D200" s="15" t="s">
        <v>86</v>
      </c>
      <c r="E200" s="85">
        <v>300000</v>
      </c>
      <c r="F200" s="85">
        <f t="shared" si="14"/>
        <v>300000</v>
      </c>
      <c r="G200" s="85"/>
      <c r="H200" s="220"/>
    </row>
    <row r="201" s="1" customFormat="1" ht="18.75" customHeight="1" spans="1:8">
      <c r="A201" s="27">
        <v>24</v>
      </c>
      <c r="B201" s="18" t="s">
        <v>339</v>
      </c>
      <c r="C201" s="4" t="s">
        <v>340</v>
      </c>
      <c r="D201" s="10" t="s">
        <v>99</v>
      </c>
      <c r="E201" s="85">
        <v>300000</v>
      </c>
      <c r="F201" s="85">
        <f t="shared" si="14"/>
        <v>300000</v>
      </c>
      <c r="G201" s="85"/>
      <c r="H201" s="220"/>
    </row>
    <row r="202" s="1" customFormat="1" customHeight="1" spans="1:8">
      <c r="A202" s="27">
        <v>25</v>
      </c>
      <c r="B202" s="18" t="s">
        <v>341</v>
      </c>
      <c r="C202" s="12" t="s">
        <v>342</v>
      </c>
      <c r="D202" s="10" t="s">
        <v>225</v>
      </c>
      <c r="E202" s="85">
        <v>300000</v>
      </c>
      <c r="F202" s="85">
        <f t="shared" si="14"/>
        <v>300000</v>
      </c>
      <c r="G202" s="85"/>
      <c r="H202" s="220"/>
    </row>
    <row r="203" customHeight="1" spans="1:8">
      <c r="A203" s="27">
        <v>26</v>
      </c>
      <c r="B203" s="18" t="s">
        <v>343</v>
      </c>
      <c r="C203" s="12" t="s">
        <v>344</v>
      </c>
      <c r="D203" s="15" t="s">
        <v>105</v>
      </c>
      <c r="E203" s="85">
        <v>300000</v>
      </c>
      <c r="F203" s="85">
        <f t="shared" si="14"/>
        <v>300000</v>
      </c>
      <c r="G203" s="85"/>
      <c r="H203" s="220"/>
    </row>
    <row r="204" customHeight="1" spans="1:8">
      <c r="A204" s="27">
        <v>27</v>
      </c>
      <c r="B204" s="18" t="s">
        <v>345</v>
      </c>
      <c r="C204" s="12" t="s">
        <v>346</v>
      </c>
      <c r="D204" s="15" t="s">
        <v>105</v>
      </c>
      <c r="E204" s="85">
        <v>300000</v>
      </c>
      <c r="F204" s="85">
        <f t="shared" si="14"/>
        <v>300000</v>
      </c>
      <c r="G204" s="85"/>
      <c r="H204" s="220"/>
    </row>
    <row r="205" customHeight="1" spans="1:8">
      <c r="A205" s="27">
        <v>28</v>
      </c>
      <c r="B205" s="18" t="s">
        <v>347</v>
      </c>
      <c r="C205" s="12" t="s">
        <v>348</v>
      </c>
      <c r="D205" s="15" t="s">
        <v>105</v>
      </c>
      <c r="E205" s="85">
        <v>300000</v>
      </c>
      <c r="F205" s="85">
        <f t="shared" si="14"/>
        <v>300000</v>
      </c>
      <c r="G205" s="85"/>
      <c r="H205" s="220"/>
    </row>
    <row r="206" customHeight="1" spans="1:8">
      <c r="A206" s="27">
        <v>29</v>
      </c>
      <c r="B206" s="18" t="s">
        <v>349</v>
      </c>
      <c r="C206" s="4" t="s">
        <v>88</v>
      </c>
      <c r="D206" s="10" t="s">
        <v>225</v>
      </c>
      <c r="E206" s="85">
        <v>300000</v>
      </c>
      <c r="F206" s="85">
        <f t="shared" si="14"/>
        <v>300000</v>
      </c>
      <c r="G206" s="85"/>
      <c r="H206" s="220"/>
    </row>
    <row r="207" customHeight="1" spans="1:8">
      <c r="A207" s="27">
        <v>30</v>
      </c>
      <c r="B207" s="18" t="s">
        <v>350</v>
      </c>
      <c r="C207" s="12" t="s">
        <v>346</v>
      </c>
      <c r="D207" s="15" t="s">
        <v>105</v>
      </c>
      <c r="E207" s="85">
        <v>300000</v>
      </c>
      <c r="F207" s="85">
        <f t="shared" si="14"/>
        <v>300000</v>
      </c>
      <c r="G207" s="85"/>
      <c r="H207" s="220"/>
    </row>
    <row r="208" customHeight="1" spans="1:8">
      <c r="A208" s="27">
        <v>31</v>
      </c>
      <c r="B208" s="18" t="s">
        <v>351</v>
      </c>
      <c r="C208" s="12" t="s">
        <v>352</v>
      </c>
      <c r="D208" s="15" t="s">
        <v>108</v>
      </c>
      <c r="E208" s="85">
        <v>300000</v>
      </c>
      <c r="F208" s="85">
        <f t="shared" si="14"/>
        <v>300000</v>
      </c>
      <c r="G208" s="85"/>
      <c r="H208" s="220"/>
    </row>
    <row r="209" customHeight="1" spans="1:9">
      <c r="A209" s="27">
        <v>32</v>
      </c>
      <c r="B209" s="18" t="s">
        <v>353</v>
      </c>
      <c r="C209" s="12" t="s">
        <v>352</v>
      </c>
      <c r="D209" s="15" t="s">
        <v>108</v>
      </c>
      <c r="E209" s="85">
        <v>300000</v>
      </c>
      <c r="F209" s="85">
        <f t="shared" si="14"/>
        <v>300000</v>
      </c>
      <c r="G209" s="85"/>
      <c r="H209" s="220"/>
    </row>
    <row r="210" s="1" customFormat="1" customHeight="1" spans="1:9">
      <c r="A210" s="27">
        <v>33</v>
      </c>
      <c r="B210" s="18" t="s">
        <v>354</v>
      </c>
      <c r="C210" s="12" t="s">
        <v>342</v>
      </c>
      <c r="D210" s="15" t="s">
        <v>111</v>
      </c>
      <c r="E210" s="85">
        <v>300000</v>
      </c>
      <c r="F210" s="85">
        <f t="shared" si="14"/>
        <v>300000</v>
      </c>
      <c r="G210" s="85"/>
      <c r="H210" s="220"/>
    </row>
    <row r="211" s="1" customFormat="1" customHeight="1" spans="1:9">
      <c r="A211" s="27">
        <v>34</v>
      </c>
      <c r="B211" s="18" t="s">
        <v>355</v>
      </c>
      <c r="C211" s="12" t="s">
        <v>342</v>
      </c>
      <c r="D211" s="15" t="s">
        <v>111</v>
      </c>
      <c r="E211" s="85">
        <v>300000</v>
      </c>
      <c r="F211" s="85">
        <f t="shared" si="14"/>
        <v>300000</v>
      </c>
      <c r="G211" s="85"/>
      <c r="H211" s="220"/>
    </row>
    <row r="212" s="1" customFormat="1" customHeight="1" spans="1:9">
      <c r="A212" s="27">
        <v>35</v>
      </c>
      <c r="B212" s="18" t="s">
        <v>356</v>
      </c>
      <c r="C212" s="12" t="s">
        <v>342</v>
      </c>
      <c r="D212" s="15" t="s">
        <v>111</v>
      </c>
      <c r="E212" s="85">
        <v>300000</v>
      </c>
      <c r="F212" s="85">
        <f t="shared" si="14"/>
        <v>300000</v>
      </c>
      <c r="G212" s="85"/>
      <c r="H212" s="220"/>
    </row>
    <row r="213" s="1" customFormat="1" customHeight="1" spans="1:9">
      <c r="A213" s="27">
        <v>36</v>
      </c>
      <c r="B213" s="18" t="s">
        <v>357</v>
      </c>
      <c r="C213" s="12" t="s">
        <v>342</v>
      </c>
      <c r="D213" s="15" t="s">
        <v>275</v>
      </c>
      <c r="E213" s="85">
        <v>300000</v>
      </c>
      <c r="F213" s="85">
        <f t="shared" si="14"/>
        <v>300000</v>
      </c>
      <c r="G213" s="85"/>
      <c r="H213" s="220"/>
      <c r="I213" s="13"/>
    </row>
    <row r="214" s="1" customFormat="1" customHeight="1" spans="1:9">
      <c r="A214" s="27">
        <v>37</v>
      </c>
      <c r="B214" s="18" t="s">
        <v>358</v>
      </c>
      <c r="C214" s="12" t="s">
        <v>342</v>
      </c>
      <c r="D214" s="15" t="s">
        <v>275</v>
      </c>
      <c r="E214" s="85">
        <v>300000</v>
      </c>
      <c r="F214" s="85">
        <f t="shared" si="14"/>
        <v>300000</v>
      </c>
      <c r="G214" s="85"/>
      <c r="H214" s="220"/>
      <c r="I214" s="13"/>
    </row>
    <row r="215" customHeight="1" spans="1:9">
      <c r="A215" s="27">
        <v>38</v>
      </c>
      <c r="B215" s="11" t="s">
        <v>359</v>
      </c>
      <c r="C215" s="12" t="s">
        <v>512</v>
      </c>
      <c r="D215" s="15" t="s">
        <v>361</v>
      </c>
      <c r="E215" s="85">
        <v>150000</v>
      </c>
      <c r="F215" s="85">
        <f t="shared" si="14"/>
        <v>150000</v>
      </c>
      <c r="G215" s="85"/>
      <c r="H215" s="220"/>
    </row>
    <row r="216" customHeight="1" spans="1:9">
      <c r="A216" s="27">
        <v>39</v>
      </c>
      <c r="B216" s="11" t="s">
        <v>362</v>
      </c>
      <c r="C216" s="12" t="s">
        <v>512</v>
      </c>
      <c r="D216" s="15" t="s">
        <v>361</v>
      </c>
      <c r="E216" s="85">
        <v>150000</v>
      </c>
      <c r="F216" s="85">
        <f t="shared" si="14"/>
        <v>150000</v>
      </c>
      <c r="G216" s="85"/>
      <c r="H216" s="220"/>
    </row>
    <row r="217" customHeight="1" spans="1:9">
      <c r="A217" s="27">
        <v>40</v>
      </c>
      <c r="B217" s="11" t="s">
        <v>363</v>
      </c>
      <c r="C217" s="12" t="s">
        <v>512</v>
      </c>
      <c r="D217" s="15" t="s">
        <v>361</v>
      </c>
      <c r="E217" s="85">
        <v>150000</v>
      </c>
      <c r="F217" s="85">
        <f t="shared" ref="F217:F243" si="15">E217</f>
        <v>150000</v>
      </c>
      <c r="G217" s="85"/>
      <c r="H217" s="220"/>
    </row>
    <row r="218" customHeight="1" spans="1:9">
      <c r="A218" s="27">
        <v>41</v>
      </c>
      <c r="B218" s="11" t="s">
        <v>364</v>
      </c>
      <c r="C218" s="12" t="s">
        <v>512</v>
      </c>
      <c r="D218" s="15" t="s">
        <v>361</v>
      </c>
      <c r="E218" s="85">
        <v>150000</v>
      </c>
      <c r="F218" s="85">
        <f t="shared" si="15"/>
        <v>150000</v>
      </c>
      <c r="G218" s="85"/>
      <c r="H218" s="220"/>
    </row>
    <row r="219" customHeight="1" spans="1:9">
      <c r="A219" s="27">
        <v>42</v>
      </c>
      <c r="B219" s="11" t="s">
        <v>365</v>
      </c>
      <c r="C219" s="12" t="s">
        <v>512</v>
      </c>
      <c r="D219" s="15" t="s">
        <v>366</v>
      </c>
      <c r="E219" s="85">
        <v>150000</v>
      </c>
      <c r="F219" s="85">
        <f t="shared" si="15"/>
        <v>150000</v>
      </c>
      <c r="G219" s="85"/>
      <c r="H219" s="220"/>
    </row>
    <row r="220" customHeight="1" spans="1:9">
      <c r="A220" s="27">
        <v>43</v>
      </c>
      <c r="B220" s="11" t="s">
        <v>367</v>
      </c>
      <c r="C220" s="12" t="s">
        <v>512</v>
      </c>
      <c r="D220" s="15" t="s">
        <v>366</v>
      </c>
      <c r="E220" s="85">
        <v>150000</v>
      </c>
      <c r="F220" s="85">
        <f t="shared" si="15"/>
        <v>150000</v>
      </c>
      <c r="G220" s="85"/>
      <c r="H220" s="220"/>
    </row>
    <row r="221" customHeight="1" spans="1:9">
      <c r="A221" s="27">
        <v>44</v>
      </c>
      <c r="B221" s="14" t="s">
        <v>368</v>
      </c>
      <c r="C221" s="12" t="s">
        <v>512</v>
      </c>
      <c r="D221" s="15" t="s">
        <v>366</v>
      </c>
      <c r="E221" s="85">
        <v>150000</v>
      </c>
      <c r="F221" s="85">
        <f t="shared" si="15"/>
        <v>150000</v>
      </c>
      <c r="G221" s="85"/>
      <c r="H221" s="220"/>
    </row>
    <row r="222" customHeight="1" spans="1:9">
      <c r="A222" s="27">
        <v>45</v>
      </c>
      <c r="B222" s="11" t="s">
        <v>369</v>
      </c>
      <c r="C222" s="12" t="s">
        <v>512</v>
      </c>
      <c r="D222" s="15" t="s">
        <v>366</v>
      </c>
      <c r="E222" s="85">
        <v>150000</v>
      </c>
      <c r="F222" s="85">
        <f t="shared" si="15"/>
        <v>150000</v>
      </c>
      <c r="G222" s="85"/>
      <c r="H222" s="220"/>
    </row>
    <row r="223" customHeight="1" spans="1:9">
      <c r="A223" s="27">
        <v>46</v>
      </c>
      <c r="B223" s="18" t="s">
        <v>370</v>
      </c>
      <c r="C223" s="12" t="s">
        <v>512</v>
      </c>
      <c r="D223" s="15" t="s">
        <v>366</v>
      </c>
      <c r="E223" s="85">
        <v>150000</v>
      </c>
      <c r="F223" s="85">
        <f t="shared" si="15"/>
        <v>150000</v>
      </c>
      <c r="G223" s="85"/>
      <c r="H223" s="220"/>
    </row>
    <row r="224" customHeight="1" spans="1:9">
      <c r="A224" s="27">
        <v>47</v>
      </c>
      <c r="B224" s="11" t="s">
        <v>371</v>
      </c>
      <c r="C224" s="12" t="s">
        <v>360</v>
      </c>
      <c r="D224" s="15" t="s">
        <v>372</v>
      </c>
      <c r="E224" s="85">
        <v>150000</v>
      </c>
      <c r="F224" s="85">
        <f t="shared" si="15"/>
        <v>150000</v>
      </c>
      <c r="G224" s="85"/>
      <c r="H224" s="220"/>
    </row>
    <row r="225" customHeight="1" spans="1:8">
      <c r="A225" s="27">
        <v>48</v>
      </c>
      <c r="B225" s="11" t="s">
        <v>373</v>
      </c>
      <c r="C225" s="12" t="s">
        <v>360</v>
      </c>
      <c r="D225" s="15" t="s">
        <v>372</v>
      </c>
      <c r="E225" s="85">
        <v>150000</v>
      </c>
      <c r="F225" s="85">
        <f t="shared" si="15"/>
        <v>150000</v>
      </c>
      <c r="G225" s="85"/>
      <c r="H225" s="220"/>
    </row>
    <row r="226" customHeight="1" spans="1:8">
      <c r="A226" s="27">
        <v>49</v>
      </c>
      <c r="B226" s="18" t="s">
        <v>374</v>
      </c>
      <c r="C226" s="12" t="s">
        <v>360</v>
      </c>
      <c r="D226" s="15" t="s">
        <v>375</v>
      </c>
      <c r="E226" s="85">
        <v>150000</v>
      </c>
      <c r="F226" s="85">
        <f t="shared" si="15"/>
        <v>150000</v>
      </c>
      <c r="G226" s="85"/>
      <c r="H226" s="220"/>
    </row>
    <row r="227" customHeight="1" spans="1:8">
      <c r="A227" s="27">
        <v>50</v>
      </c>
      <c r="B227" s="11" t="s">
        <v>376</v>
      </c>
      <c r="C227" s="12" t="s">
        <v>513</v>
      </c>
      <c r="D227" s="15" t="s">
        <v>377</v>
      </c>
      <c r="E227" s="85">
        <v>150000</v>
      </c>
      <c r="F227" s="85">
        <f t="shared" si="15"/>
        <v>150000</v>
      </c>
      <c r="G227" s="85"/>
      <c r="H227" s="220"/>
    </row>
    <row r="228" customHeight="1" spans="1:8">
      <c r="A228" s="27">
        <v>51</v>
      </c>
      <c r="B228" s="11" t="s">
        <v>378</v>
      </c>
      <c r="C228" s="12" t="s">
        <v>513</v>
      </c>
      <c r="D228" s="15" t="s">
        <v>377</v>
      </c>
      <c r="E228" s="85">
        <v>150000</v>
      </c>
      <c r="F228" s="85">
        <f t="shared" si="15"/>
        <v>150000</v>
      </c>
      <c r="G228" s="85"/>
      <c r="H228" s="220"/>
    </row>
    <row r="229" customHeight="1" spans="1:8">
      <c r="A229" s="27">
        <v>52</v>
      </c>
      <c r="B229" s="11" t="s">
        <v>379</v>
      </c>
      <c r="C229" s="12" t="s">
        <v>513</v>
      </c>
      <c r="D229" s="15" t="s">
        <v>377</v>
      </c>
      <c r="E229" s="85">
        <v>150000</v>
      </c>
      <c r="F229" s="85">
        <f t="shared" si="15"/>
        <v>150000</v>
      </c>
      <c r="G229" s="85"/>
      <c r="H229" s="220"/>
    </row>
    <row r="230" customHeight="1" spans="1:8">
      <c r="A230" s="27">
        <v>53</v>
      </c>
      <c r="B230" s="11" t="s">
        <v>380</v>
      </c>
      <c r="C230" s="12" t="s">
        <v>513</v>
      </c>
      <c r="D230" s="15" t="s">
        <v>377</v>
      </c>
      <c r="E230" s="85">
        <v>150000</v>
      </c>
      <c r="F230" s="85">
        <f t="shared" si="15"/>
        <v>150000</v>
      </c>
      <c r="G230" s="85"/>
      <c r="H230" s="220"/>
    </row>
    <row r="231" customHeight="1" spans="1:8">
      <c r="A231" s="27">
        <v>54</v>
      </c>
      <c r="B231" s="11" t="s">
        <v>381</v>
      </c>
      <c r="C231" s="12" t="s">
        <v>513</v>
      </c>
      <c r="D231" s="15" t="s">
        <v>377</v>
      </c>
      <c r="E231" s="85">
        <v>150000</v>
      </c>
      <c r="F231" s="85">
        <f t="shared" si="15"/>
        <v>150000</v>
      </c>
      <c r="G231" s="85"/>
      <c r="H231" s="220"/>
    </row>
    <row r="232" customHeight="1" spans="1:8">
      <c r="A232" s="27">
        <v>55</v>
      </c>
      <c r="B232" s="11" t="s">
        <v>382</v>
      </c>
      <c r="C232" s="12" t="s">
        <v>513</v>
      </c>
      <c r="D232" s="15" t="s">
        <v>377</v>
      </c>
      <c r="E232" s="85">
        <v>150000</v>
      </c>
      <c r="F232" s="85">
        <f t="shared" si="15"/>
        <v>150000</v>
      </c>
      <c r="G232" s="85"/>
      <c r="H232" s="220"/>
    </row>
    <row r="233" customHeight="1" spans="1:8">
      <c r="A233" s="27">
        <v>56</v>
      </c>
      <c r="B233" s="18" t="s">
        <v>383</v>
      </c>
      <c r="C233" s="12" t="s">
        <v>513</v>
      </c>
      <c r="D233" s="15" t="s">
        <v>384</v>
      </c>
      <c r="E233" s="85">
        <v>150000</v>
      </c>
      <c r="F233" s="85">
        <f t="shared" si="15"/>
        <v>150000</v>
      </c>
      <c r="G233" s="85"/>
      <c r="H233" s="220"/>
    </row>
    <row r="234" customHeight="1" spans="1:8">
      <c r="A234" s="27">
        <v>57</v>
      </c>
      <c r="B234" s="18" t="s">
        <v>385</v>
      </c>
      <c r="C234" s="12" t="s">
        <v>514</v>
      </c>
      <c r="D234" s="15" t="s">
        <v>388</v>
      </c>
      <c r="E234" s="85">
        <v>100000</v>
      </c>
      <c r="F234" s="85">
        <f t="shared" si="15"/>
        <v>100000</v>
      </c>
      <c r="G234" s="85"/>
      <c r="H234" s="220"/>
    </row>
    <row r="235" customHeight="1" spans="1:8">
      <c r="A235" s="27">
        <v>58</v>
      </c>
      <c r="B235" s="11" t="s">
        <v>386</v>
      </c>
      <c r="C235" s="12" t="s">
        <v>387</v>
      </c>
      <c r="D235" s="15" t="s">
        <v>388</v>
      </c>
      <c r="E235" s="85">
        <v>100000</v>
      </c>
      <c r="F235" s="85">
        <f t="shared" si="15"/>
        <v>100000</v>
      </c>
      <c r="G235" s="85"/>
      <c r="H235" s="220"/>
    </row>
    <row r="236" customHeight="1" spans="1:8">
      <c r="A236" s="27">
        <v>59</v>
      </c>
      <c r="B236" s="18" t="s">
        <v>389</v>
      </c>
      <c r="C236" s="12" t="s">
        <v>390</v>
      </c>
      <c r="D236" s="15" t="s">
        <v>391</v>
      </c>
      <c r="E236" s="85">
        <v>100000</v>
      </c>
      <c r="F236" s="85">
        <f t="shared" si="15"/>
        <v>100000</v>
      </c>
      <c r="G236" s="85"/>
      <c r="H236" s="220"/>
    </row>
    <row r="237" customHeight="1" spans="1:8">
      <c r="A237" s="27">
        <v>60</v>
      </c>
      <c r="B237" s="18" t="s">
        <v>392</v>
      </c>
      <c r="C237" s="12" t="s">
        <v>390</v>
      </c>
      <c r="D237" s="15" t="s">
        <v>393</v>
      </c>
      <c r="E237" s="85">
        <v>100000</v>
      </c>
      <c r="F237" s="85">
        <f t="shared" si="15"/>
        <v>100000</v>
      </c>
      <c r="G237" s="85"/>
      <c r="H237" s="220"/>
    </row>
    <row r="238" customHeight="1" spans="1:8">
      <c r="A238" s="27">
        <v>61</v>
      </c>
      <c r="B238" s="18" t="s">
        <v>394</v>
      </c>
      <c r="C238" s="12" t="s">
        <v>390</v>
      </c>
      <c r="D238" s="15" t="s">
        <v>395</v>
      </c>
      <c r="E238" s="85">
        <v>100000</v>
      </c>
      <c r="F238" s="85">
        <f t="shared" si="15"/>
        <v>100000</v>
      </c>
      <c r="G238" s="85"/>
      <c r="H238" s="220"/>
    </row>
    <row r="239" customHeight="1" spans="1:8">
      <c r="A239" s="27">
        <v>62</v>
      </c>
      <c r="B239" s="18" t="s">
        <v>396</v>
      </c>
      <c r="C239" s="12" t="s">
        <v>397</v>
      </c>
      <c r="D239" s="15" t="s">
        <v>398</v>
      </c>
      <c r="E239" s="85">
        <v>100000</v>
      </c>
      <c r="F239" s="85">
        <f t="shared" si="15"/>
        <v>100000</v>
      </c>
      <c r="G239" s="85"/>
      <c r="H239" s="4"/>
    </row>
    <row r="240" customHeight="1" spans="1:8">
      <c r="A240" s="27">
        <v>63</v>
      </c>
      <c r="B240" s="18" t="s">
        <v>399</v>
      </c>
      <c r="C240" s="12" t="s">
        <v>397</v>
      </c>
      <c r="D240" s="15" t="s">
        <v>398</v>
      </c>
      <c r="E240" s="85">
        <v>100000</v>
      </c>
      <c r="F240" s="85">
        <f t="shared" si="15"/>
        <v>100000</v>
      </c>
      <c r="G240" s="85"/>
      <c r="H240" s="4"/>
    </row>
    <row r="241" customHeight="1" spans="1:8">
      <c r="A241" s="27">
        <v>64</v>
      </c>
      <c r="B241" s="18" t="s">
        <v>400</v>
      </c>
      <c r="C241" s="12" t="s">
        <v>397</v>
      </c>
      <c r="D241" s="15" t="s">
        <v>398</v>
      </c>
      <c r="E241" s="85">
        <v>100000</v>
      </c>
      <c r="F241" s="85">
        <f t="shared" si="15"/>
        <v>100000</v>
      </c>
      <c r="G241" s="85"/>
      <c r="H241" s="4"/>
    </row>
    <row r="242" customHeight="1" spans="1:8">
      <c r="A242" s="27">
        <v>65</v>
      </c>
      <c r="B242" s="18" t="s">
        <v>401</v>
      </c>
      <c r="C242" s="12" t="s">
        <v>402</v>
      </c>
      <c r="D242" s="15" t="s">
        <v>403</v>
      </c>
      <c r="E242" s="85">
        <v>100000</v>
      </c>
      <c r="F242" s="85">
        <f t="shared" si="15"/>
        <v>100000</v>
      </c>
      <c r="G242" s="85"/>
      <c r="H242" s="220"/>
    </row>
    <row r="243" customHeight="1" spans="1:8">
      <c r="A243" s="27">
        <v>66</v>
      </c>
      <c r="B243" s="18" t="s">
        <v>404</v>
      </c>
      <c r="C243" s="12" t="s">
        <v>402</v>
      </c>
      <c r="D243" s="15" t="s">
        <v>403</v>
      </c>
      <c r="E243" s="85">
        <v>100000</v>
      </c>
      <c r="F243" s="85">
        <f t="shared" si="15"/>
        <v>100000</v>
      </c>
      <c r="G243" s="85"/>
      <c r="H243" s="220"/>
    </row>
    <row r="244" ht="30.75" customHeight="1" spans="1:8">
      <c r="A244" s="27"/>
      <c r="B244" s="8" t="s">
        <v>120</v>
      </c>
      <c r="C244" s="28" t="s">
        <v>405</v>
      </c>
      <c r="D244" s="29"/>
      <c r="E244" s="93">
        <f>SUM(E178:E243)</f>
        <v>19150000</v>
      </c>
      <c r="F244" s="93">
        <f>SUM(F178:F243)</f>
        <v>9850000</v>
      </c>
      <c r="G244" s="93">
        <f>SUM(G178:G243)</f>
        <v>5200000</v>
      </c>
      <c r="H244" s="93">
        <f>SUM(H178:H243)</f>
        <v>4100000</v>
      </c>
    </row>
    <row r="245" ht="30" customHeight="1" spans="1:8">
      <c r="A245" s="4"/>
      <c r="B245" s="30" t="s">
        <v>406</v>
      </c>
      <c r="C245" s="31">
        <f>C47+C57+C72+C77+C91+C105+C120+C130+C143+C160+C175+C244</f>
        <v>194</v>
      </c>
      <c r="D245" s="32"/>
      <c r="E245" s="227">
        <f>E244+E175+E160+E153+E143+E130+E120+E105+E91+E77+E72+E57+E47</f>
        <v>81050000</v>
      </c>
      <c r="F245" s="227">
        <f>F244+F175+F160+F153+F143+F130+F120+F105+F91+F77+F72+F57+F47</f>
        <v>28450000</v>
      </c>
      <c r="G245" s="227">
        <f>G244+G175+G160+G153+G143+G130+G120+G105+G91+G77+G72+G57+G47</f>
        <v>23050000</v>
      </c>
      <c r="H245" s="227">
        <f>H244+H175+H160+H153+H143+H130+H120+H105+H91+H77+H72+H57+H47</f>
        <v>29550000</v>
      </c>
    </row>
    <row r="246" ht="26" customHeight="1" spans="1:8">
      <c r="B246" s="33"/>
      <c r="D246" s="34"/>
      <c r="F246" s="34"/>
      <c r="G246" s="34"/>
      <c r="H246" s="228"/>
    </row>
    <row r="247" ht="29" customHeight="1" spans="1:8">
      <c r="B247" s="33"/>
      <c r="C247" s="34"/>
      <c r="D247" s="34"/>
      <c r="F247" s="34"/>
      <c r="G247" s="34"/>
      <c r="H247" s="228"/>
    </row>
    <row r="248" customHeight="1" spans="1:8">
      <c r="E248" s="34"/>
    </row>
    <row r="249" customHeight="1" spans="1:8">
      <c r="E249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9" manualBreakCount="9">
    <brk id="23" max="7" man="1"/>
    <brk id="67" max="7" man="1"/>
    <brk id="88" max="7" man="1"/>
    <brk id="106" max="7" man="1"/>
    <brk id="126" max="7" man="1"/>
    <brk id="144" max="7" man="1"/>
    <brk id="161" max="7" man="1"/>
    <brk id="182" max="7" man="1"/>
    <brk id="204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workbookViewId="0">
      <selection activeCell="B13" sqref="B13:F15"/>
    </sheetView>
  </sheetViews>
  <sheetFormatPr defaultColWidth="8.72727272727273" defaultRowHeight="12.5" outlineLevelCol="5"/>
  <cols>
    <col min="1" max="1" width="2.72727272727273" customWidth="1"/>
    <col min="2" max="2" width="20" customWidth="1"/>
    <col min="3" max="3" width="15.5454545454545" customWidth="1"/>
    <col min="4" max="4" width="15.7272727272727" customWidth="1"/>
    <col min="5" max="5" width="16.0909090909091" customWidth="1"/>
    <col min="6" max="6" width="15.8181818181818" customWidth="1"/>
  </cols>
  <sheetData>
    <row r="3" ht="21" customHeight="1" spans="1:6">
      <c r="A3" s="1024" t="s">
        <v>578</v>
      </c>
      <c r="B3" s="1024"/>
      <c r="C3" s="1024"/>
      <c r="D3" s="1024"/>
      <c r="E3" s="1024"/>
      <c r="F3" s="1024"/>
    </row>
    <row r="4" ht="31" customHeight="1" spans="1:6">
      <c r="A4" s="284"/>
      <c r="B4" s="42" t="s">
        <v>579</v>
      </c>
      <c r="C4" s="1025" t="s">
        <v>580</v>
      </c>
      <c r="D4" s="1025" t="s">
        <v>581</v>
      </c>
      <c r="E4" s="1025" t="s">
        <v>582</v>
      </c>
      <c r="F4" s="1026" t="s">
        <v>120</v>
      </c>
    </row>
    <row r="5" ht="13" spans="1:6">
      <c r="A5" s="280"/>
      <c r="B5" s="280"/>
      <c r="C5" s="1027" t="s">
        <v>21</v>
      </c>
      <c r="D5" s="1027" t="s">
        <v>21</v>
      </c>
      <c r="E5" s="1027" t="s">
        <v>21</v>
      </c>
      <c r="F5" s="1028" t="s">
        <v>21</v>
      </c>
    </row>
    <row r="6" ht="18" customHeight="1" spans="1:6">
      <c r="A6" s="722">
        <v>1</v>
      </c>
      <c r="B6" s="722" t="s">
        <v>491</v>
      </c>
      <c r="C6" s="610">
        <f>'2026 ENHANCED WELFARE'!F245</f>
        <v>28450000</v>
      </c>
      <c r="D6" s="610">
        <f>'2026 ENHANCED WELFARE'!G245</f>
        <v>23050000</v>
      </c>
      <c r="E6" s="610">
        <f>'2026 ENHANCED WELFARE'!H245</f>
        <v>29550000</v>
      </c>
      <c r="F6" s="1029">
        <f>SUM(C6:E6)</f>
        <v>81050000</v>
      </c>
    </row>
    <row r="7" ht="18" customHeight="1" spans="1:6">
      <c r="A7" s="722">
        <v>2</v>
      </c>
      <c r="B7" s="722" t="s">
        <v>492</v>
      </c>
      <c r="C7" s="610">
        <f>'[25]Enh Wlf New Perm Staff'!$F$92</f>
        <v>13200000</v>
      </c>
      <c r="D7" s="610">
        <f>'[25]Enh Wlf New Perm Staff'!$G$92</f>
        <v>3900000</v>
      </c>
      <c r="E7" s="610">
        <f>'[25]Enh Wlf New Perm Staff'!$H$92</f>
        <v>3500000</v>
      </c>
      <c r="F7" s="1029">
        <f>SUM(C7:E7)</f>
        <v>20600000</v>
      </c>
    </row>
    <row r="8" ht="18" customHeight="1" spans="1:6">
      <c r="A8" s="722">
        <v>3</v>
      </c>
      <c r="B8" s="722" t="s">
        <v>493</v>
      </c>
      <c r="C8" s="610"/>
      <c r="D8" s="610">
        <f>'[23]ENH WELF Contract'!$F$31</f>
        <v>6700000</v>
      </c>
      <c r="E8" s="610">
        <f>'[23]ENH WELF Contract'!$G$31</f>
        <v>2900000</v>
      </c>
      <c r="F8" s="1029">
        <f>SUM(C8:E8)</f>
        <v>9600000</v>
      </c>
    </row>
    <row r="9" ht="18" customHeight="1" spans="1:6">
      <c r="A9" s="722">
        <v>4</v>
      </c>
      <c r="B9" s="722" t="s">
        <v>494</v>
      </c>
      <c r="C9" s="610"/>
      <c r="D9" s="610">
        <f>'[23]Enh Wlf New Cntr'!$F$27</f>
        <v>6100000</v>
      </c>
      <c r="E9" s="610">
        <f>'[23]Enh Wlf New Cntr'!$G$27</f>
        <v>1000000</v>
      </c>
      <c r="F9" s="1029">
        <f>SUM(C9:E9)</f>
        <v>7100000</v>
      </c>
    </row>
    <row r="10" ht="18" customHeight="1" spans="1:6">
      <c r="A10" s="722">
        <v>5</v>
      </c>
      <c r="B10" s="722" t="s">
        <v>583</v>
      </c>
      <c r="C10" s="1030"/>
      <c r="D10" s="1030">
        <f>'[23]Enh Wlfr Casual'!$E$36</f>
        <v>2850000</v>
      </c>
      <c r="E10" s="1030">
        <f>'[23]Enh Wlfr Casual'!$F$36</f>
        <v>1000000</v>
      </c>
      <c r="F10" s="1029">
        <f>SUM(C10:E10)</f>
        <v>3850000</v>
      </c>
    </row>
    <row r="11" ht="26" customHeight="1" spans="1:6">
      <c r="A11" s="1031"/>
      <c r="B11" s="1032" t="s">
        <v>584</v>
      </c>
      <c r="C11" s="1033">
        <f>SUM(C6:C10)</f>
        <v>41650000</v>
      </c>
      <c r="D11" s="1033">
        <f>SUM(D6:D10)</f>
        <v>42600000</v>
      </c>
      <c r="E11" s="1033">
        <f>SUM(E6:E10)</f>
        <v>37950000</v>
      </c>
      <c r="F11" s="1033">
        <f>SUM(F6:F10)</f>
        <v>122200000</v>
      </c>
    </row>
    <row r="13" ht="30" spans="1:6">
      <c r="B13" s="42" t="s">
        <v>579</v>
      </c>
      <c r="C13" s="268" t="s">
        <v>580</v>
      </c>
      <c r="D13" s="268" t="s">
        <v>581</v>
      </c>
      <c r="E13" s="268" t="s">
        <v>582</v>
      </c>
      <c r="F13" s="1034" t="s">
        <v>120</v>
      </c>
    </row>
    <row r="14" ht="13" spans="1:6">
      <c r="B14" s="280"/>
      <c r="C14" s="1027" t="s">
        <v>21</v>
      </c>
      <c r="D14" s="1027" t="s">
        <v>21</v>
      </c>
      <c r="E14" s="1027" t="s">
        <v>21</v>
      </c>
      <c r="F14" s="1035" t="s">
        <v>21</v>
      </c>
    </row>
    <row r="15" ht="34" customHeight="1" spans="1:6">
      <c r="B15" s="43" t="s">
        <v>491</v>
      </c>
      <c r="C15" s="261">
        <f>'2026 ENHANCED WELFARE (2)'!F245</f>
        <v>28450000</v>
      </c>
      <c r="D15" s="261">
        <f>'2026 ENHANCED WELFARE (2)'!G245</f>
        <v>23050000</v>
      </c>
      <c r="E15" s="261">
        <f>'2026 ENHANCED WELFARE (2)'!H245</f>
        <v>29550000</v>
      </c>
      <c r="F15" s="1036">
        <f>SUM(C15:E15)</f>
        <v>81050000</v>
      </c>
    </row>
  </sheetData>
  <mergeCells count="1">
    <mergeCell ref="A3:F3"/>
  </mergeCells>
  <pageMargins left="0.75" right="0.75" top="1" bottom="1" header="0.5" footer="0.5"/>
  <pageSetup paperSize="256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3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O186" sqref="O18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7.8636363636364" style="1" customWidth="1"/>
    <col min="8" max="8" width="18.2818181818182" style="1" customWidth="1"/>
    <col min="9" max="12" width="16.7727272727273" style="1" customWidth="1"/>
    <col min="13" max="13" width="19.2818181818182" style="1" customWidth="1"/>
    <col min="14" max="15" width="17.8636363636364" style="1" customWidth="1"/>
    <col min="16" max="16" width="13.2727272727273" style="1" customWidth="1"/>
    <col min="17" max="18" width="17.8636363636364" style="1" customWidth="1"/>
    <col min="19" max="16384" width="9.13636363636364" style="1"/>
  </cols>
  <sheetData>
    <row r="1" ht="27" customHeight="1" spans="1:18">
      <c r="A1" s="76" t="s">
        <v>0</v>
      </c>
      <c r="B1" s="76"/>
      <c r="C1" s="76"/>
      <c r="D1" s="76"/>
      <c r="E1" s="76"/>
      <c r="F1" s="76"/>
      <c r="G1" s="76"/>
      <c r="H1" s="217"/>
      <c r="M1" s="76"/>
      <c r="N1" s="76"/>
      <c r="O1" s="76"/>
      <c r="Q1" s="76"/>
      <c r="R1" s="76"/>
    </row>
    <row r="2" ht="33.75" customHeight="1" spans="1:18">
      <c r="A2" s="76" t="s">
        <v>585</v>
      </c>
      <c r="B2" s="77"/>
      <c r="C2" s="76"/>
      <c r="D2" s="76"/>
      <c r="E2" s="216"/>
      <c r="F2" s="216"/>
      <c r="G2" s="216"/>
      <c r="H2" s="299"/>
      <c r="I2" s="78"/>
      <c r="J2" s="78"/>
      <c r="K2" s="78"/>
      <c r="L2" s="78"/>
      <c r="M2" s="216"/>
      <c r="N2" s="216"/>
      <c r="O2" s="216"/>
      <c r="P2" s="78"/>
      <c r="Q2" s="216"/>
      <c r="R2" s="216"/>
    </row>
    <row r="3" ht="9.75" customHeight="1" spans="1:18">
      <c r="E3" s="217" t="e">
        <f>'[1]FEB 08'!E11/'[1]FEB 08'!M11</f>
        <v>#REF!</v>
      </c>
      <c r="F3" s="217"/>
      <c r="G3" s="217"/>
      <c r="H3" s="217"/>
      <c r="M3" s="217"/>
      <c r="N3" s="217"/>
      <c r="O3" s="217"/>
      <c r="Q3" s="217"/>
      <c r="R3" s="217"/>
    </row>
    <row r="4" ht="49.5" customHeight="1" spans="1:18">
      <c r="A4" s="4"/>
      <c r="B4" s="5" t="s">
        <v>2</v>
      </c>
      <c r="C4" s="6" t="s">
        <v>3</v>
      </c>
      <c r="D4" s="7" t="s">
        <v>586</v>
      </c>
      <c r="E4" s="218" t="s">
        <v>587</v>
      </c>
      <c r="F4" s="7" t="s">
        <v>588</v>
      </c>
      <c r="G4" s="218" t="s">
        <v>589</v>
      </c>
      <c r="H4" s="218" t="s">
        <v>590</v>
      </c>
      <c r="I4" s="218" t="s">
        <v>591</v>
      </c>
      <c r="J4" s="218" t="s">
        <v>592</v>
      </c>
      <c r="K4" s="218" t="s">
        <v>593</v>
      </c>
      <c r="L4" s="218" t="s">
        <v>594</v>
      </c>
      <c r="M4" s="7" t="s">
        <v>588</v>
      </c>
      <c r="N4" s="218" t="s">
        <v>595</v>
      </c>
      <c r="O4" s="218" t="s">
        <v>596</v>
      </c>
      <c r="P4" s="218" t="s">
        <v>597</v>
      </c>
      <c r="Q4" s="218" t="s">
        <v>598</v>
      </c>
      <c r="R4" s="218" t="s">
        <v>599</v>
      </c>
    </row>
    <row r="5" ht="17.25" customHeight="1" spans="1:18">
      <c r="C5" s="8"/>
      <c r="D5" s="8"/>
      <c r="E5" s="82" t="s">
        <v>21</v>
      </c>
      <c r="F5" s="82"/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/>
      <c r="N5" s="82"/>
      <c r="O5" s="82"/>
      <c r="P5" s="82" t="s">
        <v>21</v>
      </c>
      <c r="Q5" s="82"/>
      <c r="R5" s="82"/>
    </row>
    <row r="6" customHeight="1" spans="1:18">
      <c r="A6" s="9" t="s">
        <v>22</v>
      </c>
      <c r="B6" s="8" t="s">
        <v>23</v>
      </c>
      <c r="C6" s="8"/>
      <c r="D6" s="8"/>
      <c r="E6" s="82"/>
      <c r="F6" s="82"/>
      <c r="G6" s="21"/>
      <c r="H6" s="82"/>
      <c r="I6" s="82"/>
      <c r="J6" s="82"/>
      <c r="K6" s="82"/>
      <c r="L6" s="82"/>
      <c r="M6" s="82"/>
      <c r="N6" s="21"/>
      <c r="O6" s="21"/>
      <c r="P6" s="82"/>
      <c r="Q6" s="21"/>
      <c r="R6" s="21"/>
    </row>
    <row r="7" customHeight="1" spans="1:18">
      <c r="A7" s="10">
        <v>1</v>
      </c>
      <c r="B7" s="11" t="s">
        <v>24</v>
      </c>
      <c r="C7" s="12" t="s">
        <v>25</v>
      </c>
      <c r="D7" s="12" t="s">
        <v>26</v>
      </c>
      <c r="E7" s="85">
        <v>1971137.08333333</v>
      </c>
      <c r="F7" s="12" t="s">
        <v>26</v>
      </c>
      <c r="G7" s="85">
        <v>1971137.08333333</v>
      </c>
      <c r="H7" s="220">
        <f>G7-E7</f>
        <v>0</v>
      </c>
      <c r="I7" s="85">
        <v>0</v>
      </c>
      <c r="J7" s="85"/>
      <c r="K7" s="85">
        <f>J7-I7</f>
        <v>0</v>
      </c>
      <c r="L7" s="85">
        <f>J7*12</f>
        <v>0</v>
      </c>
      <c r="M7" s="12" t="s">
        <v>26</v>
      </c>
      <c r="N7" s="911"/>
      <c r="O7" s="911">
        <f>N7*0.025</f>
        <v>0</v>
      </c>
      <c r="P7" s="85"/>
      <c r="Q7" s="911"/>
      <c r="R7" s="911"/>
    </row>
    <row r="8" customHeight="1" spans="1:18">
      <c r="A8" s="10">
        <v>2</v>
      </c>
      <c r="B8" s="11" t="s">
        <v>27</v>
      </c>
      <c r="C8" s="12" t="s">
        <v>28</v>
      </c>
      <c r="D8" s="10" t="s">
        <v>29</v>
      </c>
      <c r="E8" s="85">
        <v>905306.75</v>
      </c>
      <c r="F8" s="10" t="s">
        <v>29</v>
      </c>
      <c r="G8" s="85">
        <v>905306.75</v>
      </c>
      <c r="H8" s="220">
        <f t="shared" ref="H8:H47" si="0">G8-E8</f>
        <v>0</v>
      </c>
      <c r="I8" s="85">
        <v>72424.54</v>
      </c>
      <c r="J8" s="85">
        <f t="shared" ref="J8:J47" si="1">G8*0.08</f>
        <v>72424.54</v>
      </c>
      <c r="K8" s="85">
        <f t="shared" ref="K8:K47" si="2">J8-I8</f>
        <v>0</v>
      </c>
      <c r="L8" s="85">
        <f t="shared" ref="L8:L71" si="3">J8*12</f>
        <v>869094.48</v>
      </c>
      <c r="M8" s="10" t="s">
        <v>29</v>
      </c>
      <c r="N8" s="911">
        <v>554669.5</v>
      </c>
      <c r="O8" s="911"/>
      <c r="P8" s="85"/>
      <c r="Q8" s="911">
        <f>O8-P8</f>
        <v>0</v>
      </c>
      <c r="R8" s="911">
        <f>O8*12</f>
        <v>0</v>
      </c>
    </row>
    <row r="9" customHeight="1" spans="1:18">
      <c r="A9" s="10">
        <v>3</v>
      </c>
      <c r="B9" s="14" t="s">
        <v>30</v>
      </c>
      <c r="C9" s="4" t="s">
        <v>31</v>
      </c>
      <c r="D9" s="10" t="s">
        <v>29</v>
      </c>
      <c r="E9" s="85">
        <v>905306.75</v>
      </c>
      <c r="F9" s="10" t="s">
        <v>29</v>
      </c>
      <c r="G9" s="85">
        <v>905306.75</v>
      </c>
      <c r="H9" s="220">
        <f t="shared" si="0"/>
        <v>0</v>
      </c>
      <c r="I9" s="85"/>
      <c r="J9" s="85"/>
      <c r="K9" s="85">
        <f t="shared" si="2"/>
        <v>0</v>
      </c>
      <c r="L9" s="85">
        <f t="shared" si="3"/>
        <v>0</v>
      </c>
      <c r="M9" s="10" t="s">
        <v>29</v>
      </c>
      <c r="N9" s="911"/>
      <c r="O9" s="911">
        <f>N9*0.025</f>
        <v>0</v>
      </c>
      <c r="P9" s="85"/>
      <c r="Q9" s="911">
        <f t="shared" ref="Q9:Q72" si="4">O9-P9</f>
        <v>0</v>
      </c>
      <c r="R9" s="911">
        <f t="shared" ref="R9:R72" si="5">O9*12</f>
        <v>0</v>
      </c>
    </row>
    <row r="10" customHeight="1" spans="1:18">
      <c r="A10" s="10">
        <v>4</v>
      </c>
      <c r="B10" s="11" t="s">
        <v>32</v>
      </c>
      <c r="C10" s="17" t="s">
        <v>33</v>
      </c>
      <c r="D10" s="10" t="s">
        <v>29</v>
      </c>
      <c r="E10" s="85">
        <v>905306.75</v>
      </c>
      <c r="F10" s="10" t="s">
        <v>29</v>
      </c>
      <c r="G10" s="85">
        <v>905306.75</v>
      </c>
      <c r="H10" s="220">
        <f t="shared" si="0"/>
        <v>0</v>
      </c>
      <c r="I10" s="85">
        <v>72424.54</v>
      </c>
      <c r="J10" s="85">
        <f t="shared" si="1"/>
        <v>72424.54</v>
      </c>
      <c r="K10" s="85">
        <f t="shared" si="2"/>
        <v>0</v>
      </c>
      <c r="L10" s="85">
        <f t="shared" si="3"/>
        <v>869094.48</v>
      </c>
      <c r="M10" s="10" t="s">
        <v>29</v>
      </c>
      <c r="N10" s="911">
        <v>554669.5</v>
      </c>
      <c r="O10" s="911">
        <f>N10*0.025</f>
        <v>13866.7375</v>
      </c>
      <c r="P10" s="85">
        <v>13866.7375</v>
      </c>
      <c r="Q10" s="911">
        <f t="shared" si="4"/>
        <v>0</v>
      </c>
      <c r="R10" s="911">
        <f t="shared" si="5"/>
        <v>166400.85</v>
      </c>
    </row>
    <row r="11" customHeight="1" spans="1:18">
      <c r="A11" s="10">
        <v>5</v>
      </c>
      <c r="B11" s="11" t="s">
        <v>34</v>
      </c>
      <c r="C11" s="12" t="s">
        <v>35</v>
      </c>
      <c r="D11" s="15" t="s">
        <v>210</v>
      </c>
      <c r="E11" s="85">
        <v>879008.916666667</v>
      </c>
      <c r="F11" s="15" t="s">
        <v>36</v>
      </c>
      <c r="G11" s="85">
        <v>905306.75</v>
      </c>
      <c r="H11" s="220">
        <f t="shared" si="0"/>
        <v>26297.833333333</v>
      </c>
      <c r="I11" s="85">
        <v>68216.8866666667</v>
      </c>
      <c r="J11" s="85">
        <f t="shared" si="1"/>
        <v>72424.54</v>
      </c>
      <c r="K11" s="85">
        <f t="shared" si="2"/>
        <v>4207.65333333331</v>
      </c>
      <c r="L11" s="85">
        <f t="shared" si="3"/>
        <v>869094.48</v>
      </c>
      <c r="M11" s="15" t="s">
        <v>36</v>
      </c>
      <c r="N11" s="911">
        <v>554669.5</v>
      </c>
      <c r="O11" s="911">
        <f>N11*0.025</f>
        <v>13866.7375</v>
      </c>
      <c r="P11" s="85">
        <v>13084.6625</v>
      </c>
      <c r="Q11" s="911">
        <f t="shared" si="4"/>
        <v>782.075000000001</v>
      </c>
      <c r="R11" s="911">
        <f t="shared" si="5"/>
        <v>166400.85</v>
      </c>
    </row>
    <row r="12" customHeight="1" spans="1:18">
      <c r="A12" s="10">
        <v>6</v>
      </c>
      <c r="B12" s="11" t="s">
        <v>37</v>
      </c>
      <c r="C12" s="4" t="s">
        <v>38</v>
      </c>
      <c r="D12" s="10" t="s">
        <v>50</v>
      </c>
      <c r="E12" s="85">
        <v>722595.5</v>
      </c>
      <c r="F12" s="10" t="s">
        <v>39</v>
      </c>
      <c r="G12" s="85">
        <v>744477</v>
      </c>
      <c r="H12" s="220">
        <f t="shared" si="0"/>
        <v>21881.5</v>
      </c>
      <c r="I12" s="85">
        <v>57807.64</v>
      </c>
      <c r="J12" s="85">
        <f t="shared" si="1"/>
        <v>59558.16</v>
      </c>
      <c r="K12" s="85">
        <f t="shared" si="2"/>
        <v>1750.52</v>
      </c>
      <c r="L12" s="85">
        <f t="shared" si="3"/>
        <v>714697.92</v>
      </c>
      <c r="M12" s="10" t="s">
        <v>39</v>
      </c>
      <c r="N12" s="911">
        <v>459010.5</v>
      </c>
      <c r="O12" s="911">
        <f>N12*0.025</f>
        <v>11475.2625</v>
      </c>
      <c r="P12" s="85">
        <v>11149.8958333333</v>
      </c>
      <c r="Q12" s="911">
        <f t="shared" si="4"/>
        <v>325.366666666701</v>
      </c>
      <c r="R12" s="911">
        <f t="shared" si="5"/>
        <v>137703.15</v>
      </c>
    </row>
    <row r="13" customHeight="1" spans="1:18">
      <c r="A13" s="10">
        <v>7</v>
      </c>
      <c r="B13" s="11" t="s">
        <v>40</v>
      </c>
      <c r="C13" s="4" t="s">
        <v>41</v>
      </c>
      <c r="D13" s="15" t="s">
        <v>42</v>
      </c>
      <c r="E13" s="85">
        <v>700713.916666666</v>
      </c>
      <c r="F13" s="15" t="s">
        <v>42</v>
      </c>
      <c r="G13" s="85">
        <v>700713.916666666</v>
      </c>
      <c r="H13" s="220">
        <f t="shared" si="0"/>
        <v>0</v>
      </c>
      <c r="I13" s="85">
        <v>56057.1133333333</v>
      </c>
      <c r="J13" s="85">
        <f t="shared" si="1"/>
        <v>56057.1133333333</v>
      </c>
      <c r="K13" s="85">
        <f t="shared" si="2"/>
        <v>0</v>
      </c>
      <c r="L13" s="85">
        <f t="shared" si="3"/>
        <v>672685.359999999</v>
      </c>
      <c r="M13" s="15" t="s">
        <v>42</v>
      </c>
      <c r="N13" s="911">
        <v>432981.083333333</v>
      </c>
      <c r="O13" s="911"/>
      <c r="P13" s="85"/>
      <c r="Q13" s="911">
        <f t="shared" si="4"/>
        <v>0</v>
      </c>
      <c r="R13" s="911">
        <f t="shared" si="5"/>
        <v>0</v>
      </c>
    </row>
    <row r="14" customHeight="1" spans="1:18">
      <c r="A14" s="10">
        <v>8</v>
      </c>
      <c r="B14" s="14" t="s">
        <v>43</v>
      </c>
      <c r="C14" s="17" t="s">
        <v>44</v>
      </c>
      <c r="D14" s="15" t="s">
        <v>50</v>
      </c>
      <c r="E14" s="85">
        <v>722595.5</v>
      </c>
      <c r="F14" s="15" t="s">
        <v>39</v>
      </c>
      <c r="G14" s="85">
        <v>744477</v>
      </c>
      <c r="H14" s="220">
        <f t="shared" si="0"/>
        <v>21881.5</v>
      </c>
      <c r="I14" s="85">
        <v>57807.64</v>
      </c>
      <c r="J14" s="85">
        <f t="shared" si="1"/>
        <v>59558.16</v>
      </c>
      <c r="K14" s="85">
        <f t="shared" si="2"/>
        <v>1750.52</v>
      </c>
      <c r="L14" s="85">
        <f t="shared" si="3"/>
        <v>714697.92</v>
      </c>
      <c r="M14" s="15" t="s">
        <v>39</v>
      </c>
      <c r="N14" s="911">
        <v>459010.5</v>
      </c>
      <c r="O14" s="911"/>
      <c r="P14" s="85"/>
      <c r="Q14" s="911">
        <f t="shared" si="4"/>
        <v>0</v>
      </c>
      <c r="R14" s="911">
        <f t="shared" si="5"/>
        <v>0</v>
      </c>
    </row>
    <row r="15" customHeight="1" spans="1:18">
      <c r="A15" s="10">
        <v>9</v>
      </c>
      <c r="B15" s="11" t="s">
        <v>45</v>
      </c>
      <c r="C15" s="4" t="s">
        <v>46</v>
      </c>
      <c r="D15" s="10" t="s">
        <v>214</v>
      </c>
      <c r="E15" s="85">
        <v>558165.25</v>
      </c>
      <c r="F15" s="10" t="s">
        <v>47</v>
      </c>
      <c r="G15" s="85">
        <v>573911.083333334</v>
      </c>
      <c r="H15" s="220">
        <f t="shared" si="0"/>
        <v>15745.833333334</v>
      </c>
      <c r="I15" s="85">
        <v>44653.22</v>
      </c>
      <c r="J15" s="85">
        <f t="shared" si="1"/>
        <v>45912.8866666667</v>
      </c>
      <c r="K15" s="85">
        <f t="shared" si="2"/>
        <v>1259.66666666672</v>
      </c>
      <c r="L15" s="85">
        <f t="shared" si="3"/>
        <v>550954.640000001</v>
      </c>
      <c r="M15" s="10" t="s">
        <v>47</v>
      </c>
      <c r="N15" s="911">
        <v>357066.666666667</v>
      </c>
      <c r="O15" s="911">
        <f>N15*0.025</f>
        <v>8926.66666666668</v>
      </c>
      <c r="P15" s="85">
        <v>8692.89791666667</v>
      </c>
      <c r="Q15" s="911">
        <f t="shared" si="4"/>
        <v>233.768750000005</v>
      </c>
      <c r="R15" s="911">
        <f t="shared" si="5"/>
        <v>107120</v>
      </c>
    </row>
    <row r="16" customHeight="1" spans="1:18">
      <c r="A16" s="10">
        <v>10</v>
      </c>
      <c r="B16" s="11" t="s">
        <v>48</v>
      </c>
      <c r="C16" s="4" t="s">
        <v>49</v>
      </c>
      <c r="D16" s="10" t="s">
        <v>42</v>
      </c>
      <c r="E16" s="85">
        <v>700713.916666666</v>
      </c>
      <c r="F16" s="10" t="s">
        <v>50</v>
      </c>
      <c r="G16" s="85">
        <v>722595.5</v>
      </c>
      <c r="H16" s="220">
        <f t="shared" si="0"/>
        <v>21881.583333334</v>
      </c>
      <c r="I16" s="85">
        <v>56057.1133333333</v>
      </c>
      <c r="J16" s="85">
        <f t="shared" si="1"/>
        <v>57807.64</v>
      </c>
      <c r="K16" s="85">
        <f t="shared" si="2"/>
        <v>1750.5266666667</v>
      </c>
      <c r="L16" s="85">
        <f t="shared" si="3"/>
        <v>693691.68</v>
      </c>
      <c r="M16" s="10" t="s">
        <v>50</v>
      </c>
      <c r="N16" s="911">
        <v>445995.833333333</v>
      </c>
      <c r="O16" s="911"/>
      <c r="P16" s="85"/>
      <c r="Q16" s="911">
        <f t="shared" si="4"/>
        <v>0</v>
      </c>
      <c r="R16" s="911">
        <f t="shared" si="5"/>
        <v>0</v>
      </c>
    </row>
    <row r="17" customHeight="1" spans="1:18">
      <c r="A17" s="10">
        <v>11</v>
      </c>
      <c r="B17" s="11" t="s">
        <v>51</v>
      </c>
      <c r="C17" s="12" t="s">
        <v>52</v>
      </c>
      <c r="D17" s="10" t="s">
        <v>600</v>
      </c>
      <c r="E17" s="85">
        <v>542419.5</v>
      </c>
      <c r="F17" s="10" t="s">
        <v>53</v>
      </c>
      <c r="G17" s="85">
        <f>'[21] FGN 2024 MGT Monthly'!$I$42+'[21]Peculiar Allowance'!$I$42</f>
        <v>542419.5</v>
      </c>
      <c r="H17" s="220">
        <f t="shared" si="0"/>
        <v>0</v>
      </c>
      <c r="I17" s="85">
        <v>42133.8866666667</v>
      </c>
      <c r="J17" s="85">
        <f t="shared" si="1"/>
        <v>43393.56</v>
      </c>
      <c r="K17" s="85">
        <f t="shared" si="2"/>
        <v>1259.6733333333</v>
      </c>
      <c r="L17" s="85">
        <f t="shared" si="3"/>
        <v>520722.72</v>
      </c>
      <c r="M17" s="10" t="s">
        <v>53</v>
      </c>
      <c r="N17" s="911">
        <v>338365.25</v>
      </c>
      <c r="O17" s="911"/>
      <c r="P17" s="85"/>
      <c r="Q17" s="911">
        <f t="shared" si="4"/>
        <v>0</v>
      </c>
      <c r="R17" s="911">
        <f t="shared" si="5"/>
        <v>0</v>
      </c>
    </row>
    <row r="18" customHeight="1" spans="1:18">
      <c r="A18" s="10">
        <v>12</v>
      </c>
      <c r="B18" s="18" t="s">
        <v>54</v>
      </c>
      <c r="C18" s="4" t="s">
        <v>55</v>
      </c>
      <c r="D18" s="15" t="s">
        <v>601</v>
      </c>
      <c r="E18" s="85">
        <v>526725.083333334</v>
      </c>
      <c r="F18" s="15" t="s">
        <v>56</v>
      </c>
      <c r="G18" s="85">
        <f>'[21]Peculiar Allowance'!$L$41+'[21] FGN 2024 MGT Monthly'!$L$41</f>
        <v>541351.333333333</v>
      </c>
      <c r="H18" s="220">
        <f t="shared" si="0"/>
        <v>14626.2499999993</v>
      </c>
      <c r="I18" s="85">
        <v>42138.0066666667</v>
      </c>
      <c r="J18" s="85">
        <f t="shared" si="1"/>
        <v>43308.1066666667</v>
      </c>
      <c r="K18" s="85">
        <f t="shared" si="2"/>
        <v>1170.09999999996</v>
      </c>
      <c r="L18" s="85">
        <f t="shared" si="3"/>
        <v>519697.28</v>
      </c>
      <c r="M18" s="15" t="s">
        <v>56</v>
      </c>
      <c r="N18" s="911">
        <v>337730.833333333</v>
      </c>
      <c r="O18" s="911">
        <f>N18*0.025</f>
        <v>8443.27083333333</v>
      </c>
      <c r="P18" s="85">
        <v>8226.12291666667</v>
      </c>
      <c r="Q18" s="911">
        <f t="shared" si="4"/>
        <v>217.147916666656</v>
      </c>
      <c r="R18" s="911">
        <f t="shared" si="5"/>
        <v>101319.25</v>
      </c>
    </row>
    <row r="19" customHeight="1" spans="1:18">
      <c r="A19" s="10">
        <v>13</v>
      </c>
      <c r="B19" s="18" t="s">
        <v>57</v>
      </c>
      <c r="C19" s="4" t="s">
        <v>58</v>
      </c>
      <c r="D19" s="15" t="s">
        <v>602</v>
      </c>
      <c r="E19" s="680">
        <v>497472.75</v>
      </c>
      <c r="F19" s="15" t="s">
        <v>59</v>
      </c>
      <c r="G19" s="85">
        <f>'[21] FGN 2024 MGT Monthly'!$J$41+'[21]Peculiar Allowance'!$J$41</f>
        <v>512098.916666667</v>
      </c>
      <c r="H19" s="220">
        <f t="shared" si="0"/>
        <v>14626.1666666666</v>
      </c>
      <c r="I19" s="85">
        <v>39797.82</v>
      </c>
      <c r="J19" s="85">
        <f t="shared" si="1"/>
        <v>40967.9133333333</v>
      </c>
      <c r="K19" s="85">
        <f t="shared" si="2"/>
        <v>1170.09333333333</v>
      </c>
      <c r="L19" s="85">
        <f t="shared" si="3"/>
        <v>491614.96</v>
      </c>
      <c r="M19" s="15" t="s">
        <v>59</v>
      </c>
      <c r="N19" s="85">
        <f>'[21] FGN 2024 MGT Monthly'!$J$41</f>
        <v>320359.083333333</v>
      </c>
      <c r="O19" s="911">
        <f>N19*0.025</f>
        <v>8008.97708333333</v>
      </c>
      <c r="P19" s="833">
        <v>7791.83125</v>
      </c>
      <c r="Q19" s="911">
        <f t="shared" si="4"/>
        <v>217.145833333333</v>
      </c>
      <c r="R19" s="911">
        <f t="shared" si="5"/>
        <v>96107.725</v>
      </c>
    </row>
    <row r="20" customHeight="1" spans="1:18">
      <c r="A20" s="10">
        <v>14</v>
      </c>
      <c r="B20" s="18" t="s">
        <v>60</v>
      </c>
      <c r="C20" s="4" t="s">
        <v>61</v>
      </c>
      <c r="D20" s="15" t="s">
        <v>602</v>
      </c>
      <c r="E20" s="680">
        <v>497472.75</v>
      </c>
      <c r="F20" s="15" t="s">
        <v>59</v>
      </c>
      <c r="G20" s="85">
        <f>'[21] FGN 2024 MGT Monthly'!$J$41+'[21]Peculiar Allowance'!$J$41</f>
        <v>512098.916666667</v>
      </c>
      <c r="H20" s="220">
        <f t="shared" si="0"/>
        <v>14626.1666666666</v>
      </c>
      <c r="I20" s="85">
        <v>39797.82</v>
      </c>
      <c r="J20" s="85">
        <f t="shared" si="1"/>
        <v>40967.9133333333</v>
      </c>
      <c r="K20" s="85">
        <f t="shared" si="2"/>
        <v>1170.09333333333</v>
      </c>
      <c r="L20" s="85">
        <f t="shared" si="3"/>
        <v>491614.96</v>
      </c>
      <c r="M20" s="15" t="s">
        <v>59</v>
      </c>
      <c r="N20" s="85">
        <f>'[21] FGN 2024 MGT Monthly'!$J$41</f>
        <v>320359.083333333</v>
      </c>
      <c r="O20" s="911"/>
      <c r="P20" s="4"/>
      <c r="Q20" s="911">
        <f t="shared" si="4"/>
        <v>0</v>
      </c>
      <c r="R20" s="911">
        <f t="shared" si="5"/>
        <v>0</v>
      </c>
    </row>
    <row r="21" customHeight="1" spans="1:18">
      <c r="A21" s="10">
        <v>15</v>
      </c>
      <c r="B21" s="11" t="s">
        <v>62</v>
      </c>
      <c r="C21" s="12" t="s">
        <v>63</v>
      </c>
      <c r="D21" s="15" t="s">
        <v>67</v>
      </c>
      <c r="E21" s="85">
        <v>482846.583333334</v>
      </c>
      <c r="F21" s="15" t="s">
        <v>64</v>
      </c>
      <c r="G21" s="680">
        <v>497472.75</v>
      </c>
      <c r="H21" s="220">
        <f t="shared" si="0"/>
        <v>14626.166666666</v>
      </c>
      <c r="I21" s="85">
        <v>42138.0066666667</v>
      </c>
      <c r="J21" s="85">
        <f t="shared" si="1"/>
        <v>39797.82</v>
      </c>
      <c r="K21" s="85">
        <f t="shared" si="2"/>
        <v>-2340.1866666667</v>
      </c>
      <c r="L21" s="85">
        <f t="shared" si="3"/>
        <v>477573.84</v>
      </c>
      <c r="M21" s="15" t="s">
        <v>64</v>
      </c>
      <c r="N21" s="911">
        <v>311673.25</v>
      </c>
      <c r="O21" s="911">
        <f>N21*0.025</f>
        <v>7791.83125</v>
      </c>
      <c r="P21" s="85">
        <v>7777.36041666667</v>
      </c>
      <c r="Q21" s="911">
        <f t="shared" si="4"/>
        <v>14.4708333333301</v>
      </c>
      <c r="R21" s="911">
        <f t="shared" si="5"/>
        <v>93501.975</v>
      </c>
    </row>
    <row r="22" ht="18.75" customHeight="1" spans="1:18">
      <c r="A22" s="10">
        <v>16</v>
      </c>
      <c r="B22" s="11" t="s">
        <v>65</v>
      </c>
      <c r="C22" s="4" t="s">
        <v>66</v>
      </c>
      <c r="D22" s="15" t="s">
        <v>67</v>
      </c>
      <c r="E22" s="85">
        <v>482846.583333333</v>
      </c>
      <c r="F22" s="15" t="s">
        <v>67</v>
      </c>
      <c r="G22" s="85">
        <v>482846.583333333</v>
      </c>
      <c r="H22" s="220">
        <f t="shared" si="0"/>
        <v>0</v>
      </c>
      <c r="I22" s="85">
        <v>42138.0066666667</v>
      </c>
      <c r="J22" s="85">
        <f t="shared" si="1"/>
        <v>38627.7266666666</v>
      </c>
      <c r="K22" s="85">
        <f t="shared" si="2"/>
        <v>-3510.28000000006</v>
      </c>
      <c r="L22" s="85">
        <f t="shared" si="3"/>
        <v>463532.72</v>
      </c>
      <c r="M22" s="15" t="s">
        <v>67</v>
      </c>
      <c r="N22" s="911">
        <v>302987.416666667</v>
      </c>
      <c r="O22" s="911">
        <f>N22*0.025</f>
        <v>7574.68541666667</v>
      </c>
      <c r="P22" s="85">
        <v>7571.96666666667</v>
      </c>
      <c r="Q22" s="911">
        <f t="shared" si="4"/>
        <v>2.71875000000455</v>
      </c>
      <c r="R22" s="911">
        <f t="shared" si="5"/>
        <v>90896.2250000001</v>
      </c>
    </row>
    <row r="23" customHeight="1" spans="1:18">
      <c r="A23" s="10">
        <v>17</v>
      </c>
      <c r="B23" s="14" t="s">
        <v>68</v>
      </c>
      <c r="C23" s="17" t="s">
        <v>69</v>
      </c>
      <c r="D23" s="10" t="s">
        <v>131</v>
      </c>
      <c r="E23" s="85">
        <v>454993.583333333</v>
      </c>
      <c r="F23" s="10" t="s">
        <v>70</v>
      </c>
      <c r="G23" s="85">
        <v>468828.166666667</v>
      </c>
      <c r="H23" s="220">
        <f t="shared" si="0"/>
        <v>13834.583333334</v>
      </c>
      <c r="I23" s="85">
        <v>36399.4866666666</v>
      </c>
      <c r="J23" s="85">
        <f t="shared" si="1"/>
        <v>37506.2533333334</v>
      </c>
      <c r="K23" s="85">
        <f t="shared" si="2"/>
        <v>1106.76666666676</v>
      </c>
      <c r="L23" s="85">
        <f t="shared" si="3"/>
        <v>450075.04</v>
      </c>
      <c r="M23" s="10" t="s">
        <v>70</v>
      </c>
      <c r="N23" s="911">
        <v>294662.916666667</v>
      </c>
      <c r="O23" s="911"/>
      <c r="P23" s="85"/>
      <c r="Q23" s="911">
        <f t="shared" si="4"/>
        <v>0</v>
      </c>
      <c r="R23" s="911">
        <f t="shared" si="5"/>
        <v>0</v>
      </c>
    </row>
    <row r="24" ht="21.6" customHeight="1" spans="1:18">
      <c r="A24" s="10">
        <v>18</v>
      </c>
      <c r="B24" s="11" t="s">
        <v>71</v>
      </c>
      <c r="C24" s="17" t="s">
        <v>72</v>
      </c>
      <c r="D24" s="15" t="s">
        <v>131</v>
      </c>
      <c r="E24" s="85">
        <v>454993.583333333</v>
      </c>
      <c r="F24" s="15" t="s">
        <v>70</v>
      </c>
      <c r="G24" s="85">
        <v>468828.166666667</v>
      </c>
      <c r="H24" s="220">
        <f t="shared" si="0"/>
        <v>13834.583333334</v>
      </c>
      <c r="I24" s="85">
        <v>36399.4866666666</v>
      </c>
      <c r="J24" s="85">
        <f t="shared" si="1"/>
        <v>37506.2533333334</v>
      </c>
      <c r="K24" s="85">
        <f t="shared" si="2"/>
        <v>1106.76666666676</v>
      </c>
      <c r="L24" s="85">
        <f t="shared" si="3"/>
        <v>450075.04</v>
      </c>
      <c r="M24" s="15" t="s">
        <v>70</v>
      </c>
      <c r="N24" s="911">
        <v>294662.916666667</v>
      </c>
      <c r="O24" s="911">
        <f>N24*0.025</f>
        <v>7366.57291666668</v>
      </c>
      <c r="P24" s="85">
        <v>7161.17708333333</v>
      </c>
      <c r="Q24" s="911">
        <f t="shared" si="4"/>
        <v>205.395833333345</v>
      </c>
      <c r="R24" s="911">
        <f t="shared" si="5"/>
        <v>88398.8750000001</v>
      </c>
    </row>
    <row r="25" customHeight="1" spans="1:18">
      <c r="A25" s="10">
        <v>19</v>
      </c>
      <c r="B25" s="14" t="s">
        <v>73</v>
      </c>
      <c r="C25" s="17" t="s">
        <v>74</v>
      </c>
      <c r="D25" s="10" t="s">
        <v>81</v>
      </c>
      <c r="E25" s="85">
        <v>381140.666666666</v>
      </c>
      <c r="F25" s="10" t="s">
        <v>75</v>
      </c>
      <c r="G25" s="85">
        <v>381140.666666666</v>
      </c>
      <c r="H25" s="220">
        <f t="shared" si="0"/>
        <v>0</v>
      </c>
      <c r="I25" s="85">
        <v>30491.2533333333</v>
      </c>
      <c r="J25" s="85">
        <f t="shared" si="1"/>
        <v>30491.2533333333</v>
      </c>
      <c r="K25" s="85">
        <f t="shared" si="2"/>
        <v>0</v>
      </c>
      <c r="L25" s="85">
        <f t="shared" si="3"/>
        <v>365895.039999999</v>
      </c>
      <c r="M25" s="10" t="s">
        <v>75</v>
      </c>
      <c r="N25" s="911">
        <v>240874.583333333</v>
      </c>
      <c r="O25" s="911"/>
      <c r="P25" s="85"/>
      <c r="Q25" s="911">
        <f t="shared" si="4"/>
        <v>0</v>
      </c>
      <c r="R25" s="911">
        <f t="shared" si="5"/>
        <v>0</v>
      </c>
    </row>
    <row r="26" customHeight="1" spans="1:18">
      <c r="A26" s="10">
        <v>20</v>
      </c>
      <c r="B26" s="14" t="s">
        <v>76</v>
      </c>
      <c r="C26" s="17" t="s">
        <v>77</v>
      </c>
      <c r="D26" s="10" t="s">
        <v>75</v>
      </c>
      <c r="E26" s="85">
        <v>381140.666666666</v>
      </c>
      <c r="F26" s="10" t="s">
        <v>78</v>
      </c>
      <c r="G26" s="85">
        <v>390135.833333334</v>
      </c>
      <c r="H26" s="220">
        <f t="shared" si="0"/>
        <v>8995.16666666802</v>
      </c>
      <c r="I26" s="85">
        <v>30491.2533333333</v>
      </c>
      <c r="J26" s="85">
        <f t="shared" si="1"/>
        <v>31210.8666666667</v>
      </c>
      <c r="K26" s="85">
        <f t="shared" si="2"/>
        <v>719.613333333422</v>
      </c>
      <c r="L26" s="85">
        <f t="shared" si="3"/>
        <v>374530.400000001</v>
      </c>
      <c r="M26" s="10" t="s">
        <v>78</v>
      </c>
      <c r="N26" s="911">
        <v>246171.166666667</v>
      </c>
      <c r="O26" s="911">
        <f>N26*0.025</f>
        <v>6154.27916666668</v>
      </c>
      <c r="P26" s="912">
        <v>6021.86458333332</v>
      </c>
      <c r="Q26" s="911">
        <f t="shared" si="4"/>
        <v>132.414583333355</v>
      </c>
      <c r="R26" s="911">
        <f t="shared" si="5"/>
        <v>73851.3500000001</v>
      </c>
    </row>
    <row r="27" ht="18.75" customHeight="1" spans="1:18">
      <c r="A27" s="10">
        <v>21</v>
      </c>
      <c r="B27" s="4" t="s">
        <v>478</v>
      </c>
      <c r="C27" s="4" t="s">
        <v>94</v>
      </c>
      <c r="D27" s="10" t="s">
        <v>156</v>
      </c>
      <c r="E27" s="85"/>
      <c r="F27" s="10"/>
      <c r="G27" s="85"/>
      <c r="H27" s="220">
        <f t="shared" si="0"/>
        <v>0</v>
      </c>
      <c r="I27" s="85"/>
      <c r="J27" s="85">
        <f t="shared" si="1"/>
        <v>0</v>
      </c>
      <c r="K27" s="85">
        <f t="shared" si="2"/>
        <v>0</v>
      </c>
      <c r="L27" s="85">
        <f t="shared" si="3"/>
        <v>0</v>
      </c>
      <c r="M27" s="10"/>
      <c r="N27" s="911"/>
      <c r="O27" s="911"/>
      <c r="P27" s="85"/>
      <c r="Q27" s="911">
        <f t="shared" si="4"/>
        <v>0</v>
      </c>
      <c r="R27" s="911">
        <f t="shared" si="5"/>
        <v>0</v>
      </c>
    </row>
    <row r="28" ht="18.75" customHeight="1" spans="1:18">
      <c r="A28" s="10">
        <v>22</v>
      </c>
      <c r="B28" s="18" t="s">
        <v>79</v>
      </c>
      <c r="C28" s="12" t="s">
        <v>80</v>
      </c>
      <c r="D28" s="15" t="s">
        <v>81</v>
      </c>
      <c r="E28" s="85">
        <v>372145.333333333</v>
      </c>
      <c r="F28" s="15" t="s">
        <v>81</v>
      </c>
      <c r="G28" s="85">
        <v>372145.333333333</v>
      </c>
      <c r="H28" s="220">
        <f t="shared" si="0"/>
        <v>0</v>
      </c>
      <c r="I28" s="85">
        <v>30491.2533333333</v>
      </c>
      <c r="J28" s="85">
        <f t="shared" si="1"/>
        <v>29771.6266666666</v>
      </c>
      <c r="K28" s="85">
        <f t="shared" si="2"/>
        <v>-719.62666666666</v>
      </c>
      <c r="L28" s="85">
        <f t="shared" si="3"/>
        <v>357259.52</v>
      </c>
      <c r="M28" s="15" t="s">
        <v>81</v>
      </c>
      <c r="N28" s="911">
        <f>'[21] FGN 2024 MGT Monthly'!$H$39</f>
        <v>235577.833333333</v>
      </c>
      <c r="O28" s="911">
        <f>N28*0.025</f>
        <v>5889.44583333333</v>
      </c>
      <c r="P28" s="85">
        <v>5690.39375</v>
      </c>
      <c r="Q28" s="911">
        <f t="shared" si="4"/>
        <v>199.052083333334</v>
      </c>
      <c r="R28" s="911">
        <f t="shared" si="5"/>
        <v>70673.35</v>
      </c>
    </row>
    <row r="29" customHeight="1" spans="1:18">
      <c r="A29" s="10">
        <v>23</v>
      </c>
      <c r="B29" s="11" t="s">
        <v>82</v>
      </c>
      <c r="C29" s="4" t="s">
        <v>83</v>
      </c>
      <c r="D29" s="15" t="s">
        <v>81</v>
      </c>
      <c r="E29" s="85">
        <v>372145.333333333</v>
      </c>
      <c r="F29" s="15" t="s">
        <v>75</v>
      </c>
      <c r="G29" s="85">
        <v>381140.666666666</v>
      </c>
      <c r="H29" s="220">
        <f t="shared" si="0"/>
        <v>8995.33333333296</v>
      </c>
      <c r="I29" s="85">
        <v>30491.2533333333</v>
      </c>
      <c r="J29" s="85">
        <f t="shared" si="1"/>
        <v>30491.2533333333</v>
      </c>
      <c r="K29" s="85">
        <f t="shared" si="2"/>
        <v>0</v>
      </c>
      <c r="L29" s="85">
        <f t="shared" si="3"/>
        <v>365895.039999999</v>
      </c>
      <c r="M29" s="15" t="s">
        <v>75</v>
      </c>
      <c r="N29" s="911">
        <v>240874.583333333</v>
      </c>
      <c r="O29" s="911">
        <f>N29*0.025</f>
        <v>6021.86458333332</v>
      </c>
      <c r="P29" s="85">
        <v>6260.74</v>
      </c>
      <c r="Q29" s="911">
        <f t="shared" si="4"/>
        <v>-238.875416666675</v>
      </c>
      <c r="R29" s="911">
        <f t="shared" si="5"/>
        <v>72262.3749999999</v>
      </c>
    </row>
    <row r="30" ht="18.75" customHeight="1" spans="1:18">
      <c r="A30" s="10">
        <v>24</v>
      </c>
      <c r="B30" s="18" t="s">
        <v>84</v>
      </c>
      <c r="C30" s="12" t="s">
        <v>85</v>
      </c>
      <c r="D30" s="15" t="s">
        <v>86</v>
      </c>
      <c r="E30" s="85">
        <v>347016.166666666</v>
      </c>
      <c r="F30" s="15" t="s">
        <v>156</v>
      </c>
      <c r="G30" s="85">
        <f>'[21]Peculiar Allowance'!$K$38+'[21] FGN 2024 MGT Monthly'!$K$38</f>
        <v>355320.666666667</v>
      </c>
      <c r="H30" s="220">
        <f t="shared" si="0"/>
        <v>8304.5000000007</v>
      </c>
      <c r="I30" s="85">
        <v>27761.2933333333</v>
      </c>
      <c r="J30" s="85">
        <f t="shared" si="1"/>
        <v>28425.6533333333</v>
      </c>
      <c r="K30" s="85">
        <f t="shared" si="2"/>
        <v>664.360000000037</v>
      </c>
      <c r="L30" s="85">
        <f t="shared" si="3"/>
        <v>341107.84</v>
      </c>
      <c r="M30" s="15" t="s">
        <v>156</v>
      </c>
      <c r="N30" s="911">
        <v>227615.75</v>
      </c>
      <c r="O30" s="911"/>
      <c r="P30" s="85"/>
      <c r="Q30" s="911">
        <f t="shared" si="4"/>
        <v>0</v>
      </c>
      <c r="R30" s="911">
        <f t="shared" si="5"/>
        <v>0</v>
      </c>
    </row>
    <row r="31" ht="18.75" customHeight="1" spans="1:18">
      <c r="A31" s="10">
        <v>25</v>
      </c>
      <c r="B31" s="18" t="s">
        <v>87</v>
      </c>
      <c r="C31" s="4" t="s">
        <v>88</v>
      </c>
      <c r="D31" s="10" t="s">
        <v>99</v>
      </c>
      <c r="E31" s="85">
        <v>338711.666666667</v>
      </c>
      <c r="F31" s="10" t="s">
        <v>86</v>
      </c>
      <c r="G31" s="85">
        <v>347016.166666666</v>
      </c>
      <c r="H31" s="220">
        <f t="shared" si="0"/>
        <v>8304.49999999901</v>
      </c>
      <c r="I31" s="85">
        <v>27096.9333333334</v>
      </c>
      <c r="J31" s="85">
        <f t="shared" si="1"/>
        <v>27761.2933333333</v>
      </c>
      <c r="K31" s="85">
        <f t="shared" si="2"/>
        <v>664.359999999881</v>
      </c>
      <c r="L31" s="85">
        <f t="shared" si="3"/>
        <v>333135.519999999</v>
      </c>
      <c r="M31" s="10" t="s">
        <v>86</v>
      </c>
      <c r="N31" s="911">
        <v>222674.583333333</v>
      </c>
      <c r="O31" s="911"/>
      <c r="P31" s="85"/>
      <c r="Q31" s="911">
        <f t="shared" si="4"/>
        <v>0</v>
      </c>
      <c r="R31" s="911">
        <f t="shared" si="5"/>
        <v>0</v>
      </c>
    </row>
    <row r="32" ht="18.75" customHeight="1" spans="1:18">
      <c r="A32" s="10">
        <v>26</v>
      </c>
      <c r="B32" s="18" t="s">
        <v>89</v>
      </c>
      <c r="C32" s="4" t="s">
        <v>90</v>
      </c>
      <c r="D32" s="15" t="s">
        <v>81</v>
      </c>
      <c r="E32" s="85">
        <v>372145.333333333</v>
      </c>
      <c r="F32" s="15" t="s">
        <v>81</v>
      </c>
      <c r="G32" s="85">
        <v>372145.333333333</v>
      </c>
      <c r="H32" s="220">
        <f t="shared" si="0"/>
        <v>0</v>
      </c>
      <c r="I32" s="85">
        <v>29771.6266666667</v>
      </c>
      <c r="J32" s="85">
        <f t="shared" si="1"/>
        <v>29771.6266666666</v>
      </c>
      <c r="K32" s="85">
        <f t="shared" si="2"/>
        <v>-5.82076609134674e-11</v>
      </c>
      <c r="L32" s="85">
        <f t="shared" si="3"/>
        <v>357259.52</v>
      </c>
      <c r="M32" s="15" t="s">
        <v>81</v>
      </c>
      <c r="N32" s="911">
        <f>'[21] FGN 2024 MGT Monthly'!$H$39</f>
        <v>235577.833333333</v>
      </c>
      <c r="O32" s="911">
        <f>N32*0.025</f>
        <v>5889.44583333333</v>
      </c>
      <c r="P32" s="912">
        <v>6260.744</v>
      </c>
      <c r="Q32" s="911">
        <f t="shared" si="4"/>
        <v>-371.298166666666</v>
      </c>
      <c r="R32" s="911">
        <f t="shared" si="5"/>
        <v>70673.35</v>
      </c>
    </row>
    <row r="33" ht="18.75" customHeight="1" spans="1:18">
      <c r="A33" s="10">
        <v>27</v>
      </c>
      <c r="B33" s="18" t="s">
        <v>91</v>
      </c>
      <c r="C33" s="4" t="s">
        <v>92</v>
      </c>
      <c r="D33" s="15" t="s">
        <v>81</v>
      </c>
      <c r="E33" s="85">
        <v>372145.333333333</v>
      </c>
      <c r="F33" s="15" t="s">
        <v>81</v>
      </c>
      <c r="G33" s="85">
        <v>372145.333333333</v>
      </c>
      <c r="H33" s="220">
        <f t="shared" si="0"/>
        <v>0</v>
      </c>
      <c r="I33" s="220">
        <v>29771.6266666667</v>
      </c>
      <c r="J33" s="85">
        <f t="shared" si="1"/>
        <v>29771.6266666666</v>
      </c>
      <c r="K33" s="85">
        <f t="shared" si="2"/>
        <v>-5.82076609134674e-11</v>
      </c>
      <c r="L33" s="85">
        <f t="shared" si="3"/>
        <v>357259.52</v>
      </c>
      <c r="M33" s="15" t="s">
        <v>81</v>
      </c>
      <c r="N33" s="911">
        <f>'[21] FGN 2024 MGT Monthly'!$H$39</f>
        <v>235577.833333333</v>
      </c>
      <c r="O33" s="911">
        <f>N33*0.025</f>
        <v>5889.44583333333</v>
      </c>
      <c r="P33" s="912">
        <v>6260.744</v>
      </c>
      <c r="Q33" s="911">
        <f t="shared" si="4"/>
        <v>-371.298166666666</v>
      </c>
      <c r="R33" s="911">
        <f t="shared" si="5"/>
        <v>70673.35</v>
      </c>
    </row>
    <row r="34" ht="18.75" customHeight="1" spans="1:18">
      <c r="A34" s="10">
        <v>28</v>
      </c>
      <c r="B34" s="18" t="s">
        <v>93</v>
      </c>
      <c r="C34" s="4" t="s">
        <v>94</v>
      </c>
      <c r="D34" s="10" t="s">
        <v>99</v>
      </c>
      <c r="E34" s="85">
        <v>338711.666666667</v>
      </c>
      <c r="F34" s="10" t="s">
        <v>86</v>
      </c>
      <c r="G34" s="85">
        <v>347016.166666666</v>
      </c>
      <c r="H34" s="220">
        <f t="shared" si="0"/>
        <v>8304.49999999901</v>
      </c>
      <c r="I34" s="85">
        <v>27096.9333333334</v>
      </c>
      <c r="J34" s="85">
        <f t="shared" si="1"/>
        <v>27761.2933333333</v>
      </c>
      <c r="K34" s="85">
        <f t="shared" si="2"/>
        <v>664.359999999881</v>
      </c>
      <c r="L34" s="85">
        <f t="shared" si="3"/>
        <v>333135.519999999</v>
      </c>
      <c r="M34" s="10" t="s">
        <v>86</v>
      </c>
      <c r="N34" s="911">
        <v>222674.583333333</v>
      </c>
      <c r="O34" s="911"/>
      <c r="P34" s="85"/>
      <c r="Q34" s="911">
        <f t="shared" si="4"/>
        <v>0</v>
      </c>
      <c r="R34" s="911">
        <f t="shared" si="5"/>
        <v>0</v>
      </c>
    </row>
    <row r="35" ht="18.75" customHeight="1" spans="1:18">
      <c r="A35" s="10">
        <v>29</v>
      </c>
      <c r="B35" s="18" t="s">
        <v>95</v>
      </c>
      <c r="C35" s="4" t="s">
        <v>96</v>
      </c>
      <c r="D35" s="15" t="s">
        <v>81</v>
      </c>
      <c r="E35" s="85">
        <v>372145.333333333</v>
      </c>
      <c r="F35" s="15" t="s">
        <v>81</v>
      </c>
      <c r="G35" s="85">
        <v>372145.333333333</v>
      </c>
      <c r="H35" s="220">
        <f t="shared" si="0"/>
        <v>0</v>
      </c>
      <c r="I35" s="85">
        <v>29771.6266666667</v>
      </c>
      <c r="J35" s="85">
        <f t="shared" si="1"/>
        <v>29771.6266666666</v>
      </c>
      <c r="K35" s="85">
        <f t="shared" si="2"/>
        <v>-5.82076609134674e-11</v>
      </c>
      <c r="L35" s="85">
        <f t="shared" si="3"/>
        <v>357259.52</v>
      </c>
      <c r="M35" s="15" t="s">
        <v>81</v>
      </c>
      <c r="N35" s="911">
        <f>'[21] FGN 2024 MGT Monthly'!$H$39</f>
        <v>235577.833333333</v>
      </c>
      <c r="O35" s="911"/>
      <c r="P35" s="85"/>
      <c r="Q35" s="911">
        <f t="shared" si="4"/>
        <v>0</v>
      </c>
      <c r="R35" s="911">
        <f t="shared" si="5"/>
        <v>0</v>
      </c>
    </row>
    <row r="36" s="1" customFormat="1" ht="18.75" customHeight="1" spans="1:18">
      <c r="A36" s="10">
        <v>30</v>
      </c>
      <c r="B36" s="18" t="s">
        <v>97</v>
      </c>
      <c r="C36" s="4" t="s">
        <v>98</v>
      </c>
      <c r="D36" s="10" t="s">
        <v>225</v>
      </c>
      <c r="E36" s="85">
        <v>330407.083333333</v>
      </c>
      <c r="F36" s="10" t="s">
        <v>99</v>
      </c>
      <c r="G36" s="85">
        <v>338711.666666667</v>
      </c>
      <c r="H36" s="220">
        <f t="shared" si="0"/>
        <v>8304.58333333395</v>
      </c>
      <c r="I36" s="85">
        <v>29771.6266666667</v>
      </c>
      <c r="J36" s="85">
        <f t="shared" si="1"/>
        <v>27096.9333333334</v>
      </c>
      <c r="K36" s="85">
        <f t="shared" si="2"/>
        <v>-2674.69333333334</v>
      </c>
      <c r="L36" s="85">
        <f t="shared" si="3"/>
        <v>325163.2</v>
      </c>
      <c r="M36" s="10" t="s">
        <v>99</v>
      </c>
      <c r="N36" s="911">
        <v>217733.416666667</v>
      </c>
      <c r="O36" s="911">
        <f>N36*0.025</f>
        <v>5443.33541666668</v>
      </c>
      <c r="P36" s="85">
        <v>5319.8</v>
      </c>
      <c r="Q36" s="911">
        <f t="shared" si="4"/>
        <v>123.535416666676</v>
      </c>
      <c r="R36" s="911">
        <f t="shared" si="5"/>
        <v>65320.0250000001</v>
      </c>
    </row>
    <row r="37" s="1" customFormat="1" ht="18.75" customHeight="1" spans="1:18">
      <c r="A37" s="10">
        <v>31</v>
      </c>
      <c r="B37" s="18" t="s">
        <v>100</v>
      </c>
      <c r="C37" s="4" t="s">
        <v>98</v>
      </c>
      <c r="D37" s="10" t="s">
        <v>225</v>
      </c>
      <c r="E37" s="85">
        <v>330408.083333333</v>
      </c>
      <c r="F37" s="10" t="s">
        <v>99</v>
      </c>
      <c r="G37" s="85">
        <v>338711.666666667</v>
      </c>
      <c r="H37" s="220">
        <f t="shared" si="0"/>
        <v>8303.58333333395</v>
      </c>
      <c r="I37" s="85">
        <v>26432.6466666667</v>
      </c>
      <c r="J37" s="85">
        <f t="shared" si="1"/>
        <v>27096.9333333334</v>
      </c>
      <c r="K37" s="85">
        <f t="shared" si="2"/>
        <v>664.28666666666</v>
      </c>
      <c r="L37" s="85">
        <f t="shared" si="3"/>
        <v>325163.2</v>
      </c>
      <c r="M37" s="10" t="s">
        <v>99</v>
      </c>
      <c r="N37" s="911">
        <v>217733.416666667</v>
      </c>
      <c r="O37" s="911">
        <f>N37*0.025</f>
        <v>5443.33541666668</v>
      </c>
      <c r="P37" s="85">
        <v>5319.8</v>
      </c>
      <c r="Q37" s="911">
        <f t="shared" si="4"/>
        <v>123.535416666676</v>
      </c>
      <c r="R37" s="911">
        <f t="shared" si="5"/>
        <v>65320.0250000001</v>
      </c>
    </row>
    <row r="38" s="1" customFormat="1" ht="18.75" customHeight="1" spans="1:18">
      <c r="A38" s="10">
        <v>32</v>
      </c>
      <c r="B38" s="18" t="s">
        <v>101</v>
      </c>
      <c r="C38" s="4" t="s">
        <v>85</v>
      </c>
      <c r="D38" s="10" t="s">
        <v>225</v>
      </c>
      <c r="E38" s="85">
        <v>330409.083333333</v>
      </c>
      <c r="F38" s="10" t="s">
        <v>99</v>
      </c>
      <c r="G38" s="85">
        <v>338711.666666667</v>
      </c>
      <c r="H38" s="220">
        <f t="shared" si="0"/>
        <v>8302.58333333395</v>
      </c>
      <c r="I38" s="85">
        <v>26432.7266666667</v>
      </c>
      <c r="J38" s="85">
        <f t="shared" si="1"/>
        <v>27096.9333333334</v>
      </c>
      <c r="K38" s="85">
        <f t="shared" si="2"/>
        <v>664.206666666661</v>
      </c>
      <c r="L38" s="85">
        <f t="shared" si="3"/>
        <v>325163.2</v>
      </c>
      <c r="M38" s="10" t="s">
        <v>99</v>
      </c>
      <c r="N38" s="911">
        <v>217733.416666667</v>
      </c>
      <c r="O38" s="911"/>
      <c r="P38" s="85"/>
      <c r="Q38" s="911">
        <f t="shared" si="4"/>
        <v>0</v>
      </c>
      <c r="R38" s="911">
        <f t="shared" si="5"/>
        <v>0</v>
      </c>
    </row>
    <row r="39" s="1" customFormat="1" ht="18.75" customHeight="1" spans="1:18">
      <c r="A39" s="10">
        <v>33</v>
      </c>
      <c r="B39" s="18" t="s">
        <v>102</v>
      </c>
      <c r="C39" s="4" t="s">
        <v>94</v>
      </c>
      <c r="D39" s="10" t="s">
        <v>225</v>
      </c>
      <c r="E39" s="85">
        <v>330409.083333333</v>
      </c>
      <c r="F39" s="10" t="s">
        <v>99</v>
      </c>
      <c r="G39" s="85">
        <v>338711.666666667</v>
      </c>
      <c r="H39" s="220">
        <f t="shared" si="0"/>
        <v>8302.58333333395</v>
      </c>
      <c r="I39" s="85">
        <v>26432.7266666667</v>
      </c>
      <c r="J39" s="85">
        <f t="shared" si="1"/>
        <v>27096.9333333334</v>
      </c>
      <c r="K39" s="85">
        <f t="shared" si="2"/>
        <v>664.206666666661</v>
      </c>
      <c r="L39" s="85">
        <f t="shared" si="3"/>
        <v>325163.2</v>
      </c>
      <c r="M39" s="10" t="s">
        <v>99</v>
      </c>
      <c r="N39" s="911">
        <v>217733.416666667</v>
      </c>
      <c r="O39" s="911">
        <f>N39*0.025</f>
        <v>5443.33541666668</v>
      </c>
      <c r="P39" s="85">
        <v>5319.8</v>
      </c>
      <c r="Q39" s="911">
        <f t="shared" si="4"/>
        <v>123.535416666676</v>
      </c>
      <c r="R39" s="911">
        <f t="shared" si="5"/>
        <v>65320.0250000001</v>
      </c>
    </row>
    <row r="40" ht="18.75" customHeight="1" spans="1:18">
      <c r="A40" s="10">
        <v>34</v>
      </c>
      <c r="B40" s="18" t="s">
        <v>103</v>
      </c>
      <c r="C40" s="12" t="s">
        <v>104</v>
      </c>
      <c r="D40" s="15" t="s">
        <v>108</v>
      </c>
      <c r="E40" s="85">
        <v>301910.75</v>
      </c>
      <c r="F40" s="15" t="s">
        <v>105</v>
      </c>
      <c r="G40" s="85">
        <v>308920.666666667</v>
      </c>
      <c r="H40" s="220">
        <f t="shared" si="0"/>
        <v>7009.91666666698</v>
      </c>
      <c r="I40" s="85">
        <v>24152.86</v>
      </c>
      <c r="J40" s="85">
        <f t="shared" si="1"/>
        <v>24713.6533333334</v>
      </c>
      <c r="K40" s="85">
        <f t="shared" si="2"/>
        <v>560.793333333357</v>
      </c>
      <c r="L40" s="85">
        <f t="shared" si="3"/>
        <v>296563.84</v>
      </c>
      <c r="M40" s="15" t="s">
        <v>105</v>
      </c>
      <c r="N40" s="911">
        <v>200549.416666667</v>
      </c>
      <c r="O40" s="911">
        <f>N40*0.025</f>
        <v>5013.73541666668</v>
      </c>
      <c r="P40" s="912">
        <v>4909.11041666668</v>
      </c>
      <c r="Q40" s="911">
        <f t="shared" si="4"/>
        <v>104.624999999995</v>
      </c>
      <c r="R40" s="911">
        <f t="shared" si="5"/>
        <v>60164.8250000001</v>
      </c>
    </row>
    <row r="41" ht="18.75" customHeight="1" spans="1:18">
      <c r="A41" s="10">
        <v>35</v>
      </c>
      <c r="B41" s="18" t="s">
        <v>106</v>
      </c>
      <c r="C41" s="12" t="s">
        <v>107</v>
      </c>
      <c r="D41" s="15" t="s">
        <v>111</v>
      </c>
      <c r="E41" s="680">
        <v>294900.833333334</v>
      </c>
      <c r="F41" s="15" t="s">
        <v>108</v>
      </c>
      <c r="G41" s="85">
        <v>301910.75</v>
      </c>
      <c r="H41" s="220">
        <f t="shared" si="0"/>
        <v>7009.91666666599</v>
      </c>
      <c r="I41" s="684">
        <v>23592.0666666667</v>
      </c>
      <c r="J41" s="85">
        <f t="shared" si="1"/>
        <v>24152.86</v>
      </c>
      <c r="K41" s="85">
        <f t="shared" si="2"/>
        <v>560.793333333302</v>
      </c>
      <c r="L41" s="85">
        <f t="shared" si="3"/>
        <v>289834.32</v>
      </c>
      <c r="M41" s="15" t="s">
        <v>108</v>
      </c>
      <c r="N41" s="911">
        <v>196364.416666667</v>
      </c>
      <c r="O41" s="911">
        <f>N41*0.025</f>
        <v>4909.11041666668</v>
      </c>
      <c r="P41" s="912">
        <v>4804.48541666668</v>
      </c>
      <c r="Q41" s="911">
        <f t="shared" si="4"/>
        <v>104.624999999995</v>
      </c>
      <c r="R41" s="911">
        <f t="shared" si="5"/>
        <v>58909.3250000001</v>
      </c>
    </row>
    <row r="42" s="1" customFormat="1" customHeight="1" spans="1:18">
      <c r="A42" s="10">
        <v>36</v>
      </c>
      <c r="B42" s="18" t="s">
        <v>109</v>
      </c>
      <c r="C42" s="12" t="s">
        <v>110</v>
      </c>
      <c r="D42" s="15" t="s">
        <v>275</v>
      </c>
      <c r="E42" s="85">
        <v>287890.916666667</v>
      </c>
      <c r="F42" s="15" t="s">
        <v>111</v>
      </c>
      <c r="G42" s="680">
        <v>294900.833333334</v>
      </c>
      <c r="H42" s="220">
        <f t="shared" si="0"/>
        <v>7009.91666666704</v>
      </c>
      <c r="I42" s="683">
        <v>23031.2733333333</v>
      </c>
      <c r="J42" s="85">
        <f t="shared" si="1"/>
        <v>23592.0666666667</v>
      </c>
      <c r="K42" s="85">
        <f t="shared" si="2"/>
        <v>560.793333333419</v>
      </c>
      <c r="L42" s="85">
        <f t="shared" si="3"/>
        <v>283104.800000001</v>
      </c>
      <c r="M42" s="15" t="s">
        <v>111</v>
      </c>
      <c r="N42" s="911">
        <v>192179.416666667</v>
      </c>
      <c r="O42" s="911">
        <f>N42*0.025</f>
        <v>4804.48541666668</v>
      </c>
      <c r="P42" s="833">
        <f>4699.86</f>
        <v>4699.86</v>
      </c>
      <c r="Q42" s="911">
        <f t="shared" si="4"/>
        <v>104.625416666676</v>
      </c>
      <c r="R42" s="911">
        <f t="shared" si="5"/>
        <v>57653.8250000001</v>
      </c>
    </row>
    <row r="43" s="1" customFormat="1" customHeight="1" spans="1:18">
      <c r="A43" s="10">
        <v>37</v>
      </c>
      <c r="B43" s="18" t="s">
        <v>112</v>
      </c>
      <c r="C43" s="12" t="s">
        <v>113</v>
      </c>
      <c r="D43" s="15" t="s">
        <v>275</v>
      </c>
      <c r="E43" s="85">
        <v>287890.916666667</v>
      </c>
      <c r="F43" s="15" t="s">
        <v>111</v>
      </c>
      <c r="G43" s="680">
        <v>294900.833333334</v>
      </c>
      <c r="H43" s="220">
        <f t="shared" si="0"/>
        <v>7009.91666666704</v>
      </c>
      <c r="I43" s="261">
        <v>23031.2733333333</v>
      </c>
      <c r="J43" s="85">
        <f t="shared" si="1"/>
        <v>23592.0666666667</v>
      </c>
      <c r="K43" s="85">
        <f t="shared" si="2"/>
        <v>560.793333333419</v>
      </c>
      <c r="L43" s="85">
        <f t="shared" si="3"/>
        <v>283104.800000001</v>
      </c>
      <c r="M43" s="15" t="s">
        <v>111</v>
      </c>
      <c r="N43" s="911">
        <v>192179.416666667</v>
      </c>
      <c r="O43" s="911"/>
      <c r="P43" s="833"/>
      <c r="Q43" s="911">
        <f t="shared" si="4"/>
        <v>0</v>
      </c>
      <c r="R43" s="911">
        <f t="shared" si="5"/>
        <v>0</v>
      </c>
    </row>
    <row r="44" s="1" customFormat="1" customHeight="1" spans="1:18">
      <c r="A44" s="10">
        <v>38</v>
      </c>
      <c r="B44" s="18" t="s">
        <v>114</v>
      </c>
      <c r="C44" s="12" t="s">
        <v>113</v>
      </c>
      <c r="D44" s="15" t="s">
        <v>275</v>
      </c>
      <c r="E44" s="85">
        <v>287890.916666667</v>
      </c>
      <c r="F44" s="15" t="s">
        <v>111</v>
      </c>
      <c r="G44" s="680">
        <v>294900.833333334</v>
      </c>
      <c r="H44" s="220">
        <f t="shared" si="0"/>
        <v>7009.91666666704</v>
      </c>
      <c r="I44" s="261">
        <v>23031.2733333333</v>
      </c>
      <c r="J44" s="85">
        <f t="shared" si="1"/>
        <v>23592.0666666667</v>
      </c>
      <c r="K44" s="85">
        <f t="shared" si="2"/>
        <v>560.793333333419</v>
      </c>
      <c r="L44" s="85">
        <f t="shared" si="3"/>
        <v>283104.800000001</v>
      </c>
      <c r="M44" s="15" t="s">
        <v>111</v>
      </c>
      <c r="N44" s="911">
        <v>192179.416666667</v>
      </c>
      <c r="O44" s="911"/>
      <c r="P44" s="833"/>
      <c r="Q44" s="911">
        <f t="shared" si="4"/>
        <v>0</v>
      </c>
      <c r="R44" s="911">
        <f t="shared" si="5"/>
        <v>0</v>
      </c>
    </row>
    <row r="45" s="1" customFormat="1" customHeight="1" spans="1:18">
      <c r="A45" s="10">
        <v>39</v>
      </c>
      <c r="B45" s="18" t="s">
        <v>115</v>
      </c>
      <c r="C45" s="12" t="s">
        <v>116</v>
      </c>
      <c r="D45" s="15" t="s">
        <v>275</v>
      </c>
      <c r="E45" s="85">
        <v>287890.916666667</v>
      </c>
      <c r="F45" s="15" t="s">
        <v>111</v>
      </c>
      <c r="G45" s="680">
        <v>294900.833333334</v>
      </c>
      <c r="H45" s="220">
        <f t="shared" si="0"/>
        <v>7009.91666666704</v>
      </c>
      <c r="I45" s="261">
        <v>23031.2733333333</v>
      </c>
      <c r="J45" s="85">
        <f t="shared" si="1"/>
        <v>23592.0666666667</v>
      </c>
      <c r="K45" s="85">
        <f t="shared" si="2"/>
        <v>560.793333333419</v>
      </c>
      <c r="L45" s="85">
        <f t="shared" si="3"/>
        <v>283104.800000001</v>
      </c>
      <c r="M45" s="15" t="s">
        <v>111</v>
      </c>
      <c r="N45" s="911">
        <v>192179.416666667</v>
      </c>
      <c r="O45" s="911"/>
      <c r="P45" s="833"/>
      <c r="Q45" s="911">
        <f t="shared" si="4"/>
        <v>0</v>
      </c>
      <c r="R45" s="911">
        <f t="shared" si="5"/>
        <v>0</v>
      </c>
    </row>
    <row r="46" s="1" customFormat="1" customHeight="1" spans="1:18">
      <c r="A46" s="10">
        <v>40</v>
      </c>
      <c r="B46" s="18" t="s">
        <v>117</v>
      </c>
      <c r="C46" s="12" t="s">
        <v>113</v>
      </c>
      <c r="D46" s="15" t="s">
        <v>275</v>
      </c>
      <c r="E46" s="85">
        <v>287890.916666667</v>
      </c>
      <c r="F46" s="15" t="s">
        <v>111</v>
      </c>
      <c r="G46" s="680">
        <v>294900.833333334</v>
      </c>
      <c r="H46" s="220">
        <f t="shared" si="0"/>
        <v>7009.91666666704</v>
      </c>
      <c r="I46" s="261">
        <v>23031.2733333333</v>
      </c>
      <c r="J46" s="85">
        <f t="shared" si="1"/>
        <v>23592.0666666667</v>
      </c>
      <c r="K46" s="85">
        <f t="shared" si="2"/>
        <v>560.793333333419</v>
      </c>
      <c r="L46" s="85">
        <f t="shared" si="3"/>
        <v>283104.800000001</v>
      </c>
      <c r="M46" s="15" t="s">
        <v>111</v>
      </c>
      <c r="N46" s="911">
        <v>192179.416666667</v>
      </c>
      <c r="O46" s="911"/>
      <c r="P46" s="833"/>
      <c r="Q46" s="911">
        <f t="shared" si="4"/>
        <v>0</v>
      </c>
      <c r="R46" s="911">
        <f t="shared" si="5"/>
        <v>0</v>
      </c>
    </row>
    <row r="47" s="1" customFormat="1" customHeight="1" spans="1:18">
      <c r="A47" s="10">
        <v>41</v>
      </c>
      <c r="B47" s="18" t="s">
        <v>118</v>
      </c>
      <c r="C47" s="12" t="s">
        <v>119</v>
      </c>
      <c r="D47" s="15" t="s">
        <v>275</v>
      </c>
      <c r="E47" s="85">
        <v>287891.916666667</v>
      </c>
      <c r="F47" s="15" t="s">
        <v>111</v>
      </c>
      <c r="G47" s="680">
        <v>294900.833333334</v>
      </c>
      <c r="H47" s="220">
        <f t="shared" si="0"/>
        <v>7008.91666666704</v>
      </c>
      <c r="I47" s="683">
        <v>23031.3533333333</v>
      </c>
      <c r="J47" s="85">
        <f t="shared" si="1"/>
        <v>23592.0666666667</v>
      </c>
      <c r="K47" s="85">
        <f t="shared" si="2"/>
        <v>560.71333333342</v>
      </c>
      <c r="L47" s="85">
        <f t="shared" si="3"/>
        <v>283104.800000001</v>
      </c>
      <c r="M47" s="15" t="s">
        <v>111</v>
      </c>
      <c r="N47" s="911">
        <v>192179.416666667</v>
      </c>
      <c r="O47" s="911"/>
      <c r="P47" s="4"/>
      <c r="Q47" s="911">
        <f t="shared" si="4"/>
        <v>0</v>
      </c>
      <c r="R47" s="911">
        <f t="shared" si="5"/>
        <v>0</v>
      </c>
    </row>
    <row r="48" ht="26.25" customHeight="1" spans="1:18">
      <c r="A48" s="10"/>
      <c r="B48" s="20" t="s">
        <v>120</v>
      </c>
      <c r="C48" s="21">
        <v>41</v>
      </c>
      <c r="D48" s="15"/>
      <c r="E48" s="221">
        <f t="shared" ref="E48:L48" si="6">SUM(E7:E47)</f>
        <v>20203859.6666667</v>
      </c>
      <c r="F48" s="221"/>
      <c r="G48" s="221">
        <f t="shared" si="6"/>
        <v>20529917.5</v>
      </c>
      <c r="H48" s="221">
        <f t="shared" si="6"/>
        <v>326057.833333338</v>
      </c>
      <c r="I48" s="221">
        <f t="shared" si="6"/>
        <v>1394628.64</v>
      </c>
      <c r="J48" s="221">
        <f t="shared" si="6"/>
        <v>1412277.89333333</v>
      </c>
      <c r="K48" s="221">
        <f t="shared" si="6"/>
        <v>17649.2533333336</v>
      </c>
      <c r="L48" s="221">
        <f t="shared" ref="L48:R48" si="7">SUM(L7:L47)</f>
        <v>16947334.72</v>
      </c>
      <c r="M48" s="221">
        <f t="shared" si="7"/>
        <v>0</v>
      </c>
      <c r="N48" s="221">
        <f t="shared" si="7"/>
        <v>11102994.4166667</v>
      </c>
      <c r="O48" s="221">
        <f t="shared" si="7"/>
        <v>148222.560416667</v>
      </c>
      <c r="P48" s="221">
        <f t="shared" si="7"/>
        <v>146189.99425</v>
      </c>
      <c r="Q48" s="221">
        <f t="shared" si="7"/>
        <v>2032.56616666675</v>
      </c>
      <c r="R48" s="221">
        <f t="shared" si="7"/>
        <v>1778670.725</v>
      </c>
    </row>
    <row r="49" ht="18.75" customHeight="1" spans="1:18">
      <c r="A49" s="10"/>
      <c r="B49" s="22"/>
      <c r="C49" s="4"/>
      <c r="D49" s="15"/>
      <c r="E49" s="221"/>
      <c r="F49" s="221"/>
      <c r="G49" s="221"/>
      <c r="H49" s="220"/>
      <c r="I49" s="221"/>
      <c r="J49" s="221"/>
      <c r="K49" s="221"/>
      <c r="L49" s="85"/>
      <c r="M49" s="221"/>
      <c r="N49" s="221"/>
      <c r="O49" s="911"/>
      <c r="P49" s="221"/>
      <c r="Q49" s="911"/>
      <c r="R49" s="911"/>
    </row>
    <row r="50" ht="18.75" customHeight="1" spans="1:18">
      <c r="A50" s="10"/>
      <c r="B50" s="20" t="s">
        <v>121</v>
      </c>
      <c r="C50" s="4"/>
      <c r="D50" s="15"/>
      <c r="E50" s="85"/>
      <c r="F50" s="85"/>
      <c r="G50" s="85"/>
      <c r="H50" s="220"/>
      <c r="I50" s="85"/>
      <c r="J50" s="85"/>
      <c r="K50" s="85"/>
      <c r="L50" s="85"/>
      <c r="M50" s="85"/>
      <c r="N50" s="85"/>
      <c r="O50" s="911"/>
      <c r="P50" s="85"/>
      <c r="Q50" s="911"/>
      <c r="R50" s="911"/>
    </row>
    <row r="51" ht="18.75" customHeight="1" spans="1:18">
      <c r="A51" s="10">
        <v>1</v>
      </c>
      <c r="B51" s="18" t="s">
        <v>122</v>
      </c>
      <c r="C51" s="4" t="s">
        <v>123</v>
      </c>
      <c r="D51" s="10" t="s">
        <v>124</v>
      </c>
      <c r="E51" s="85">
        <v>1747106.41666666</v>
      </c>
      <c r="F51" s="10" t="s">
        <v>124</v>
      </c>
      <c r="G51" s="85">
        <v>1747106.41666666</v>
      </c>
      <c r="H51" s="220">
        <f>G51-E51</f>
        <v>0</v>
      </c>
      <c r="I51" s="85">
        <v>139768.513333333</v>
      </c>
      <c r="J51" s="85">
        <f>G51*0.08</f>
        <v>139768.513333333</v>
      </c>
      <c r="K51" s="85">
        <f>J51-I51</f>
        <v>0</v>
      </c>
      <c r="L51" s="85">
        <f t="shared" si="3"/>
        <v>1677222.15999999</v>
      </c>
      <c r="M51" s="10" t="s">
        <v>124</v>
      </c>
      <c r="N51" s="911">
        <v>1086777.08333333</v>
      </c>
      <c r="O51" s="911"/>
      <c r="P51" s="85"/>
      <c r="Q51" s="911">
        <f t="shared" si="4"/>
        <v>0</v>
      </c>
      <c r="R51" s="911">
        <f t="shared" si="5"/>
        <v>0</v>
      </c>
    </row>
    <row r="52" customHeight="1" spans="1:18">
      <c r="A52" s="10">
        <v>2</v>
      </c>
      <c r="B52" s="11" t="s">
        <v>125</v>
      </c>
      <c r="C52" s="12" t="s">
        <v>126</v>
      </c>
      <c r="D52" s="15" t="s">
        <v>42</v>
      </c>
      <c r="E52" s="85">
        <v>700713.916666666</v>
      </c>
      <c r="F52" s="15" t="s">
        <v>50</v>
      </c>
      <c r="G52" s="85">
        <v>722595.5</v>
      </c>
      <c r="H52" s="220">
        <f t="shared" ref="H52:H58" si="8">G52-E52</f>
        <v>21881.583333334</v>
      </c>
      <c r="I52" s="85">
        <v>56057.1133333333</v>
      </c>
      <c r="J52" s="85">
        <f t="shared" ref="J52:J57" si="9">G52*0.08</f>
        <v>57807.64</v>
      </c>
      <c r="K52" s="85">
        <f t="shared" ref="K52:K57" si="10">J52-I52</f>
        <v>1750.5266666667</v>
      </c>
      <c r="L52" s="85">
        <f t="shared" si="3"/>
        <v>693691.68</v>
      </c>
      <c r="M52" s="15" t="s">
        <v>50</v>
      </c>
      <c r="N52" s="911">
        <v>445995.833333333</v>
      </c>
      <c r="O52" s="911"/>
      <c r="P52" s="85"/>
      <c r="Q52" s="911">
        <f t="shared" si="4"/>
        <v>0</v>
      </c>
      <c r="R52" s="911">
        <f t="shared" si="5"/>
        <v>0</v>
      </c>
    </row>
    <row r="53" ht="18.75" customHeight="1" spans="1:18">
      <c r="A53" s="10">
        <v>3</v>
      </c>
      <c r="B53" s="18" t="s">
        <v>127</v>
      </c>
      <c r="C53" s="4" t="s">
        <v>128</v>
      </c>
      <c r="D53" s="10" t="s">
        <v>75</v>
      </c>
      <c r="E53" s="85">
        <v>381140.666666666</v>
      </c>
      <c r="F53" s="10" t="s">
        <v>78</v>
      </c>
      <c r="G53" s="85">
        <v>390135.833333334</v>
      </c>
      <c r="H53" s="220">
        <f t="shared" si="8"/>
        <v>8995.16666666802</v>
      </c>
      <c r="I53" s="85">
        <v>30491.2533333333</v>
      </c>
      <c r="J53" s="85">
        <f t="shared" si="9"/>
        <v>31210.8666666667</v>
      </c>
      <c r="K53" s="85">
        <f t="shared" si="10"/>
        <v>719.613333333422</v>
      </c>
      <c r="L53" s="85">
        <f t="shared" si="3"/>
        <v>374530.400000001</v>
      </c>
      <c r="M53" s="10" t="s">
        <v>78</v>
      </c>
      <c r="N53" s="911">
        <v>246171.166666667</v>
      </c>
      <c r="O53" s="911">
        <f>N53*0.025</f>
        <v>6154.27916666668</v>
      </c>
      <c r="P53" s="85">
        <v>6021.86458333332</v>
      </c>
      <c r="Q53" s="911">
        <f t="shared" si="4"/>
        <v>132.414583333355</v>
      </c>
      <c r="R53" s="911">
        <f t="shared" si="5"/>
        <v>73851.3500000001</v>
      </c>
    </row>
    <row r="54" ht="18.75" customHeight="1" spans="1:18">
      <c r="A54" s="10">
        <v>4</v>
      </c>
      <c r="B54" s="11" t="s">
        <v>129</v>
      </c>
      <c r="C54" s="4" t="s">
        <v>130</v>
      </c>
      <c r="D54" s="15" t="s">
        <v>180</v>
      </c>
      <c r="E54" s="220">
        <v>441159</v>
      </c>
      <c r="F54" s="15" t="s">
        <v>131</v>
      </c>
      <c r="G54" s="85">
        <v>454993.583333333</v>
      </c>
      <c r="H54" s="220">
        <f t="shared" si="8"/>
        <v>13834.583333333</v>
      </c>
      <c r="I54" s="85">
        <v>35292.72</v>
      </c>
      <c r="J54" s="85">
        <f t="shared" si="9"/>
        <v>36399.4866666666</v>
      </c>
      <c r="K54" s="85">
        <f t="shared" si="10"/>
        <v>1106.76666666664</v>
      </c>
      <c r="L54" s="85">
        <f t="shared" si="3"/>
        <v>436793.84</v>
      </c>
      <c r="M54" s="15" t="s">
        <v>131</v>
      </c>
      <c r="N54" s="911">
        <v>286447.083333333</v>
      </c>
      <c r="O54" s="911"/>
      <c r="P54" s="85"/>
      <c r="Q54" s="911">
        <f t="shared" si="4"/>
        <v>0</v>
      </c>
      <c r="R54" s="911">
        <f t="shared" si="5"/>
        <v>0</v>
      </c>
    </row>
    <row r="55" s="1" customFormat="1" customHeight="1" spans="1:18">
      <c r="A55" s="10">
        <v>5</v>
      </c>
      <c r="B55" s="18" t="s">
        <v>132</v>
      </c>
      <c r="C55" s="4" t="s">
        <v>128</v>
      </c>
      <c r="D55" s="15" t="s">
        <v>225</v>
      </c>
      <c r="E55" s="85">
        <v>330407.083333333</v>
      </c>
      <c r="F55" s="15" t="s">
        <v>99</v>
      </c>
      <c r="G55" s="85">
        <v>338711.666666667</v>
      </c>
      <c r="H55" s="220">
        <f t="shared" si="8"/>
        <v>8304.58333333395</v>
      </c>
      <c r="I55" s="684">
        <v>26432.5666666667</v>
      </c>
      <c r="J55" s="85">
        <f t="shared" si="9"/>
        <v>27096.9333333334</v>
      </c>
      <c r="K55" s="85">
        <f t="shared" si="10"/>
        <v>664.366666666661</v>
      </c>
      <c r="L55" s="85">
        <f t="shared" si="3"/>
        <v>325163.2</v>
      </c>
      <c r="M55" s="15" t="s">
        <v>99</v>
      </c>
      <c r="N55" s="911">
        <v>217733.416666667</v>
      </c>
      <c r="O55" s="911">
        <f>N55*0.025</f>
        <v>5443.33541666668</v>
      </c>
      <c r="P55" s="4">
        <v>5319.8</v>
      </c>
      <c r="Q55" s="911">
        <f t="shared" si="4"/>
        <v>123.535416666676</v>
      </c>
      <c r="R55" s="911">
        <f t="shared" si="5"/>
        <v>65320.0250000001</v>
      </c>
    </row>
    <row r="56" ht="18.75" customHeight="1" spans="1:18">
      <c r="A56" s="10">
        <v>6</v>
      </c>
      <c r="B56" s="11" t="s">
        <v>133</v>
      </c>
      <c r="C56" s="4" t="s">
        <v>134</v>
      </c>
      <c r="D56" s="15" t="s">
        <v>99</v>
      </c>
      <c r="E56" s="680">
        <v>338711.666666667</v>
      </c>
      <c r="F56" s="15" t="s">
        <v>86</v>
      </c>
      <c r="G56" s="85">
        <v>347016.166666666</v>
      </c>
      <c r="H56" s="220">
        <f t="shared" si="8"/>
        <v>8304.49999999901</v>
      </c>
      <c r="I56" s="684">
        <v>27096.9333333334</v>
      </c>
      <c r="J56" s="85">
        <f t="shared" si="9"/>
        <v>27761.2933333333</v>
      </c>
      <c r="K56" s="85">
        <f t="shared" si="10"/>
        <v>664.359999999881</v>
      </c>
      <c r="L56" s="85">
        <f t="shared" si="3"/>
        <v>333135.519999999</v>
      </c>
      <c r="M56" s="15" t="s">
        <v>86</v>
      </c>
      <c r="N56" s="911">
        <v>222674.583333333</v>
      </c>
      <c r="O56" s="911">
        <f>N56*0.025</f>
        <v>5566.86458333332</v>
      </c>
      <c r="P56" s="833">
        <v>5443.33541666668</v>
      </c>
      <c r="Q56" s="911">
        <f t="shared" si="4"/>
        <v>123.529166666644</v>
      </c>
      <c r="R56" s="911">
        <f t="shared" si="5"/>
        <v>66802.3749999999</v>
      </c>
    </row>
    <row r="57" s="1" customFormat="1" customHeight="1" spans="1:18">
      <c r="A57" s="10">
        <v>7</v>
      </c>
      <c r="B57" s="18" t="s">
        <v>135</v>
      </c>
      <c r="C57" s="12" t="s">
        <v>136</v>
      </c>
      <c r="D57" s="15" t="s">
        <v>275</v>
      </c>
      <c r="E57" s="85">
        <v>287890.916666667</v>
      </c>
      <c r="F57" s="15" t="s">
        <v>111</v>
      </c>
      <c r="G57" s="85">
        <v>294900.833333334</v>
      </c>
      <c r="H57" s="220">
        <f t="shared" si="8"/>
        <v>7009.91666666704</v>
      </c>
      <c r="I57" s="684">
        <v>23031.2733333333</v>
      </c>
      <c r="J57" s="85">
        <f t="shared" si="9"/>
        <v>23592.0666666667</v>
      </c>
      <c r="K57" s="85">
        <f t="shared" si="10"/>
        <v>560.793333333419</v>
      </c>
      <c r="L57" s="85">
        <f t="shared" si="3"/>
        <v>283104.800000001</v>
      </c>
      <c r="M57" s="15" t="s">
        <v>111</v>
      </c>
      <c r="N57" s="911">
        <v>192179.416666667</v>
      </c>
      <c r="O57" s="911"/>
      <c r="P57" s="4"/>
      <c r="Q57" s="911">
        <f t="shared" si="4"/>
        <v>0</v>
      </c>
      <c r="R57" s="911">
        <f t="shared" si="5"/>
        <v>0</v>
      </c>
    </row>
    <row r="58" ht="19.5" customHeight="1" spans="1:18">
      <c r="A58" s="10"/>
      <c r="B58" s="14"/>
      <c r="C58" s="21">
        <v>7</v>
      </c>
      <c r="D58" s="10"/>
      <c r="E58" s="221">
        <f t="shared" ref="E58:R58" si="11">SUM(E51:E57)</f>
        <v>4227129.66666666</v>
      </c>
      <c r="F58" s="221"/>
      <c r="G58" s="221">
        <f t="shared" si="11"/>
        <v>4295459.99999999</v>
      </c>
      <c r="H58" s="221">
        <f t="shared" si="11"/>
        <v>68330.333333335</v>
      </c>
      <c r="I58" s="221">
        <f t="shared" si="11"/>
        <v>338170.373333333</v>
      </c>
      <c r="J58" s="221">
        <f t="shared" si="11"/>
        <v>343636.8</v>
      </c>
      <c r="K58" s="221">
        <f t="shared" si="11"/>
        <v>5466.42666666672</v>
      </c>
      <c r="L58" s="221">
        <f t="shared" si="11"/>
        <v>4123641.59999999</v>
      </c>
      <c r="M58" s="221">
        <f t="shared" si="11"/>
        <v>0</v>
      </c>
      <c r="N58" s="221">
        <f t="shared" si="11"/>
        <v>2697978.58333333</v>
      </c>
      <c r="O58" s="221">
        <f t="shared" si="11"/>
        <v>17164.4791666667</v>
      </c>
      <c r="P58" s="221">
        <f t="shared" si="11"/>
        <v>16785</v>
      </c>
      <c r="Q58" s="221">
        <f t="shared" si="11"/>
        <v>379.479166666675</v>
      </c>
      <c r="R58" s="221">
        <f t="shared" si="11"/>
        <v>205973.75</v>
      </c>
    </row>
    <row r="59" customHeight="1" spans="1:18">
      <c r="A59" s="10"/>
      <c r="B59" s="14"/>
      <c r="C59" s="4"/>
      <c r="D59" s="10"/>
      <c r="E59" s="221"/>
      <c r="F59" s="221"/>
      <c r="G59" s="221"/>
      <c r="H59" s="220"/>
      <c r="I59" s="221"/>
      <c r="J59" s="221"/>
      <c r="K59" s="221"/>
      <c r="L59" s="85"/>
      <c r="M59" s="221"/>
      <c r="N59" s="221"/>
      <c r="O59" s="911"/>
      <c r="P59" s="221"/>
      <c r="Q59" s="911"/>
      <c r="R59" s="911"/>
    </row>
    <row r="60" customHeight="1" spans="1:18">
      <c r="A60" s="10"/>
      <c r="B60" s="23" t="s">
        <v>137</v>
      </c>
      <c r="C60" s="5"/>
      <c r="D60" s="24"/>
      <c r="E60" s="221"/>
      <c r="F60" s="221"/>
      <c r="G60" s="221"/>
      <c r="H60" s="220"/>
      <c r="I60" s="85"/>
      <c r="J60" s="85"/>
      <c r="K60" s="85"/>
      <c r="L60" s="85"/>
      <c r="M60" s="221"/>
      <c r="N60" s="221"/>
      <c r="O60" s="911"/>
      <c r="P60" s="85"/>
      <c r="Q60" s="911"/>
      <c r="R60" s="911"/>
    </row>
    <row r="61" customHeight="1" spans="1:18">
      <c r="A61" s="10">
        <v>1</v>
      </c>
      <c r="B61" s="11" t="s">
        <v>138</v>
      </c>
      <c r="C61" s="4" t="s">
        <v>139</v>
      </c>
      <c r="D61" s="10" t="s">
        <v>304</v>
      </c>
      <c r="E61" s="85">
        <v>1647612</v>
      </c>
      <c r="F61" s="189" t="s">
        <v>140</v>
      </c>
      <c r="G61" s="85">
        <v>1697359.33333333</v>
      </c>
      <c r="H61" s="220">
        <f>G61-E61</f>
        <v>49747.33333333</v>
      </c>
      <c r="I61" s="85">
        <v>131808.96</v>
      </c>
      <c r="J61" s="85">
        <f>G61*0.08</f>
        <v>135788.746666666</v>
      </c>
      <c r="K61" s="85">
        <f>J61-I61</f>
        <v>3979.78666666642</v>
      </c>
      <c r="L61" s="85">
        <f t="shared" si="3"/>
        <v>1629464.96</v>
      </c>
      <c r="M61" s="189" t="s">
        <v>140</v>
      </c>
      <c r="N61" s="911">
        <v>1056272.83333333</v>
      </c>
      <c r="O61" s="911"/>
      <c r="P61" s="85"/>
      <c r="Q61" s="911">
        <f t="shared" si="4"/>
        <v>0</v>
      </c>
      <c r="R61" s="911">
        <f t="shared" si="5"/>
        <v>0</v>
      </c>
    </row>
    <row r="62" customHeight="1" spans="1:18">
      <c r="A62" s="10">
        <v>2</v>
      </c>
      <c r="B62" s="11" t="s">
        <v>141</v>
      </c>
      <c r="C62" s="4" t="s">
        <v>145</v>
      </c>
      <c r="D62" s="10" t="s">
        <v>39</v>
      </c>
      <c r="E62" s="85">
        <v>744477</v>
      </c>
      <c r="F62" s="189" t="s">
        <v>39</v>
      </c>
      <c r="G62" s="85">
        <v>744477</v>
      </c>
      <c r="H62" s="220">
        <f t="shared" ref="H62:H72" si="12">G62-E62</f>
        <v>0</v>
      </c>
      <c r="I62" s="85">
        <v>59558.16</v>
      </c>
      <c r="J62" s="85">
        <f t="shared" ref="J62:J72" si="13">G62*0.08</f>
        <v>59558.16</v>
      </c>
      <c r="K62" s="85">
        <f>J62-I62</f>
        <v>0</v>
      </c>
      <c r="L62" s="85">
        <f t="shared" si="3"/>
        <v>714697.92</v>
      </c>
      <c r="M62" s="189" t="s">
        <v>39</v>
      </c>
      <c r="N62" s="911">
        <v>459010.5</v>
      </c>
      <c r="O62" s="911"/>
      <c r="P62" s="85"/>
      <c r="Q62" s="911">
        <f t="shared" si="4"/>
        <v>0</v>
      </c>
      <c r="R62" s="911">
        <f t="shared" si="5"/>
        <v>0</v>
      </c>
    </row>
    <row r="63" customHeight="1" spans="1:18">
      <c r="A63" s="10">
        <v>3</v>
      </c>
      <c r="B63" s="11" t="s">
        <v>144</v>
      </c>
      <c r="C63" s="4" t="s">
        <v>145</v>
      </c>
      <c r="D63" s="10" t="s">
        <v>39</v>
      </c>
      <c r="E63" s="85">
        <v>744477</v>
      </c>
      <c r="F63" s="189" t="s">
        <v>39</v>
      </c>
      <c r="G63" s="85">
        <v>744477</v>
      </c>
      <c r="H63" s="220">
        <f t="shared" si="12"/>
        <v>0</v>
      </c>
      <c r="I63" s="85">
        <v>59558.16</v>
      </c>
      <c r="J63" s="85">
        <f t="shared" si="13"/>
        <v>59558.16</v>
      </c>
      <c r="K63" s="85">
        <f>J63-I63</f>
        <v>0</v>
      </c>
      <c r="L63" s="85">
        <f t="shared" si="3"/>
        <v>714697.92</v>
      </c>
      <c r="M63" s="189" t="s">
        <v>39</v>
      </c>
      <c r="N63" s="911">
        <v>459010.5</v>
      </c>
      <c r="O63" s="911">
        <f>N63*0.025</f>
        <v>11475.2625</v>
      </c>
      <c r="P63" s="85">
        <v>11475.2625</v>
      </c>
      <c r="Q63" s="911">
        <f t="shared" si="4"/>
        <v>0</v>
      </c>
      <c r="R63" s="911">
        <f t="shared" si="5"/>
        <v>137703.15</v>
      </c>
    </row>
    <row r="64" customHeight="1" spans="1:18">
      <c r="A64" s="10">
        <v>4</v>
      </c>
      <c r="B64" s="11" t="s">
        <v>146</v>
      </c>
      <c r="C64" s="4" t="s">
        <v>145</v>
      </c>
      <c r="D64" s="10" t="s">
        <v>50</v>
      </c>
      <c r="E64" s="85">
        <v>722595.5</v>
      </c>
      <c r="F64" s="189" t="s">
        <v>39</v>
      </c>
      <c r="G64" s="85">
        <v>744477</v>
      </c>
      <c r="H64" s="220">
        <f t="shared" si="12"/>
        <v>21881.5</v>
      </c>
      <c r="I64" s="85">
        <v>57807.64</v>
      </c>
      <c r="J64" s="85">
        <f t="shared" si="13"/>
        <v>59558.16</v>
      </c>
      <c r="K64" s="85">
        <f>J64-I64</f>
        <v>1750.52</v>
      </c>
      <c r="L64" s="85">
        <f t="shared" si="3"/>
        <v>714697.92</v>
      </c>
      <c r="M64" s="189" t="s">
        <v>39</v>
      </c>
      <c r="N64" s="911">
        <v>459010.5</v>
      </c>
      <c r="O64" s="911"/>
      <c r="P64" s="85"/>
      <c r="Q64" s="911">
        <f t="shared" si="4"/>
        <v>0</v>
      </c>
      <c r="R64" s="911">
        <f t="shared" si="5"/>
        <v>0</v>
      </c>
    </row>
    <row r="65" customHeight="1" spans="1:18">
      <c r="A65" s="10">
        <v>5</v>
      </c>
      <c r="B65" s="14" t="s">
        <v>147</v>
      </c>
      <c r="C65" s="4" t="s">
        <v>145</v>
      </c>
      <c r="D65" s="10" t="s">
        <v>42</v>
      </c>
      <c r="E65" s="85">
        <v>700713.916666666</v>
      </c>
      <c r="F65" s="189" t="s">
        <v>50</v>
      </c>
      <c r="G65" s="85">
        <v>722595.5</v>
      </c>
      <c r="H65" s="220">
        <f t="shared" si="12"/>
        <v>21881.583333334</v>
      </c>
      <c r="I65" s="85">
        <v>56057.1133333333</v>
      </c>
      <c r="J65" s="85">
        <f t="shared" si="13"/>
        <v>57807.64</v>
      </c>
      <c r="K65" s="85">
        <f>J65-I65</f>
        <v>1750.5266666667</v>
      </c>
      <c r="L65" s="85">
        <f t="shared" si="3"/>
        <v>693691.68</v>
      </c>
      <c r="M65" s="189" t="s">
        <v>50</v>
      </c>
      <c r="N65" s="911">
        <v>445995.833333333</v>
      </c>
      <c r="O65" s="911"/>
      <c r="P65" s="85">
        <v>0</v>
      </c>
      <c r="Q65" s="911">
        <f t="shared" si="4"/>
        <v>0</v>
      </c>
      <c r="R65" s="911">
        <f t="shared" si="5"/>
        <v>0</v>
      </c>
    </row>
    <row r="66" customFormat="1" customHeight="1" spans="1:18">
      <c r="A66" s="10">
        <v>6</v>
      </c>
      <c r="B66" s="14" t="s">
        <v>148</v>
      </c>
      <c r="C66" s="4" t="s">
        <v>145</v>
      </c>
      <c r="D66" s="10" t="s">
        <v>42</v>
      </c>
      <c r="E66" s="85">
        <v>700713.916666666</v>
      </c>
      <c r="F66" s="189" t="s">
        <v>50</v>
      </c>
      <c r="G66" s="85">
        <v>722595.5</v>
      </c>
      <c r="H66" s="220">
        <f t="shared" si="12"/>
        <v>21881.583333334</v>
      </c>
      <c r="I66" s="85">
        <v>56057.1133333333</v>
      </c>
      <c r="J66" s="85">
        <f t="shared" si="13"/>
        <v>57807.64</v>
      </c>
      <c r="K66" s="85">
        <f t="shared" ref="K66:K72" si="14">J66-I66</f>
        <v>1750.5266666667</v>
      </c>
      <c r="L66" s="85">
        <f t="shared" si="3"/>
        <v>693691.68</v>
      </c>
      <c r="M66" s="189" t="s">
        <v>50</v>
      </c>
      <c r="N66" s="911">
        <v>445995.833333333</v>
      </c>
      <c r="O66" s="911"/>
      <c r="P66" s="85">
        <v>0</v>
      </c>
      <c r="Q66" s="911">
        <f t="shared" si="4"/>
        <v>0</v>
      </c>
      <c r="R66" s="911">
        <f t="shared" si="5"/>
        <v>0</v>
      </c>
    </row>
    <row r="67" s="1" customFormat="1" customHeight="1" spans="1:18">
      <c r="A67" s="10">
        <v>7</v>
      </c>
      <c r="B67" s="18" t="s">
        <v>149</v>
      </c>
      <c r="C67" s="4" t="s">
        <v>150</v>
      </c>
      <c r="D67" s="15" t="s">
        <v>180</v>
      </c>
      <c r="E67" s="220">
        <v>441159</v>
      </c>
      <c r="F67" s="189" t="s">
        <v>131</v>
      </c>
      <c r="G67" s="85">
        <v>454993.583333333</v>
      </c>
      <c r="H67" s="220">
        <f t="shared" si="12"/>
        <v>13834.583333333</v>
      </c>
      <c r="I67" s="85">
        <v>35292.72</v>
      </c>
      <c r="J67" s="85">
        <f t="shared" si="13"/>
        <v>36399.4866666666</v>
      </c>
      <c r="K67" s="85">
        <f t="shared" si="14"/>
        <v>1106.76666666664</v>
      </c>
      <c r="L67" s="85">
        <f t="shared" si="3"/>
        <v>436793.84</v>
      </c>
      <c r="M67" s="189" t="s">
        <v>131</v>
      </c>
      <c r="N67" s="911">
        <v>286447.083333333</v>
      </c>
      <c r="O67" s="911"/>
      <c r="P67" s="85"/>
      <c r="Q67" s="911">
        <f t="shared" si="4"/>
        <v>0</v>
      </c>
      <c r="R67" s="911">
        <f t="shared" si="5"/>
        <v>0</v>
      </c>
    </row>
    <row r="68" customHeight="1" spans="1:18">
      <c r="A68" s="10">
        <v>8</v>
      </c>
      <c r="B68" s="11" t="s">
        <v>151</v>
      </c>
      <c r="C68" s="4" t="s">
        <v>152</v>
      </c>
      <c r="D68" s="10" t="s">
        <v>78</v>
      </c>
      <c r="E68" s="85">
        <v>390135.833333334</v>
      </c>
      <c r="F68" s="189" t="s">
        <v>153</v>
      </c>
      <c r="G68" s="85">
        <f>'[21] FGN 2024 MGT Monthly'!$K$39+'[21]Peculiar Allowance'!$K$39</f>
        <v>399131.166666667</v>
      </c>
      <c r="H68" s="220">
        <f t="shared" si="12"/>
        <v>8995.33333333262</v>
      </c>
      <c r="I68" s="85">
        <v>31210.8666666667</v>
      </c>
      <c r="J68" s="85">
        <f t="shared" si="13"/>
        <v>31930.4933333333</v>
      </c>
      <c r="K68" s="85">
        <f t="shared" si="14"/>
        <v>719.626666666631</v>
      </c>
      <c r="L68" s="85">
        <f t="shared" si="3"/>
        <v>383165.92</v>
      </c>
      <c r="M68" s="189" t="s">
        <v>153</v>
      </c>
      <c r="N68" s="911">
        <v>251467.916666667</v>
      </c>
      <c r="O68" s="911"/>
      <c r="P68" s="85"/>
      <c r="Q68" s="911">
        <f t="shared" si="4"/>
        <v>0</v>
      </c>
      <c r="R68" s="911">
        <f t="shared" si="5"/>
        <v>0</v>
      </c>
    </row>
    <row r="69" s="1" customFormat="1" customHeight="1" spans="1:18">
      <c r="A69" s="10">
        <v>9</v>
      </c>
      <c r="B69" s="11" t="s">
        <v>154</v>
      </c>
      <c r="C69" s="4" t="s">
        <v>83</v>
      </c>
      <c r="D69" s="10" t="s">
        <v>81</v>
      </c>
      <c r="E69" s="85">
        <v>372145.333333333</v>
      </c>
      <c r="F69" s="189" t="s">
        <v>75</v>
      </c>
      <c r="G69" s="85">
        <v>381140.666666666</v>
      </c>
      <c r="H69" s="220">
        <f t="shared" si="12"/>
        <v>8995.33333333296</v>
      </c>
      <c r="I69" s="85">
        <v>29771.6266666667</v>
      </c>
      <c r="J69" s="85">
        <f t="shared" si="13"/>
        <v>30491.2533333333</v>
      </c>
      <c r="K69" s="85">
        <f t="shared" si="14"/>
        <v>719.62666666658</v>
      </c>
      <c r="L69" s="85">
        <f t="shared" si="3"/>
        <v>365895.039999999</v>
      </c>
      <c r="M69" s="189" t="s">
        <v>75</v>
      </c>
      <c r="N69" s="911">
        <v>240874.583333333</v>
      </c>
      <c r="O69" s="911"/>
      <c r="P69" s="85"/>
      <c r="Q69" s="911">
        <f t="shared" si="4"/>
        <v>0</v>
      </c>
      <c r="R69" s="911">
        <f t="shared" si="5"/>
        <v>0</v>
      </c>
    </row>
    <row r="70" customHeight="1" spans="1:18">
      <c r="A70" s="10">
        <v>10</v>
      </c>
      <c r="B70" s="11" t="s">
        <v>155</v>
      </c>
      <c r="C70" s="4" t="s">
        <v>152</v>
      </c>
      <c r="D70" s="10" t="s">
        <v>86</v>
      </c>
      <c r="E70" s="85">
        <v>347016.166666666</v>
      </c>
      <c r="F70" s="189" t="s">
        <v>156</v>
      </c>
      <c r="G70" s="85">
        <v>355320.666666667</v>
      </c>
      <c r="H70" s="220">
        <f t="shared" si="12"/>
        <v>8304.50000000099</v>
      </c>
      <c r="I70" s="85">
        <v>27761.2933333333</v>
      </c>
      <c r="J70" s="85">
        <f t="shared" si="13"/>
        <v>28425.6533333334</v>
      </c>
      <c r="K70" s="85">
        <f t="shared" si="14"/>
        <v>664.360000000059</v>
      </c>
      <c r="L70" s="85">
        <f t="shared" si="3"/>
        <v>341107.84</v>
      </c>
      <c r="M70" s="189" t="s">
        <v>156</v>
      </c>
      <c r="N70" s="911">
        <v>227615.75</v>
      </c>
      <c r="O70" s="911"/>
      <c r="P70" s="85"/>
      <c r="Q70" s="911">
        <f t="shared" si="4"/>
        <v>0</v>
      </c>
      <c r="R70" s="911">
        <f t="shared" si="5"/>
        <v>0</v>
      </c>
    </row>
    <row r="71" customHeight="1" spans="1:18">
      <c r="A71" s="10">
        <v>11</v>
      </c>
      <c r="B71" s="11" t="s">
        <v>157</v>
      </c>
      <c r="C71" s="4" t="s">
        <v>152</v>
      </c>
      <c r="D71" s="10" t="s">
        <v>86</v>
      </c>
      <c r="E71" s="85">
        <v>347016.166666666</v>
      </c>
      <c r="F71" s="189" t="s">
        <v>156</v>
      </c>
      <c r="G71" s="85">
        <v>355320.666666667</v>
      </c>
      <c r="H71" s="220">
        <f t="shared" si="12"/>
        <v>8304.50000000099</v>
      </c>
      <c r="I71" s="85">
        <v>27761.2933333333</v>
      </c>
      <c r="J71" s="85">
        <f t="shared" si="13"/>
        <v>28425.6533333334</v>
      </c>
      <c r="K71" s="85">
        <f t="shared" si="14"/>
        <v>664.360000000059</v>
      </c>
      <c r="L71" s="85">
        <f t="shared" si="3"/>
        <v>341107.84</v>
      </c>
      <c r="M71" s="189" t="s">
        <v>156</v>
      </c>
      <c r="N71" s="911">
        <v>227615.75</v>
      </c>
      <c r="O71" s="911"/>
      <c r="P71" s="85"/>
      <c r="Q71" s="911">
        <f t="shared" si="4"/>
        <v>0</v>
      </c>
      <c r="R71" s="911">
        <f t="shared" si="5"/>
        <v>0</v>
      </c>
    </row>
    <row r="72" s="1" customFormat="1" ht="18.75" customHeight="1" spans="1:18">
      <c r="A72" s="10">
        <v>12</v>
      </c>
      <c r="B72" s="18" t="s">
        <v>158</v>
      </c>
      <c r="C72" s="4" t="s">
        <v>152</v>
      </c>
      <c r="D72" s="10" t="s">
        <v>225</v>
      </c>
      <c r="E72" s="85">
        <v>330407.083333333</v>
      </c>
      <c r="F72" s="189" t="s">
        <v>99</v>
      </c>
      <c r="G72" s="85">
        <v>338711.666666667</v>
      </c>
      <c r="H72" s="220">
        <f t="shared" si="12"/>
        <v>8304.58333333395</v>
      </c>
      <c r="I72" s="85">
        <v>26432.5666666667</v>
      </c>
      <c r="J72" s="85">
        <f t="shared" si="13"/>
        <v>27096.9333333334</v>
      </c>
      <c r="K72" s="85">
        <f t="shared" si="14"/>
        <v>664.366666666661</v>
      </c>
      <c r="L72" s="85">
        <f t="shared" ref="L72:L135" si="15">J72*12</f>
        <v>325163.2</v>
      </c>
      <c r="M72" s="189" t="s">
        <v>99</v>
      </c>
      <c r="N72" s="911">
        <v>217733.416666667</v>
      </c>
      <c r="O72" s="911"/>
      <c r="P72" s="85"/>
      <c r="Q72" s="911">
        <f t="shared" si="4"/>
        <v>0</v>
      </c>
      <c r="R72" s="911">
        <f t="shared" si="5"/>
        <v>0</v>
      </c>
    </row>
    <row r="73" ht="25.5" customHeight="1" spans="1:18">
      <c r="A73" s="10"/>
      <c r="B73" s="20" t="s">
        <v>120</v>
      </c>
      <c r="C73" s="21">
        <v>12</v>
      </c>
      <c r="D73" s="21"/>
      <c r="E73" s="93">
        <f t="shared" ref="E73:L73" si="16">SUM(E61:E72)</f>
        <v>7488468.91666666</v>
      </c>
      <c r="F73" s="93"/>
      <c r="G73" s="93">
        <f t="shared" si="16"/>
        <v>7660599.75</v>
      </c>
      <c r="H73" s="93">
        <f t="shared" si="16"/>
        <v>172130.833333332</v>
      </c>
      <c r="I73" s="93">
        <f t="shared" si="16"/>
        <v>599077.513333333</v>
      </c>
      <c r="J73" s="93">
        <f t="shared" si="16"/>
        <v>612847.98</v>
      </c>
      <c r="K73" s="93">
        <f t="shared" si="16"/>
        <v>13770.4666666664</v>
      </c>
      <c r="L73" s="93">
        <f t="shared" ref="L73:R73" si="17">SUM(L61:L72)</f>
        <v>7354175.76</v>
      </c>
      <c r="M73" s="93">
        <f t="shared" si="17"/>
        <v>0</v>
      </c>
      <c r="N73" s="93">
        <f t="shared" si="17"/>
        <v>4777050.5</v>
      </c>
      <c r="O73" s="93">
        <f t="shared" si="17"/>
        <v>11475.2625</v>
      </c>
      <c r="P73" s="93">
        <f t="shared" si="17"/>
        <v>11475.2625</v>
      </c>
      <c r="Q73" s="93">
        <f t="shared" si="17"/>
        <v>0</v>
      </c>
      <c r="R73" s="93">
        <f t="shared" si="17"/>
        <v>137703.15</v>
      </c>
    </row>
    <row r="74" customHeight="1" spans="1:18">
      <c r="A74" s="10"/>
      <c r="B74" s="22"/>
      <c r="C74" s="21"/>
      <c r="D74" s="21"/>
      <c r="E74" s="156"/>
      <c r="F74" s="156"/>
      <c r="G74" s="156"/>
      <c r="H74" s="220"/>
      <c r="I74" s="156"/>
      <c r="J74" s="156"/>
      <c r="K74" s="156"/>
      <c r="L74" s="85"/>
      <c r="M74" s="156"/>
      <c r="N74" s="156"/>
      <c r="O74" s="911"/>
      <c r="P74" s="156"/>
      <c r="Q74" s="911"/>
      <c r="R74" s="911"/>
    </row>
    <row r="75" customHeight="1" spans="1:18">
      <c r="A75" s="10"/>
      <c r="B75" s="20" t="s">
        <v>159</v>
      </c>
      <c r="C75" s="21"/>
      <c r="D75" s="21"/>
      <c r="E75" s="156"/>
      <c r="F75" s="156"/>
      <c r="G75" s="156"/>
      <c r="H75" s="220"/>
      <c r="I75" s="156"/>
      <c r="J75" s="156"/>
      <c r="K75" s="156"/>
      <c r="L75" s="85"/>
      <c r="M75" s="156"/>
      <c r="N75" s="156"/>
      <c r="O75" s="911"/>
      <c r="P75" s="156"/>
      <c r="Q75" s="911"/>
      <c r="R75" s="911"/>
    </row>
    <row r="76" customHeight="1" spans="1:18">
      <c r="A76" s="10">
        <v>1</v>
      </c>
      <c r="B76" s="11" t="s">
        <v>160</v>
      </c>
      <c r="C76" s="12" t="s">
        <v>161</v>
      </c>
      <c r="D76" s="15" t="s">
        <v>124</v>
      </c>
      <c r="E76" s="85">
        <v>1747106.41666666</v>
      </c>
      <c r="F76" s="15" t="s">
        <v>124</v>
      </c>
      <c r="G76" s="85">
        <v>1747106.41666666</v>
      </c>
      <c r="H76" s="220">
        <f>G76-E76</f>
        <v>0</v>
      </c>
      <c r="I76" s="680">
        <v>139768.513333333</v>
      </c>
      <c r="J76" s="680">
        <v>139768.513333333</v>
      </c>
      <c r="K76" s="680">
        <f>J76-I76</f>
        <v>0</v>
      </c>
      <c r="L76" s="85">
        <f t="shared" si="15"/>
        <v>1677222.16</v>
      </c>
      <c r="M76" s="15" t="s">
        <v>124</v>
      </c>
      <c r="N76" s="911">
        <v>1086777.08333333</v>
      </c>
      <c r="O76" s="911"/>
      <c r="P76" s="85">
        <v>0</v>
      </c>
      <c r="Q76" s="911">
        <f t="shared" ref="Q73:Q136" si="18">O76-P76</f>
        <v>0</v>
      </c>
      <c r="R76" s="911">
        <f t="shared" ref="R73:R136" si="19">O76*12</f>
        <v>0</v>
      </c>
    </row>
    <row r="77" customHeight="1" spans="1:18">
      <c r="A77" s="10">
        <v>2</v>
      </c>
      <c r="B77" s="11" t="s">
        <v>162</v>
      </c>
      <c r="C77" s="12" t="s">
        <v>485</v>
      </c>
      <c r="D77" s="15" t="s">
        <v>486</v>
      </c>
      <c r="E77" s="85">
        <v>744477</v>
      </c>
      <c r="F77" s="15" t="s">
        <v>486</v>
      </c>
      <c r="G77" s="85">
        <v>744477</v>
      </c>
      <c r="H77" s="220">
        <f>G77-E77</f>
        <v>0</v>
      </c>
      <c r="I77" s="680">
        <v>59558.16</v>
      </c>
      <c r="J77" s="680">
        <v>59558.16</v>
      </c>
      <c r="K77" s="680">
        <f>J77-I77</f>
        <v>0</v>
      </c>
      <c r="L77" s="85">
        <f t="shared" si="15"/>
        <v>714697.92</v>
      </c>
      <c r="M77" s="15" t="s">
        <v>486</v>
      </c>
      <c r="N77" s="911">
        <v>459010.5</v>
      </c>
      <c r="O77" s="911"/>
      <c r="P77" s="85">
        <v>0</v>
      </c>
      <c r="Q77" s="911">
        <f t="shared" si="18"/>
        <v>0</v>
      </c>
      <c r="R77" s="911">
        <f t="shared" si="19"/>
        <v>0</v>
      </c>
    </row>
    <row r="78" customHeight="1" spans="1:18">
      <c r="A78" s="10"/>
      <c r="B78" s="20" t="s">
        <v>120</v>
      </c>
      <c r="C78" s="21">
        <v>2</v>
      </c>
      <c r="D78" s="21"/>
      <c r="E78" s="93">
        <f t="shared" ref="E78:L78" si="20">SUM(E76:E77)</f>
        <v>2491583.41666666</v>
      </c>
      <c r="F78" s="93"/>
      <c r="G78" s="93">
        <f t="shared" si="20"/>
        <v>2491583.41666666</v>
      </c>
      <c r="H78" s="93">
        <f t="shared" si="20"/>
        <v>0</v>
      </c>
      <c r="I78" s="93">
        <f t="shared" si="20"/>
        <v>199326.673333333</v>
      </c>
      <c r="J78" s="93">
        <f t="shared" si="20"/>
        <v>199326.673333333</v>
      </c>
      <c r="K78" s="93">
        <f t="shared" si="20"/>
        <v>0</v>
      </c>
      <c r="L78" s="156">
        <f t="shared" si="15"/>
        <v>2391920.08</v>
      </c>
      <c r="M78" s="93"/>
      <c r="N78" s="93"/>
      <c r="O78" s="911"/>
      <c r="P78" s="93">
        <f>SUM(P76:P77)</f>
        <v>0</v>
      </c>
      <c r="Q78" s="911"/>
      <c r="R78" s="911"/>
    </row>
    <row r="79" customHeight="1" spans="1:18">
      <c r="A79" s="10"/>
      <c r="B79" s="20"/>
      <c r="C79" s="21"/>
      <c r="D79" s="21"/>
      <c r="E79" s="156"/>
      <c r="F79" s="156"/>
      <c r="G79" s="156"/>
      <c r="H79" s="220"/>
      <c r="I79" s="156"/>
      <c r="J79" s="156"/>
      <c r="K79" s="156"/>
      <c r="L79" s="85"/>
      <c r="M79" s="156"/>
      <c r="N79" s="156"/>
      <c r="O79" s="911"/>
      <c r="P79" s="156"/>
      <c r="Q79" s="911"/>
      <c r="R79" s="911"/>
    </row>
    <row r="80" customHeight="1" spans="1:18">
      <c r="A80" s="10"/>
      <c r="B80" s="20" t="s">
        <v>164</v>
      </c>
      <c r="C80" s="21"/>
      <c r="D80" s="21"/>
      <c r="E80" s="156"/>
      <c r="F80" s="156"/>
      <c r="G80" s="156"/>
      <c r="H80" s="220"/>
      <c r="I80" s="156"/>
      <c r="J80" s="156"/>
      <c r="K80" s="156"/>
      <c r="L80" s="85"/>
      <c r="M80" s="156"/>
      <c r="N80" s="156"/>
      <c r="O80" s="911"/>
      <c r="P80" s="156"/>
      <c r="Q80" s="911"/>
      <c r="R80" s="911"/>
    </row>
    <row r="81" customHeight="1" spans="1:18">
      <c r="A81" s="10">
        <v>1</v>
      </c>
      <c r="B81" s="14" t="s">
        <v>165</v>
      </c>
      <c r="C81" s="4" t="s">
        <v>166</v>
      </c>
      <c r="D81" s="10" t="s">
        <v>36</v>
      </c>
      <c r="E81" s="85">
        <v>905306.75</v>
      </c>
      <c r="F81" s="189" t="s">
        <v>36</v>
      </c>
      <c r="G81" s="85">
        <v>905306.75</v>
      </c>
      <c r="H81" s="220">
        <f>G81-E81</f>
        <v>0</v>
      </c>
      <c r="I81" s="85">
        <v>72424.54</v>
      </c>
      <c r="J81" s="85">
        <f>G81*0.08</f>
        <v>72424.54</v>
      </c>
      <c r="K81" s="85">
        <f>J81-I81</f>
        <v>0</v>
      </c>
      <c r="L81" s="85">
        <f t="shared" si="15"/>
        <v>869094.48</v>
      </c>
      <c r="M81" s="189" t="s">
        <v>36</v>
      </c>
      <c r="N81" s="911">
        <v>554669.5</v>
      </c>
      <c r="O81" s="911">
        <f>N81*0.025</f>
        <v>13866.7375</v>
      </c>
      <c r="P81" s="85">
        <v>13866.7375</v>
      </c>
      <c r="Q81" s="911">
        <f t="shared" si="18"/>
        <v>0</v>
      </c>
      <c r="R81" s="911">
        <f t="shared" si="19"/>
        <v>166400.85</v>
      </c>
    </row>
    <row r="82" customHeight="1" spans="1:18">
      <c r="A82" s="10">
        <v>2</v>
      </c>
      <c r="B82" s="11" t="s">
        <v>167</v>
      </c>
      <c r="C82" s="4" t="s">
        <v>52</v>
      </c>
      <c r="D82" s="10" t="s">
        <v>214</v>
      </c>
      <c r="E82" s="85">
        <v>558165.25</v>
      </c>
      <c r="F82" s="189" t="s">
        <v>47</v>
      </c>
      <c r="G82" s="85">
        <v>573911.083333334</v>
      </c>
      <c r="H82" s="220">
        <f t="shared" ref="H82:H91" si="21">G82-E82</f>
        <v>15745.833333334</v>
      </c>
      <c r="I82" s="85">
        <v>44653.22</v>
      </c>
      <c r="J82" s="85">
        <f t="shared" ref="J82:J91" si="22">G82*0.08</f>
        <v>45912.8866666667</v>
      </c>
      <c r="K82" s="85">
        <f t="shared" ref="K82:K91" si="23">J82-I82</f>
        <v>1259.66666666672</v>
      </c>
      <c r="L82" s="85">
        <f t="shared" si="15"/>
        <v>550954.640000001</v>
      </c>
      <c r="M82" s="189" t="s">
        <v>47</v>
      </c>
      <c r="N82" s="911">
        <v>357066.666666667</v>
      </c>
      <c r="O82" s="911"/>
      <c r="P82" s="85"/>
      <c r="Q82" s="911">
        <f t="shared" si="18"/>
        <v>0</v>
      </c>
      <c r="R82" s="911">
        <f t="shared" si="19"/>
        <v>0</v>
      </c>
    </row>
    <row r="83" s="1" customFormat="1" customHeight="1" spans="1:18">
      <c r="A83" s="10">
        <v>3</v>
      </c>
      <c r="B83" s="18" t="s">
        <v>168</v>
      </c>
      <c r="C83" s="17" t="s">
        <v>217</v>
      </c>
      <c r="D83" s="15" t="s">
        <v>67</v>
      </c>
      <c r="E83" s="85">
        <v>482846.583333333</v>
      </c>
      <c r="F83" s="189" t="s">
        <v>64</v>
      </c>
      <c r="G83" s="85">
        <v>497472.75</v>
      </c>
      <c r="H83" s="220">
        <f t="shared" si="21"/>
        <v>14626.166666667</v>
      </c>
      <c r="I83" s="85">
        <v>38627.7266666667</v>
      </c>
      <c r="J83" s="85">
        <f t="shared" si="22"/>
        <v>39797.82</v>
      </c>
      <c r="K83" s="85">
        <f t="shared" si="23"/>
        <v>1170.0933333333</v>
      </c>
      <c r="L83" s="85">
        <f t="shared" si="15"/>
        <v>477573.84</v>
      </c>
      <c r="M83" s="189" t="s">
        <v>64</v>
      </c>
      <c r="N83" s="911">
        <v>311673.25</v>
      </c>
      <c r="O83" s="911">
        <f>N83*0.025</f>
        <v>7791.83125</v>
      </c>
      <c r="P83" s="85">
        <v>7574.69</v>
      </c>
      <c r="Q83" s="911">
        <f t="shared" si="18"/>
        <v>217.141250000001</v>
      </c>
      <c r="R83" s="911">
        <f t="shared" si="19"/>
        <v>93501.975</v>
      </c>
    </row>
    <row r="84" s="1" customFormat="1" customHeight="1" spans="1:18">
      <c r="A84" s="10">
        <v>4</v>
      </c>
      <c r="B84" s="18" t="s">
        <v>170</v>
      </c>
      <c r="C84" s="17" t="s">
        <v>217</v>
      </c>
      <c r="D84" s="15" t="s">
        <v>67</v>
      </c>
      <c r="E84" s="85">
        <v>482846.583333333</v>
      </c>
      <c r="F84" s="189" t="s">
        <v>64</v>
      </c>
      <c r="G84" s="85">
        <v>497472.75</v>
      </c>
      <c r="H84" s="220">
        <f t="shared" si="21"/>
        <v>14626.166666667</v>
      </c>
      <c r="I84" s="85">
        <v>38627.7266666667</v>
      </c>
      <c r="J84" s="85">
        <f t="shared" si="22"/>
        <v>39797.82</v>
      </c>
      <c r="K84" s="85">
        <f t="shared" si="23"/>
        <v>1170.0933333333</v>
      </c>
      <c r="L84" s="85">
        <f t="shared" si="15"/>
        <v>477573.84</v>
      </c>
      <c r="M84" s="189" t="s">
        <v>64</v>
      </c>
      <c r="N84" s="911">
        <v>311673.25</v>
      </c>
      <c r="O84" s="911">
        <f>N84*0.025</f>
        <v>7791.83125</v>
      </c>
      <c r="P84" s="85">
        <v>7574.69</v>
      </c>
      <c r="Q84" s="911">
        <f t="shared" si="18"/>
        <v>217.141250000001</v>
      </c>
      <c r="R84" s="911">
        <f t="shared" si="19"/>
        <v>93501.975</v>
      </c>
    </row>
    <row r="85" customHeight="1" spans="1:18">
      <c r="A85" s="10">
        <v>5</v>
      </c>
      <c r="B85" s="11" t="s">
        <v>171</v>
      </c>
      <c r="C85" s="4" t="s">
        <v>152</v>
      </c>
      <c r="D85" s="10" t="s">
        <v>70</v>
      </c>
      <c r="E85" s="85">
        <v>468828.166666667</v>
      </c>
      <c r="F85" s="189" t="s">
        <v>173</v>
      </c>
      <c r="G85" s="85">
        <v>482662.666666667</v>
      </c>
      <c r="H85" s="220">
        <f t="shared" si="21"/>
        <v>13834.5</v>
      </c>
      <c r="I85" s="85">
        <v>37506.2533333334</v>
      </c>
      <c r="J85" s="85">
        <f t="shared" si="22"/>
        <v>38613.0133333334</v>
      </c>
      <c r="K85" s="85">
        <f t="shared" si="23"/>
        <v>1106.75999999996</v>
      </c>
      <c r="L85" s="85">
        <f t="shared" si="15"/>
        <v>463356.16</v>
      </c>
      <c r="M85" s="189" t="s">
        <v>173</v>
      </c>
      <c r="N85" s="911">
        <v>302878.666666667</v>
      </c>
      <c r="O85" s="911">
        <f>N85*0.025</f>
        <v>7571.96666666667</v>
      </c>
      <c r="P85" s="85">
        <f>7366.57</f>
        <v>7366.57</v>
      </c>
      <c r="Q85" s="911">
        <f t="shared" si="18"/>
        <v>205.396666666675</v>
      </c>
      <c r="R85" s="911">
        <f t="shared" si="19"/>
        <v>90863.6000000001</v>
      </c>
    </row>
    <row r="86" customHeight="1" spans="1:18">
      <c r="A86" s="10">
        <v>6</v>
      </c>
      <c r="B86" s="11" t="s">
        <v>172</v>
      </c>
      <c r="C86" s="17" t="s">
        <v>72</v>
      </c>
      <c r="D86" s="10" t="s">
        <v>70</v>
      </c>
      <c r="E86" s="85">
        <v>468828.166666667</v>
      </c>
      <c r="F86" s="189" t="s">
        <v>173</v>
      </c>
      <c r="G86" s="85">
        <v>482662.666666667</v>
      </c>
      <c r="H86" s="220">
        <f t="shared" si="21"/>
        <v>13834.5</v>
      </c>
      <c r="I86" s="85">
        <v>37506.2533333334</v>
      </c>
      <c r="J86" s="85">
        <f t="shared" si="22"/>
        <v>38613.0133333334</v>
      </c>
      <c r="K86" s="85">
        <f t="shared" si="23"/>
        <v>1106.75999999996</v>
      </c>
      <c r="L86" s="85">
        <f t="shared" si="15"/>
        <v>463356.16</v>
      </c>
      <c r="M86" s="189" t="s">
        <v>173</v>
      </c>
      <c r="N86" s="911">
        <v>302878.666666667</v>
      </c>
      <c r="O86" s="911"/>
      <c r="P86" s="85"/>
      <c r="Q86" s="911">
        <f t="shared" si="18"/>
        <v>0</v>
      </c>
      <c r="R86" s="911">
        <f t="shared" si="19"/>
        <v>0</v>
      </c>
    </row>
    <row r="87" customHeight="1" spans="1:18">
      <c r="A87" s="10">
        <v>7</v>
      </c>
      <c r="B87" s="11" t="s">
        <v>174</v>
      </c>
      <c r="C87" s="17" t="s">
        <v>72</v>
      </c>
      <c r="D87" s="10" t="s">
        <v>70</v>
      </c>
      <c r="E87" s="85">
        <v>468828.166666667</v>
      </c>
      <c r="F87" s="189" t="s">
        <v>173</v>
      </c>
      <c r="G87" s="85">
        <v>482662.666666667</v>
      </c>
      <c r="H87" s="220">
        <f t="shared" si="21"/>
        <v>13834.5</v>
      </c>
      <c r="I87" s="85">
        <v>37506.2533333334</v>
      </c>
      <c r="J87" s="85">
        <f t="shared" si="22"/>
        <v>38613.0133333334</v>
      </c>
      <c r="K87" s="85">
        <f t="shared" si="23"/>
        <v>1106.75999999996</v>
      </c>
      <c r="L87" s="85">
        <f t="shared" si="15"/>
        <v>463356.16</v>
      </c>
      <c r="M87" s="189" t="s">
        <v>173</v>
      </c>
      <c r="N87" s="911">
        <v>302878.666666667</v>
      </c>
      <c r="O87" s="911"/>
      <c r="P87" s="85"/>
      <c r="Q87" s="911">
        <f t="shared" si="18"/>
        <v>0</v>
      </c>
      <c r="R87" s="911">
        <f t="shared" si="19"/>
        <v>0</v>
      </c>
    </row>
    <row r="88" customHeight="1" spans="1:18">
      <c r="A88" s="10">
        <v>8</v>
      </c>
      <c r="B88" s="11" t="s">
        <v>175</v>
      </c>
      <c r="C88" s="4" t="s">
        <v>176</v>
      </c>
      <c r="D88" s="15" t="s">
        <v>67</v>
      </c>
      <c r="E88" s="85">
        <v>482846.583333333</v>
      </c>
      <c r="F88" s="189" t="s">
        <v>67</v>
      </c>
      <c r="G88" s="85">
        <v>482846.583333333</v>
      </c>
      <c r="H88" s="220">
        <f t="shared" si="21"/>
        <v>0</v>
      </c>
      <c r="I88" s="85">
        <v>38627.7266666667</v>
      </c>
      <c r="J88" s="85">
        <f t="shared" si="22"/>
        <v>38627.7266666666</v>
      </c>
      <c r="K88" s="85">
        <f t="shared" si="23"/>
        <v>-5.82076609134674e-11</v>
      </c>
      <c r="L88" s="85">
        <f t="shared" si="15"/>
        <v>463532.72</v>
      </c>
      <c r="M88" s="189" t="s">
        <v>67</v>
      </c>
      <c r="N88" s="911">
        <v>302987.416666667</v>
      </c>
      <c r="O88" s="911"/>
      <c r="P88" s="85"/>
      <c r="Q88" s="911">
        <f t="shared" si="18"/>
        <v>0</v>
      </c>
      <c r="R88" s="911">
        <f t="shared" si="19"/>
        <v>0</v>
      </c>
    </row>
    <row r="89" s="1" customFormat="1" customHeight="1" spans="1:18">
      <c r="A89" s="10">
        <v>9</v>
      </c>
      <c r="B89" s="14" t="s">
        <v>177</v>
      </c>
      <c r="C89" s="17" t="s">
        <v>178</v>
      </c>
      <c r="D89" s="10" t="s">
        <v>180</v>
      </c>
      <c r="E89" s="85">
        <v>441159</v>
      </c>
      <c r="F89" s="189" t="s">
        <v>131</v>
      </c>
      <c r="G89" s="85">
        <v>454993.583333333</v>
      </c>
      <c r="H89" s="220">
        <f t="shared" si="21"/>
        <v>13834.583333333</v>
      </c>
      <c r="I89" s="85">
        <v>35292.72</v>
      </c>
      <c r="J89" s="85">
        <f t="shared" si="22"/>
        <v>36399.4866666666</v>
      </c>
      <c r="K89" s="85">
        <f t="shared" si="23"/>
        <v>1106.76666666664</v>
      </c>
      <c r="L89" s="85">
        <f t="shared" si="15"/>
        <v>436793.84</v>
      </c>
      <c r="M89" s="189" t="s">
        <v>131</v>
      </c>
      <c r="N89" s="911">
        <v>286447.083333333</v>
      </c>
      <c r="O89" s="911">
        <f>N89*0.025</f>
        <v>7161.17708333333</v>
      </c>
      <c r="P89" s="85">
        <v>6955.78125</v>
      </c>
      <c r="Q89" s="911">
        <f t="shared" si="18"/>
        <v>205.395833333326</v>
      </c>
      <c r="R89" s="911">
        <f t="shared" si="19"/>
        <v>85934.1249999999</v>
      </c>
    </row>
    <row r="90" ht="21.6" customHeight="1" spans="1:18">
      <c r="A90" s="10">
        <v>10</v>
      </c>
      <c r="B90" s="11" t="s">
        <v>179</v>
      </c>
      <c r="C90" s="4" t="s">
        <v>152</v>
      </c>
      <c r="D90" s="10" t="s">
        <v>78</v>
      </c>
      <c r="E90" s="220">
        <v>390135.833333334</v>
      </c>
      <c r="F90" s="189" t="s">
        <v>153</v>
      </c>
      <c r="G90" s="85">
        <v>399131.166666667</v>
      </c>
      <c r="H90" s="220">
        <f t="shared" si="21"/>
        <v>8995.33333333296</v>
      </c>
      <c r="I90" s="85">
        <v>31210.8666666667</v>
      </c>
      <c r="J90" s="85">
        <f t="shared" si="22"/>
        <v>31930.4933333334</v>
      </c>
      <c r="K90" s="85">
        <f t="shared" si="23"/>
        <v>719.626666666656</v>
      </c>
      <c r="L90" s="85">
        <f t="shared" si="15"/>
        <v>383165.92</v>
      </c>
      <c r="M90" s="189" t="s">
        <v>153</v>
      </c>
      <c r="N90" s="911">
        <v>251467.916666667</v>
      </c>
      <c r="O90" s="911">
        <f>N90*0.025</f>
        <v>6286.69791666668</v>
      </c>
      <c r="P90" s="912">
        <v>6154.27916666668</v>
      </c>
      <c r="Q90" s="911">
        <f t="shared" si="18"/>
        <v>132.418749999995</v>
      </c>
      <c r="R90" s="911">
        <f t="shared" si="19"/>
        <v>75440.3750000001</v>
      </c>
    </row>
    <row r="91" s="1" customFormat="1" ht="18.75" customHeight="1" spans="1:18">
      <c r="A91" s="10">
        <v>11</v>
      </c>
      <c r="B91" s="18" t="s">
        <v>181</v>
      </c>
      <c r="C91" s="4" t="s">
        <v>182</v>
      </c>
      <c r="D91" s="10" t="s">
        <v>225</v>
      </c>
      <c r="E91" s="85">
        <v>330407.083333333</v>
      </c>
      <c r="F91" s="189" t="s">
        <v>99</v>
      </c>
      <c r="G91" s="85">
        <v>338711.666666667</v>
      </c>
      <c r="H91" s="220">
        <f t="shared" si="21"/>
        <v>8304.58333333395</v>
      </c>
      <c r="I91" s="85">
        <v>26432.5666666667</v>
      </c>
      <c r="J91" s="85">
        <f t="shared" si="22"/>
        <v>27096.9333333334</v>
      </c>
      <c r="K91" s="85">
        <f t="shared" si="23"/>
        <v>664.366666666661</v>
      </c>
      <c r="L91" s="85">
        <f t="shared" si="15"/>
        <v>325163.2</v>
      </c>
      <c r="M91" s="189" t="s">
        <v>99</v>
      </c>
      <c r="N91" s="911">
        <v>217733.416666667</v>
      </c>
      <c r="O91" s="911"/>
      <c r="P91" s="85"/>
      <c r="Q91" s="911">
        <f t="shared" si="18"/>
        <v>0</v>
      </c>
      <c r="R91" s="911">
        <f t="shared" si="19"/>
        <v>0</v>
      </c>
    </row>
    <row r="92" ht="27" customHeight="1" spans="1:18">
      <c r="A92" s="10"/>
      <c r="B92" s="20" t="s">
        <v>120</v>
      </c>
      <c r="C92" s="21">
        <v>11</v>
      </c>
      <c r="D92" s="21"/>
      <c r="E92" s="93">
        <f t="shared" ref="E92:L92" si="24">SUM(E81:E91)</f>
        <v>5480198.16666667</v>
      </c>
      <c r="F92" s="93"/>
      <c r="G92" s="93">
        <f t="shared" si="24"/>
        <v>5597834.33333333</v>
      </c>
      <c r="H92" s="93">
        <f t="shared" si="24"/>
        <v>117636.166666668</v>
      </c>
      <c r="I92" s="93">
        <f t="shared" si="24"/>
        <v>438415.853333334</v>
      </c>
      <c r="J92" s="93">
        <f t="shared" si="24"/>
        <v>447826.746666667</v>
      </c>
      <c r="K92" s="93">
        <f t="shared" si="24"/>
        <v>9410.89333333309</v>
      </c>
      <c r="L92" s="93">
        <f t="shared" ref="L92:R92" si="25">SUM(L81:L91)</f>
        <v>5373920.96</v>
      </c>
      <c r="M92" s="93">
        <f t="shared" si="25"/>
        <v>0</v>
      </c>
      <c r="N92" s="93">
        <f t="shared" si="25"/>
        <v>3502354.5</v>
      </c>
      <c r="O92" s="93">
        <f t="shared" si="25"/>
        <v>50470.2416666667</v>
      </c>
      <c r="P92" s="93">
        <f t="shared" si="25"/>
        <v>49492.7479166667</v>
      </c>
      <c r="Q92" s="93">
        <f t="shared" si="25"/>
        <v>977.493749999997</v>
      </c>
      <c r="R92" s="93">
        <f t="shared" si="25"/>
        <v>605642.9</v>
      </c>
    </row>
    <row r="93" customHeight="1" spans="1:18">
      <c r="A93" s="10"/>
      <c r="B93" s="22"/>
      <c r="C93" s="21"/>
      <c r="D93" s="21"/>
      <c r="E93" s="156"/>
      <c r="F93" s="156"/>
      <c r="G93" s="156"/>
      <c r="H93" s="220"/>
      <c r="I93" s="156"/>
      <c r="J93" s="156"/>
      <c r="K93" s="156"/>
      <c r="L93" s="85"/>
      <c r="M93" s="156"/>
      <c r="N93" s="156"/>
      <c r="O93" s="911"/>
      <c r="P93" s="156"/>
      <c r="Q93" s="911"/>
      <c r="R93" s="911"/>
    </row>
    <row r="94" customHeight="1" spans="1:18">
      <c r="A94" s="10"/>
      <c r="B94" s="20" t="s">
        <v>183</v>
      </c>
      <c r="C94" s="21"/>
      <c r="D94" s="21"/>
      <c r="E94" s="156"/>
      <c r="F94" s="156"/>
      <c r="G94" s="156"/>
      <c r="H94" s="220"/>
      <c r="I94" s="156"/>
      <c r="J94" s="156"/>
      <c r="K94" s="156"/>
      <c r="L94" s="85"/>
      <c r="M94" s="156"/>
      <c r="N94" s="156"/>
      <c r="O94" s="911"/>
      <c r="P94" s="156"/>
      <c r="Q94" s="911"/>
      <c r="R94" s="911"/>
    </row>
    <row r="95" customHeight="1" spans="1:18">
      <c r="A95" s="10">
        <v>1</v>
      </c>
      <c r="B95" s="11" t="s">
        <v>184</v>
      </c>
      <c r="C95" s="4" t="s">
        <v>185</v>
      </c>
      <c r="D95" s="10" t="s">
        <v>124</v>
      </c>
      <c r="E95" s="85">
        <v>1747106.41666666</v>
      </c>
      <c r="F95" s="10" t="s">
        <v>124</v>
      </c>
      <c r="G95" s="85">
        <v>1747106.41666666</v>
      </c>
      <c r="H95" s="220">
        <f>G95-E95</f>
        <v>0</v>
      </c>
      <c r="I95" s="85">
        <v>139768.513333333</v>
      </c>
      <c r="J95" s="85">
        <f>G95*0.08</f>
        <v>139768.513333333</v>
      </c>
      <c r="K95" s="85">
        <f>J95-I95</f>
        <v>0</v>
      </c>
      <c r="L95" s="85">
        <f t="shared" si="15"/>
        <v>1677222.15999999</v>
      </c>
      <c r="M95" s="10" t="s">
        <v>124</v>
      </c>
      <c r="N95" s="911">
        <v>1086777.08333333</v>
      </c>
      <c r="O95" s="911"/>
      <c r="P95" s="85">
        <v>0</v>
      </c>
      <c r="Q95" s="911">
        <f t="shared" si="18"/>
        <v>0</v>
      </c>
      <c r="R95" s="911">
        <f t="shared" si="19"/>
        <v>0</v>
      </c>
    </row>
    <row r="96" customHeight="1" spans="1:18">
      <c r="A96" s="10">
        <v>2</v>
      </c>
      <c r="B96" s="11" t="s">
        <v>186</v>
      </c>
      <c r="C96" s="4" t="s">
        <v>187</v>
      </c>
      <c r="D96" s="10" t="s">
        <v>42</v>
      </c>
      <c r="E96" s="85">
        <v>722595.5</v>
      </c>
      <c r="F96" s="10" t="s">
        <v>50</v>
      </c>
      <c r="G96" s="85">
        <v>722595.5</v>
      </c>
      <c r="H96" s="220">
        <f t="shared" ref="H96:H105" si="26">G96-E96</f>
        <v>0</v>
      </c>
      <c r="I96" s="85">
        <v>57807.64</v>
      </c>
      <c r="J96" s="85">
        <f t="shared" ref="J96:J105" si="27">G96*0.08</f>
        <v>57807.64</v>
      </c>
      <c r="K96" s="85">
        <f t="shared" ref="K96:K105" si="28">J96-I96</f>
        <v>0</v>
      </c>
      <c r="L96" s="85">
        <f t="shared" si="15"/>
        <v>693691.68</v>
      </c>
      <c r="M96" s="10" t="s">
        <v>50</v>
      </c>
      <c r="N96" s="911">
        <v>445995.833333333</v>
      </c>
      <c r="O96" s="911"/>
      <c r="P96" s="85"/>
      <c r="Q96" s="911">
        <f t="shared" si="18"/>
        <v>0</v>
      </c>
      <c r="R96" s="911">
        <f t="shared" si="19"/>
        <v>0</v>
      </c>
    </row>
    <row r="97" customHeight="1" spans="1:18">
      <c r="A97" s="10">
        <v>3</v>
      </c>
      <c r="B97" s="11" t="s">
        <v>188</v>
      </c>
      <c r="C97" s="4" t="s">
        <v>189</v>
      </c>
      <c r="D97" s="10" t="s">
        <v>42</v>
      </c>
      <c r="E97" s="85">
        <v>722595.5</v>
      </c>
      <c r="F97" s="10" t="s">
        <v>50</v>
      </c>
      <c r="G97" s="85">
        <v>722595.5</v>
      </c>
      <c r="H97" s="220">
        <f t="shared" si="26"/>
        <v>0</v>
      </c>
      <c r="I97" s="85">
        <v>57807.64</v>
      </c>
      <c r="J97" s="85">
        <f t="shared" si="27"/>
        <v>57807.64</v>
      </c>
      <c r="K97" s="85">
        <f t="shared" si="28"/>
        <v>0</v>
      </c>
      <c r="L97" s="85">
        <f t="shared" si="15"/>
        <v>693691.68</v>
      </c>
      <c r="M97" s="10" t="s">
        <v>50</v>
      </c>
      <c r="N97" s="911">
        <v>445995.833333333</v>
      </c>
      <c r="O97" s="911"/>
      <c r="P97" s="85"/>
      <c r="Q97" s="911">
        <f t="shared" si="18"/>
        <v>0</v>
      </c>
      <c r="R97" s="911">
        <f t="shared" si="19"/>
        <v>0</v>
      </c>
    </row>
    <row r="98" customHeight="1" spans="1:18">
      <c r="A98" s="10">
        <v>4</v>
      </c>
      <c r="B98" s="11" t="s">
        <v>190</v>
      </c>
      <c r="C98" s="4" t="s">
        <v>191</v>
      </c>
      <c r="D98" s="15" t="s">
        <v>47</v>
      </c>
      <c r="E98" s="85">
        <v>573911.083333334</v>
      </c>
      <c r="F98" s="15" t="s">
        <v>192</v>
      </c>
      <c r="G98" s="85">
        <f>'[21]Peculiar Allowance'!$L$42+'[21] FGN 2024 MGT Monthly'!$L$42</f>
        <v>589657</v>
      </c>
      <c r="H98" s="220">
        <f t="shared" si="26"/>
        <v>15745.916666666</v>
      </c>
      <c r="I98" s="85">
        <v>45912.8866666667</v>
      </c>
      <c r="J98" s="85">
        <f t="shared" si="27"/>
        <v>47172.56</v>
      </c>
      <c r="K98" s="85">
        <f t="shared" si="28"/>
        <v>1259.6733333333</v>
      </c>
      <c r="L98" s="85">
        <f t="shared" si="15"/>
        <v>566070.72</v>
      </c>
      <c r="M98" s="15" t="s">
        <v>192</v>
      </c>
      <c r="N98" s="911">
        <v>366417.5</v>
      </c>
      <c r="O98" s="911">
        <f>N98*0.025</f>
        <v>9160.4375</v>
      </c>
      <c r="P98" s="85">
        <v>8926.66666666668</v>
      </c>
      <c r="Q98" s="911">
        <f t="shared" si="18"/>
        <v>233.770833333319</v>
      </c>
      <c r="R98" s="911">
        <f t="shared" si="19"/>
        <v>109925.25</v>
      </c>
    </row>
    <row r="99" customHeight="1" spans="1:18">
      <c r="A99" s="10">
        <v>5</v>
      </c>
      <c r="B99" s="11" t="s">
        <v>193</v>
      </c>
      <c r="C99" s="12" t="s">
        <v>194</v>
      </c>
      <c r="D99" s="15" t="s">
        <v>67</v>
      </c>
      <c r="E99" s="85">
        <v>482846.583333334</v>
      </c>
      <c r="F99" s="15" t="s">
        <v>64</v>
      </c>
      <c r="G99" s="85">
        <v>497472.75</v>
      </c>
      <c r="H99" s="220">
        <f t="shared" si="26"/>
        <v>14626.166666666</v>
      </c>
      <c r="I99" s="85">
        <v>38627.7266666667</v>
      </c>
      <c r="J99" s="85">
        <f t="shared" si="27"/>
        <v>39797.82</v>
      </c>
      <c r="K99" s="85">
        <f t="shared" si="28"/>
        <v>1170.0933333333</v>
      </c>
      <c r="L99" s="85">
        <f t="shared" si="15"/>
        <v>477573.84</v>
      </c>
      <c r="M99" s="15" t="s">
        <v>64</v>
      </c>
      <c r="N99" s="911">
        <v>311673.25</v>
      </c>
      <c r="O99" s="911">
        <f>N99*0.025</f>
        <v>7791.83125</v>
      </c>
      <c r="P99" s="85">
        <v>7574.68541666667</v>
      </c>
      <c r="Q99" s="911">
        <f t="shared" si="18"/>
        <v>217.14583333333</v>
      </c>
      <c r="R99" s="911">
        <f t="shared" si="19"/>
        <v>93501.975</v>
      </c>
    </row>
    <row r="100" s="1" customFormat="1" customHeight="1" spans="1:18">
      <c r="A100" s="10">
        <v>6</v>
      </c>
      <c r="B100" s="11" t="s">
        <v>195</v>
      </c>
      <c r="C100" s="4" t="s">
        <v>196</v>
      </c>
      <c r="D100" s="15" t="s">
        <v>67</v>
      </c>
      <c r="E100" s="85">
        <v>482846.583333333</v>
      </c>
      <c r="F100" s="15" t="s">
        <v>64</v>
      </c>
      <c r="G100" s="85">
        <v>497472.75</v>
      </c>
      <c r="H100" s="220">
        <f t="shared" si="26"/>
        <v>14626.166666667</v>
      </c>
      <c r="I100" s="85">
        <v>38627.7266666667</v>
      </c>
      <c r="J100" s="85">
        <f t="shared" si="27"/>
        <v>39797.82</v>
      </c>
      <c r="K100" s="85">
        <f t="shared" si="28"/>
        <v>1170.0933333333</v>
      </c>
      <c r="L100" s="85">
        <f t="shared" si="15"/>
        <v>477573.84</v>
      </c>
      <c r="M100" s="15" t="s">
        <v>64</v>
      </c>
      <c r="N100" s="911">
        <v>311673.25</v>
      </c>
      <c r="O100" s="911"/>
      <c r="P100" s="85"/>
      <c r="Q100" s="911">
        <f t="shared" si="18"/>
        <v>0</v>
      </c>
      <c r="R100" s="911">
        <f t="shared" si="19"/>
        <v>0</v>
      </c>
    </row>
    <row r="101" customHeight="1" spans="1:18">
      <c r="A101" s="10">
        <v>7</v>
      </c>
      <c r="B101" s="11" t="s">
        <v>197</v>
      </c>
      <c r="C101" s="4" t="s">
        <v>198</v>
      </c>
      <c r="D101" s="10" t="s">
        <v>131</v>
      </c>
      <c r="E101" s="85">
        <v>454993.583333333</v>
      </c>
      <c r="F101" s="10" t="s">
        <v>70</v>
      </c>
      <c r="G101" s="85">
        <v>468828.166666667</v>
      </c>
      <c r="H101" s="220">
        <f t="shared" si="26"/>
        <v>13834.583333334</v>
      </c>
      <c r="I101" s="85">
        <v>36399.4866666666</v>
      </c>
      <c r="J101" s="85">
        <f t="shared" si="27"/>
        <v>37506.2533333334</v>
      </c>
      <c r="K101" s="85">
        <f t="shared" si="28"/>
        <v>1106.76666666676</v>
      </c>
      <c r="L101" s="85">
        <f t="shared" si="15"/>
        <v>450075.04</v>
      </c>
      <c r="M101" s="10" t="s">
        <v>70</v>
      </c>
      <c r="N101" s="911">
        <v>294662.916666667</v>
      </c>
      <c r="O101" s="911">
        <f>N101*0.025</f>
        <v>7366.57291666668</v>
      </c>
      <c r="P101" s="85">
        <v>7161.17708333333</v>
      </c>
      <c r="Q101" s="911">
        <f t="shared" si="18"/>
        <v>205.395833333345</v>
      </c>
      <c r="R101" s="911">
        <f t="shared" si="19"/>
        <v>88398.8750000001</v>
      </c>
    </row>
    <row r="102" s="1" customFormat="1" customHeight="1" spans="1:18">
      <c r="A102" s="10">
        <v>8</v>
      </c>
      <c r="B102" s="11" t="s">
        <v>199</v>
      </c>
      <c r="C102" s="4" t="s">
        <v>200</v>
      </c>
      <c r="D102" s="10" t="s">
        <v>81</v>
      </c>
      <c r="E102" s="85">
        <v>372145.333333333</v>
      </c>
      <c r="F102" s="10" t="s">
        <v>75</v>
      </c>
      <c r="G102" s="85">
        <v>381140.666666666</v>
      </c>
      <c r="H102" s="220">
        <f t="shared" si="26"/>
        <v>8995.33333333296</v>
      </c>
      <c r="I102" s="85">
        <v>29771.6266666667</v>
      </c>
      <c r="J102" s="85">
        <f t="shared" si="27"/>
        <v>30491.2533333333</v>
      </c>
      <c r="K102" s="85">
        <f t="shared" si="28"/>
        <v>719.62666666658</v>
      </c>
      <c r="L102" s="85">
        <f t="shared" si="15"/>
        <v>365895.039999999</v>
      </c>
      <c r="M102" s="10" t="s">
        <v>75</v>
      </c>
      <c r="N102" s="911">
        <v>240874.583333333</v>
      </c>
      <c r="O102" s="911"/>
      <c r="P102" s="85"/>
      <c r="Q102" s="911">
        <f t="shared" si="18"/>
        <v>0</v>
      </c>
      <c r="R102" s="911">
        <f t="shared" si="19"/>
        <v>0</v>
      </c>
    </row>
    <row r="103" customHeight="1" spans="1:18">
      <c r="A103" s="10">
        <v>9</v>
      </c>
      <c r="B103" s="11" t="s">
        <v>201</v>
      </c>
      <c r="C103" s="4" t="s">
        <v>182</v>
      </c>
      <c r="D103" s="10" t="s">
        <v>99</v>
      </c>
      <c r="E103" s="85">
        <v>347016.166666666</v>
      </c>
      <c r="F103" s="10" t="s">
        <v>86</v>
      </c>
      <c r="G103" s="85">
        <v>347016.166666666</v>
      </c>
      <c r="H103" s="220">
        <f t="shared" si="26"/>
        <v>0</v>
      </c>
      <c r="I103" s="85">
        <v>27761.2933333333</v>
      </c>
      <c r="J103" s="85">
        <f t="shared" si="27"/>
        <v>27761.2933333333</v>
      </c>
      <c r="K103" s="85">
        <f t="shared" si="28"/>
        <v>0</v>
      </c>
      <c r="L103" s="85">
        <f t="shared" si="15"/>
        <v>333135.519999999</v>
      </c>
      <c r="M103" s="10" t="s">
        <v>86</v>
      </c>
      <c r="N103" s="911">
        <v>222674.583333333</v>
      </c>
      <c r="O103" s="911">
        <f>N103*0.025</f>
        <v>5566.86458333332</v>
      </c>
      <c r="P103" s="85">
        <v>5566.86458333332</v>
      </c>
      <c r="Q103" s="911">
        <f t="shared" si="18"/>
        <v>0</v>
      </c>
      <c r="R103" s="911">
        <f t="shared" si="19"/>
        <v>66802.3749999999</v>
      </c>
    </row>
    <row r="104" s="1" customFormat="1" ht="18.75" customHeight="1" spans="1:18">
      <c r="A104" s="10">
        <v>10</v>
      </c>
      <c r="B104" s="18" t="s">
        <v>202</v>
      </c>
      <c r="C104" s="4" t="s">
        <v>182</v>
      </c>
      <c r="D104" s="10" t="s">
        <v>225</v>
      </c>
      <c r="E104" s="85">
        <v>330407.083333333</v>
      </c>
      <c r="F104" s="10" t="s">
        <v>99</v>
      </c>
      <c r="G104" s="85">
        <v>338711.666666667</v>
      </c>
      <c r="H104" s="220">
        <f t="shared" si="26"/>
        <v>8304.58333333395</v>
      </c>
      <c r="I104" s="85">
        <v>26432.5666666667</v>
      </c>
      <c r="J104" s="85">
        <f t="shared" si="27"/>
        <v>27096.9333333334</v>
      </c>
      <c r="K104" s="85">
        <f t="shared" si="28"/>
        <v>664.366666666661</v>
      </c>
      <c r="L104" s="85">
        <f t="shared" si="15"/>
        <v>325163.2</v>
      </c>
      <c r="M104" s="10" t="s">
        <v>99</v>
      </c>
      <c r="N104" s="911">
        <v>217733.416666667</v>
      </c>
      <c r="O104" s="911"/>
      <c r="P104" s="85"/>
      <c r="Q104" s="911">
        <f t="shared" si="18"/>
        <v>0</v>
      </c>
      <c r="R104" s="911">
        <f t="shared" si="19"/>
        <v>0</v>
      </c>
    </row>
    <row r="105" customHeight="1" spans="1:18">
      <c r="A105" s="10">
        <v>11</v>
      </c>
      <c r="B105" s="11" t="s">
        <v>203</v>
      </c>
      <c r="C105" s="4" t="s">
        <v>204</v>
      </c>
      <c r="D105" s="10" t="s">
        <v>108</v>
      </c>
      <c r="E105" s="85">
        <v>301910.75</v>
      </c>
      <c r="F105" s="10" t="s">
        <v>105</v>
      </c>
      <c r="G105" s="85">
        <v>308920.666666667</v>
      </c>
      <c r="H105" s="220">
        <f t="shared" si="26"/>
        <v>7009.91666666698</v>
      </c>
      <c r="I105" s="85">
        <v>24152.86</v>
      </c>
      <c r="J105" s="85">
        <f t="shared" si="27"/>
        <v>24713.6533333334</v>
      </c>
      <c r="K105" s="85">
        <f t="shared" si="28"/>
        <v>560.793333333357</v>
      </c>
      <c r="L105" s="85">
        <f t="shared" si="15"/>
        <v>296563.84</v>
      </c>
      <c r="M105" s="10" t="s">
        <v>105</v>
      </c>
      <c r="N105" s="911">
        <v>200549.416666667</v>
      </c>
      <c r="O105" s="911"/>
      <c r="P105" s="85">
        <v>0</v>
      </c>
      <c r="Q105" s="911">
        <f t="shared" si="18"/>
        <v>0</v>
      </c>
      <c r="R105" s="911">
        <f t="shared" si="19"/>
        <v>0</v>
      </c>
    </row>
    <row r="106" customHeight="1" spans="1:18">
      <c r="A106" s="10"/>
      <c r="B106" s="20" t="s">
        <v>120</v>
      </c>
      <c r="C106" s="21">
        <v>11</v>
      </c>
      <c r="D106" s="21"/>
      <c r="E106" s="93">
        <f t="shared" ref="E106:L106" si="29">SUM(E95:E105)</f>
        <v>6538374.58333333</v>
      </c>
      <c r="F106" s="93"/>
      <c r="G106" s="93">
        <f t="shared" si="29"/>
        <v>6621517.24999999</v>
      </c>
      <c r="H106" s="93">
        <f t="shared" si="29"/>
        <v>83142.6666666669</v>
      </c>
      <c r="I106" s="93">
        <f t="shared" si="29"/>
        <v>523069.966666666</v>
      </c>
      <c r="J106" s="93">
        <f t="shared" si="29"/>
        <v>529721.38</v>
      </c>
      <c r="K106" s="93">
        <f t="shared" si="29"/>
        <v>6651.41333333325</v>
      </c>
      <c r="L106" s="93">
        <f t="shared" ref="L106:R106" si="30">SUM(L95:L105)</f>
        <v>6356656.55999999</v>
      </c>
      <c r="M106" s="93">
        <f t="shared" si="30"/>
        <v>0</v>
      </c>
      <c r="N106" s="93">
        <f t="shared" si="30"/>
        <v>4145027.66666666</v>
      </c>
      <c r="O106" s="93">
        <f t="shared" si="30"/>
        <v>29885.70625</v>
      </c>
      <c r="P106" s="93">
        <f t="shared" si="30"/>
        <v>29229.39375</v>
      </c>
      <c r="Q106" s="93">
        <f t="shared" si="30"/>
        <v>656.312499999995</v>
      </c>
      <c r="R106" s="93">
        <f t="shared" si="30"/>
        <v>358628.475</v>
      </c>
    </row>
    <row r="107" customHeight="1" spans="1:18">
      <c r="A107" s="10"/>
      <c r="B107" s="20"/>
      <c r="C107" s="21"/>
      <c r="D107" s="21"/>
      <c r="E107" s="156"/>
      <c r="F107" s="156"/>
      <c r="G107" s="156"/>
      <c r="H107" s="220"/>
      <c r="I107" s="156"/>
      <c r="J107" s="156"/>
      <c r="K107" s="156"/>
      <c r="L107" s="85"/>
      <c r="M107" s="156"/>
      <c r="N107" s="156"/>
      <c r="O107" s="911"/>
      <c r="P107" s="156"/>
      <c r="Q107" s="911">
        <f t="shared" si="18"/>
        <v>0</v>
      </c>
      <c r="R107" s="911"/>
    </row>
    <row r="108" customHeight="1" spans="1:18">
      <c r="A108" s="10"/>
      <c r="B108" s="20" t="s">
        <v>205</v>
      </c>
      <c r="C108" s="25"/>
      <c r="D108" s="21"/>
      <c r="E108" s="156"/>
      <c r="F108" s="156"/>
      <c r="G108" s="156"/>
      <c r="H108" s="220"/>
      <c r="I108" s="156"/>
      <c r="J108" s="156"/>
      <c r="K108" s="156"/>
      <c r="L108" s="85"/>
      <c r="M108" s="156"/>
      <c r="N108" s="156"/>
      <c r="O108" s="911"/>
      <c r="P108" s="156"/>
      <c r="Q108" s="911">
        <f t="shared" si="18"/>
        <v>0</v>
      </c>
      <c r="R108" s="911"/>
    </row>
    <row r="109" customHeight="1" spans="1:18">
      <c r="A109" s="10">
        <v>1</v>
      </c>
      <c r="B109" s="11" t="s">
        <v>206</v>
      </c>
      <c r="C109" s="4" t="s">
        <v>207</v>
      </c>
      <c r="D109" s="10" t="s">
        <v>304</v>
      </c>
      <c r="E109" s="85">
        <v>1647612</v>
      </c>
      <c r="F109" s="10" t="s">
        <v>140</v>
      </c>
      <c r="G109" s="85">
        <v>1697359.33333333</v>
      </c>
      <c r="H109" s="220">
        <f>G109-E109</f>
        <v>49747.33333333</v>
      </c>
      <c r="I109" s="85">
        <v>131808.96</v>
      </c>
      <c r="J109" s="85">
        <f>G109*0.08</f>
        <v>135788.746666666</v>
      </c>
      <c r="K109" s="85">
        <f>J109-I109</f>
        <v>3979.78666666642</v>
      </c>
      <c r="L109" s="85">
        <f t="shared" si="15"/>
        <v>1629464.96</v>
      </c>
      <c r="M109" s="10" t="s">
        <v>140</v>
      </c>
      <c r="N109" s="911">
        <v>1056272.83333333</v>
      </c>
      <c r="O109" s="911">
        <f>N109*0.025</f>
        <v>26406.8208333333</v>
      </c>
      <c r="P109" s="85">
        <v>25644.2083333333</v>
      </c>
      <c r="Q109" s="911">
        <f t="shared" si="18"/>
        <v>762.612499999952</v>
      </c>
      <c r="R109" s="911">
        <f t="shared" si="19"/>
        <v>316881.849999999</v>
      </c>
    </row>
    <row r="110" customHeight="1" spans="1:18">
      <c r="A110" s="10">
        <v>2</v>
      </c>
      <c r="B110" s="11" t="s">
        <v>208</v>
      </c>
      <c r="C110" s="4" t="s">
        <v>209</v>
      </c>
      <c r="D110" s="10" t="s">
        <v>143</v>
      </c>
      <c r="E110" s="85">
        <v>852711.083333333</v>
      </c>
      <c r="F110" s="10" t="s">
        <v>210</v>
      </c>
      <c r="G110" s="85">
        <v>879008.916666667</v>
      </c>
      <c r="H110" s="220">
        <f t="shared" ref="H110:H121" si="31">G110-E110</f>
        <v>26297.833333334</v>
      </c>
      <c r="I110" s="85">
        <v>68216.8866666666</v>
      </c>
      <c r="J110" s="85">
        <f t="shared" ref="J110:J121" si="32">G110*0.08</f>
        <v>70320.7133333334</v>
      </c>
      <c r="K110" s="85">
        <f t="shared" ref="K110:K121" si="33">J110-I110</f>
        <v>2103.82666666676</v>
      </c>
      <c r="L110" s="85">
        <f t="shared" si="15"/>
        <v>843848.56</v>
      </c>
      <c r="M110" s="10" t="s">
        <v>210</v>
      </c>
      <c r="N110" s="911">
        <f>'[19] FGN 2024 MGT Monthly'!$I$44</f>
        <v>539028</v>
      </c>
      <c r="O110" s="911"/>
      <c r="P110" s="85"/>
      <c r="Q110" s="911">
        <f t="shared" si="18"/>
        <v>0</v>
      </c>
      <c r="R110" s="911">
        <f t="shared" si="19"/>
        <v>0</v>
      </c>
    </row>
    <row r="111" customHeight="1" spans="1:18">
      <c r="A111" s="10">
        <v>3</v>
      </c>
      <c r="B111" s="11" t="s">
        <v>479</v>
      </c>
      <c r="C111" s="4" t="s">
        <v>145</v>
      </c>
      <c r="D111" s="10" t="s">
        <v>50</v>
      </c>
      <c r="E111" s="85">
        <v>722595.5</v>
      </c>
      <c r="F111" s="10" t="s">
        <v>39</v>
      </c>
      <c r="G111" s="85">
        <v>744477</v>
      </c>
      <c r="H111" s="220">
        <f t="shared" si="31"/>
        <v>21881.5</v>
      </c>
      <c r="I111" s="85">
        <v>57807.64</v>
      </c>
      <c r="J111" s="85">
        <f t="shared" si="32"/>
        <v>59558.16</v>
      </c>
      <c r="K111" s="85">
        <f t="shared" si="33"/>
        <v>1750.52</v>
      </c>
      <c r="L111" s="85">
        <f t="shared" si="15"/>
        <v>714697.92</v>
      </c>
      <c r="M111" s="10" t="s">
        <v>39</v>
      </c>
      <c r="N111" s="911">
        <v>459010.5</v>
      </c>
      <c r="O111" s="911"/>
      <c r="P111" s="85"/>
      <c r="Q111" s="911">
        <f t="shared" si="18"/>
        <v>0</v>
      </c>
      <c r="R111" s="911">
        <f t="shared" si="19"/>
        <v>0</v>
      </c>
    </row>
    <row r="112" ht="21.6" customHeight="1" spans="1:18">
      <c r="A112" s="10">
        <v>4</v>
      </c>
      <c r="B112" s="11" t="s">
        <v>211</v>
      </c>
      <c r="C112" s="4" t="s">
        <v>52</v>
      </c>
      <c r="D112" s="15" t="s">
        <v>214</v>
      </c>
      <c r="E112" s="85">
        <v>558165.25</v>
      </c>
      <c r="F112" s="15" t="s">
        <v>47</v>
      </c>
      <c r="G112" s="85">
        <v>573911.083333334</v>
      </c>
      <c r="H112" s="220">
        <f t="shared" si="31"/>
        <v>15745.833333334</v>
      </c>
      <c r="I112" s="85">
        <v>44653.22</v>
      </c>
      <c r="J112" s="85">
        <f t="shared" si="32"/>
        <v>45912.8866666667</v>
      </c>
      <c r="K112" s="85">
        <f t="shared" si="33"/>
        <v>1259.66666666672</v>
      </c>
      <c r="L112" s="85">
        <f t="shared" si="15"/>
        <v>550954.640000001</v>
      </c>
      <c r="M112" s="15" t="s">
        <v>47</v>
      </c>
      <c r="N112" s="911">
        <v>357066.666666667</v>
      </c>
      <c r="O112" s="911">
        <f>N112*0.025</f>
        <v>8926.66666666668</v>
      </c>
      <c r="P112" s="85">
        <v>8692.92291666667</v>
      </c>
      <c r="Q112" s="911">
        <f t="shared" si="18"/>
        <v>233.743750000005</v>
      </c>
      <c r="R112" s="911">
        <f t="shared" si="19"/>
        <v>107120</v>
      </c>
    </row>
    <row r="113" ht="21.6" customHeight="1" spans="1:18">
      <c r="A113" s="10">
        <v>5</v>
      </c>
      <c r="B113" s="11" t="s">
        <v>212</v>
      </c>
      <c r="C113" s="4" t="s">
        <v>52</v>
      </c>
      <c r="D113" s="15" t="s">
        <v>214</v>
      </c>
      <c r="E113" s="85">
        <v>558166.25</v>
      </c>
      <c r="F113" s="15" t="s">
        <v>47</v>
      </c>
      <c r="G113" s="85">
        <v>573911.083333334</v>
      </c>
      <c r="H113" s="220">
        <f t="shared" si="31"/>
        <v>15744.833333334</v>
      </c>
      <c r="I113" s="85">
        <v>44653.3</v>
      </c>
      <c r="J113" s="85">
        <f t="shared" si="32"/>
        <v>45912.8866666667</v>
      </c>
      <c r="K113" s="85">
        <f t="shared" si="33"/>
        <v>1259.58666666671</v>
      </c>
      <c r="L113" s="85">
        <f t="shared" si="15"/>
        <v>550954.640000001</v>
      </c>
      <c r="M113" s="15" t="s">
        <v>47</v>
      </c>
      <c r="N113" s="911">
        <v>357066.666666667</v>
      </c>
      <c r="O113" s="911">
        <f>N113*0.025</f>
        <v>8926.66666666668</v>
      </c>
      <c r="P113" s="85">
        <v>8692.92291666667</v>
      </c>
      <c r="Q113" s="911">
        <f t="shared" si="18"/>
        <v>233.743750000005</v>
      </c>
      <c r="R113" s="911">
        <f t="shared" si="19"/>
        <v>107120</v>
      </c>
    </row>
    <row r="114" ht="21.6" customHeight="1" spans="1:18">
      <c r="A114" s="10">
        <v>6</v>
      </c>
      <c r="B114" s="11" t="s">
        <v>213</v>
      </c>
      <c r="C114" s="12" t="s">
        <v>52</v>
      </c>
      <c r="D114" s="15" t="s">
        <v>53</v>
      </c>
      <c r="E114" s="85">
        <v>542419.5</v>
      </c>
      <c r="F114" s="15" t="s">
        <v>214</v>
      </c>
      <c r="G114" s="85">
        <v>558166.25</v>
      </c>
      <c r="H114" s="220">
        <f t="shared" si="31"/>
        <v>15746.75</v>
      </c>
      <c r="I114" s="85">
        <v>43393.56</v>
      </c>
      <c r="J114" s="85">
        <f t="shared" si="32"/>
        <v>44653.3</v>
      </c>
      <c r="K114" s="85">
        <f t="shared" si="33"/>
        <v>1259.74000000001</v>
      </c>
      <c r="L114" s="85">
        <f t="shared" si="15"/>
        <v>535839.6</v>
      </c>
      <c r="M114" s="15" t="s">
        <v>214</v>
      </c>
      <c r="N114" s="911">
        <v>347715.916666667</v>
      </c>
      <c r="O114" s="911"/>
      <c r="P114" s="85"/>
      <c r="Q114" s="911">
        <f t="shared" si="18"/>
        <v>0</v>
      </c>
      <c r="R114" s="911">
        <f t="shared" si="19"/>
        <v>0</v>
      </c>
    </row>
    <row r="115" ht="21.6" customHeight="1" spans="1:18">
      <c r="A115" s="10">
        <v>7</v>
      </c>
      <c r="B115" s="11" t="s">
        <v>215</v>
      </c>
      <c r="C115" s="17" t="s">
        <v>72</v>
      </c>
      <c r="D115" s="15" t="s">
        <v>70</v>
      </c>
      <c r="E115" s="85">
        <v>468828.166666667</v>
      </c>
      <c r="F115" s="15" t="s">
        <v>173</v>
      </c>
      <c r="G115" s="85">
        <v>482662.666666667</v>
      </c>
      <c r="H115" s="220">
        <f t="shared" si="31"/>
        <v>13834.5</v>
      </c>
      <c r="I115" s="85">
        <v>37506.2533333334</v>
      </c>
      <c r="J115" s="85">
        <f t="shared" si="32"/>
        <v>38613.0133333334</v>
      </c>
      <c r="K115" s="85">
        <f t="shared" si="33"/>
        <v>1106.75999999996</v>
      </c>
      <c r="L115" s="85">
        <f t="shared" si="15"/>
        <v>463356.16</v>
      </c>
      <c r="M115" s="15" t="s">
        <v>173</v>
      </c>
      <c r="N115" s="911">
        <v>302878.666666667</v>
      </c>
      <c r="O115" s="911"/>
      <c r="P115" s="85"/>
      <c r="Q115" s="911">
        <f t="shared" si="18"/>
        <v>0</v>
      </c>
      <c r="R115" s="911">
        <f t="shared" si="19"/>
        <v>0</v>
      </c>
    </row>
    <row r="116" ht="21.6" customHeight="1" spans="1:18">
      <c r="A116" s="10">
        <v>8</v>
      </c>
      <c r="B116" s="11" t="s">
        <v>216</v>
      </c>
      <c r="C116" s="17" t="s">
        <v>217</v>
      </c>
      <c r="D116" s="15" t="s">
        <v>64</v>
      </c>
      <c r="E116" s="85">
        <v>497472.75</v>
      </c>
      <c r="F116" s="15" t="s">
        <v>218</v>
      </c>
      <c r="G116" s="85">
        <f>'[21] FGN 2024 MGT Monthly'!$J$41+'[21]Peculiar Allowance'!$J$41</f>
        <v>512098.916666667</v>
      </c>
      <c r="H116" s="220">
        <f t="shared" si="31"/>
        <v>14626.1666666666</v>
      </c>
      <c r="I116" s="85">
        <v>39797.82</v>
      </c>
      <c r="J116" s="85">
        <f t="shared" si="32"/>
        <v>40967.9133333333</v>
      </c>
      <c r="K116" s="85">
        <f t="shared" si="33"/>
        <v>1170.09333333333</v>
      </c>
      <c r="L116" s="85">
        <f t="shared" si="15"/>
        <v>491614.96</v>
      </c>
      <c r="M116" s="15" t="s">
        <v>218</v>
      </c>
      <c r="N116" s="85">
        <f>'[21] FGN 2024 MGT Monthly'!$J$41</f>
        <v>320359.083333333</v>
      </c>
      <c r="O116" s="911">
        <f>N116*0.025</f>
        <v>8008.97708333333</v>
      </c>
      <c r="P116" s="85">
        <v>7791.83125</v>
      </c>
      <c r="Q116" s="911">
        <f t="shared" si="18"/>
        <v>217.145833333333</v>
      </c>
      <c r="R116" s="911">
        <f t="shared" si="19"/>
        <v>96107.725</v>
      </c>
    </row>
    <row r="117" s="1" customFormat="1" customHeight="1" spans="1:18">
      <c r="A117" s="10">
        <v>9</v>
      </c>
      <c r="B117" s="18" t="s">
        <v>219</v>
      </c>
      <c r="C117" s="4" t="s">
        <v>150</v>
      </c>
      <c r="D117" s="15" t="s">
        <v>180</v>
      </c>
      <c r="E117" s="220">
        <v>441159</v>
      </c>
      <c r="F117" s="15" t="s">
        <v>131</v>
      </c>
      <c r="G117" s="85">
        <v>454993.583333333</v>
      </c>
      <c r="H117" s="220">
        <f t="shared" si="31"/>
        <v>13834.583333333</v>
      </c>
      <c r="I117" s="85">
        <v>35292.72</v>
      </c>
      <c r="J117" s="85">
        <f t="shared" si="32"/>
        <v>36399.4866666666</v>
      </c>
      <c r="K117" s="85">
        <f t="shared" si="33"/>
        <v>1106.76666666664</v>
      </c>
      <c r="L117" s="85">
        <f t="shared" si="15"/>
        <v>436793.84</v>
      </c>
      <c r="M117" s="15" t="s">
        <v>131</v>
      </c>
      <c r="N117" s="911">
        <v>286447.083333333</v>
      </c>
      <c r="O117" s="911"/>
      <c r="P117" s="85"/>
      <c r="Q117" s="911">
        <f t="shared" si="18"/>
        <v>0</v>
      </c>
      <c r="R117" s="911">
        <f t="shared" si="19"/>
        <v>0</v>
      </c>
    </row>
    <row r="118" ht="21.6" customHeight="1" spans="1:18">
      <c r="A118" s="10">
        <v>10</v>
      </c>
      <c r="B118" s="11" t="s">
        <v>220</v>
      </c>
      <c r="C118" s="4" t="s">
        <v>221</v>
      </c>
      <c r="D118" s="10" t="s">
        <v>78</v>
      </c>
      <c r="E118" s="220">
        <v>390135.833333334</v>
      </c>
      <c r="F118" s="10" t="s">
        <v>153</v>
      </c>
      <c r="G118" s="85">
        <v>399131.166666667</v>
      </c>
      <c r="H118" s="220">
        <f t="shared" si="31"/>
        <v>8995.33333333296</v>
      </c>
      <c r="I118" s="85">
        <v>31210.8666666667</v>
      </c>
      <c r="J118" s="85">
        <f t="shared" si="32"/>
        <v>31930.4933333334</v>
      </c>
      <c r="K118" s="85">
        <f t="shared" si="33"/>
        <v>719.626666666656</v>
      </c>
      <c r="L118" s="85">
        <f t="shared" si="15"/>
        <v>383165.92</v>
      </c>
      <c r="M118" s="10" t="s">
        <v>153</v>
      </c>
      <c r="N118" s="911">
        <v>251467.916666667</v>
      </c>
      <c r="O118" s="911"/>
      <c r="P118" s="85"/>
      <c r="Q118" s="911">
        <f t="shared" si="18"/>
        <v>0</v>
      </c>
      <c r="R118" s="911">
        <f t="shared" si="19"/>
        <v>0</v>
      </c>
    </row>
    <row r="119" s="1" customFormat="1" ht="18.75" customHeight="1" spans="1:18">
      <c r="A119" s="10">
        <v>11</v>
      </c>
      <c r="B119" s="18" t="s">
        <v>222</v>
      </c>
      <c r="C119" s="4" t="s">
        <v>152</v>
      </c>
      <c r="D119" s="10" t="s">
        <v>225</v>
      </c>
      <c r="E119" s="85">
        <v>330407.083333333</v>
      </c>
      <c r="F119" s="10" t="s">
        <v>99</v>
      </c>
      <c r="G119" s="85">
        <v>338711.666666667</v>
      </c>
      <c r="H119" s="220">
        <f t="shared" si="31"/>
        <v>8304.58333333395</v>
      </c>
      <c r="I119" s="85">
        <v>26432.5666666667</v>
      </c>
      <c r="J119" s="85">
        <f t="shared" si="32"/>
        <v>27096.9333333334</v>
      </c>
      <c r="K119" s="85">
        <f t="shared" si="33"/>
        <v>664.366666666661</v>
      </c>
      <c r="L119" s="85">
        <f t="shared" si="15"/>
        <v>325163.2</v>
      </c>
      <c r="M119" s="10" t="s">
        <v>99</v>
      </c>
      <c r="N119" s="911">
        <v>217733.416666667</v>
      </c>
      <c r="O119" s="911"/>
      <c r="P119" s="85"/>
      <c r="Q119" s="911">
        <f t="shared" si="18"/>
        <v>0</v>
      </c>
      <c r="R119" s="911">
        <f t="shared" si="19"/>
        <v>0</v>
      </c>
    </row>
    <row r="120" s="1" customFormat="1" ht="18.75" customHeight="1" spans="1:18">
      <c r="A120" s="10">
        <v>12</v>
      </c>
      <c r="B120" s="18" t="s">
        <v>223</v>
      </c>
      <c r="C120" s="4" t="s">
        <v>152</v>
      </c>
      <c r="D120" s="10" t="s">
        <v>225</v>
      </c>
      <c r="E120" s="85">
        <v>330407.083333333</v>
      </c>
      <c r="F120" s="10" t="s">
        <v>99</v>
      </c>
      <c r="G120" s="85">
        <v>338711.666666667</v>
      </c>
      <c r="H120" s="220">
        <f t="shared" si="31"/>
        <v>8304.58333333395</v>
      </c>
      <c r="I120" s="85">
        <v>26432.5666666667</v>
      </c>
      <c r="J120" s="85">
        <f t="shared" si="32"/>
        <v>27096.9333333334</v>
      </c>
      <c r="K120" s="85">
        <f t="shared" si="33"/>
        <v>664.366666666661</v>
      </c>
      <c r="L120" s="85">
        <f t="shared" si="15"/>
        <v>325163.2</v>
      </c>
      <c r="M120" s="10" t="s">
        <v>99</v>
      </c>
      <c r="N120" s="911">
        <v>217733.416666667</v>
      </c>
      <c r="O120" s="911"/>
      <c r="P120" s="85"/>
      <c r="Q120" s="911">
        <f t="shared" si="18"/>
        <v>0</v>
      </c>
      <c r="R120" s="911">
        <f t="shared" si="19"/>
        <v>0</v>
      </c>
    </row>
    <row r="121" ht="21.6" customHeight="1" spans="1:18">
      <c r="A121" s="10">
        <v>13</v>
      </c>
      <c r="B121" s="11" t="s">
        <v>224</v>
      </c>
      <c r="C121" s="17" t="s">
        <v>505</v>
      </c>
      <c r="D121" s="15" t="s">
        <v>105</v>
      </c>
      <c r="E121" s="220">
        <v>308920.666666667</v>
      </c>
      <c r="F121" s="15" t="s">
        <v>506</v>
      </c>
      <c r="G121" s="220">
        <f>'[21] FGN 2024 MGT Monthly'!$L$37+'[21]Peculiar Allowance'!$L$37</f>
        <v>315930.583333333</v>
      </c>
      <c r="H121" s="220">
        <f t="shared" si="31"/>
        <v>7009.91666666634</v>
      </c>
      <c r="I121" s="85">
        <v>24713.6533333334</v>
      </c>
      <c r="J121" s="85">
        <f t="shared" si="32"/>
        <v>25274.4466666667</v>
      </c>
      <c r="K121" s="85">
        <f t="shared" si="33"/>
        <v>560.793333333266</v>
      </c>
      <c r="L121" s="85">
        <f t="shared" si="15"/>
        <v>303293.36</v>
      </c>
      <c r="M121" s="15" t="s">
        <v>506</v>
      </c>
      <c r="N121" s="220">
        <f>'[21] FGN 2024 MGT Monthly'!$L$37</f>
        <v>204734.416666667</v>
      </c>
      <c r="O121" s="911">
        <f>N121*0.025</f>
        <v>5118.36041666667</v>
      </c>
      <c r="P121" s="85">
        <v>5013.73541666668</v>
      </c>
      <c r="Q121" s="911">
        <f t="shared" si="18"/>
        <v>104.624999999986</v>
      </c>
      <c r="R121" s="911">
        <f t="shared" si="19"/>
        <v>61420.325</v>
      </c>
    </row>
    <row r="122" customHeight="1" spans="1:18">
      <c r="A122" s="10"/>
      <c r="B122" s="20" t="s">
        <v>120</v>
      </c>
      <c r="C122" s="21">
        <v>13</v>
      </c>
      <c r="D122" s="21"/>
      <c r="E122" s="93">
        <f t="shared" ref="E122:L122" si="34">SUM(E109:E121)</f>
        <v>7649000.16666667</v>
      </c>
      <c r="F122" s="93"/>
      <c r="G122" s="93">
        <f t="shared" si="34"/>
        <v>7869073.91666667</v>
      </c>
      <c r="H122" s="93">
        <f t="shared" si="34"/>
        <v>220073.749999999</v>
      </c>
      <c r="I122" s="93">
        <f t="shared" si="34"/>
        <v>611920.013333333</v>
      </c>
      <c r="J122" s="93">
        <f t="shared" si="34"/>
        <v>629525.913333333</v>
      </c>
      <c r="K122" s="93">
        <f t="shared" si="34"/>
        <v>17605.8999999998</v>
      </c>
      <c r="L122" s="93">
        <f t="shared" ref="L122:R122" si="35">SUM(L109:L121)</f>
        <v>7554310.96</v>
      </c>
      <c r="M122" s="93">
        <f t="shared" si="35"/>
        <v>0</v>
      </c>
      <c r="N122" s="93">
        <f t="shared" si="35"/>
        <v>4917514.58333333</v>
      </c>
      <c r="O122" s="93">
        <f t="shared" si="35"/>
        <v>57387.4916666667</v>
      </c>
      <c r="P122" s="93">
        <f t="shared" si="35"/>
        <v>55835.6208333333</v>
      </c>
      <c r="Q122" s="93">
        <f t="shared" si="35"/>
        <v>1551.87083333328</v>
      </c>
      <c r="R122" s="93">
        <f t="shared" si="35"/>
        <v>688649.899999999</v>
      </c>
    </row>
    <row r="123" customHeight="1" spans="1:18">
      <c r="A123" s="10"/>
      <c r="B123" s="22"/>
      <c r="C123" s="21"/>
      <c r="D123" s="21"/>
      <c r="E123" s="156"/>
      <c r="F123" s="156"/>
      <c r="G123" s="156"/>
      <c r="H123" s="220"/>
      <c r="I123" s="156"/>
      <c r="J123" s="156"/>
      <c r="K123" s="156"/>
      <c r="L123" s="85"/>
      <c r="M123" s="156"/>
      <c r="N123" s="156"/>
      <c r="O123" s="911"/>
      <c r="P123" s="156"/>
      <c r="Q123" s="911">
        <f t="shared" si="18"/>
        <v>0</v>
      </c>
      <c r="R123" s="911"/>
    </row>
    <row r="124" customHeight="1" spans="1:18">
      <c r="A124" s="10"/>
      <c r="B124" s="20" t="s">
        <v>226</v>
      </c>
      <c r="C124" s="21"/>
      <c r="D124" s="21"/>
      <c r="E124" s="156"/>
      <c r="F124" s="156"/>
      <c r="G124" s="156"/>
      <c r="H124" s="220"/>
      <c r="I124" s="156"/>
      <c r="J124" s="156"/>
      <c r="K124" s="156"/>
      <c r="L124" s="85"/>
      <c r="M124" s="156"/>
      <c r="N124" s="156"/>
      <c r="O124" s="911"/>
      <c r="P124" s="156"/>
      <c r="Q124" s="911">
        <f t="shared" si="18"/>
        <v>0</v>
      </c>
      <c r="R124" s="911"/>
    </row>
    <row r="125" customHeight="1" spans="1:18">
      <c r="A125" s="10">
        <v>1</v>
      </c>
      <c r="B125" s="14" t="s">
        <v>227</v>
      </c>
      <c r="C125" s="4" t="s">
        <v>228</v>
      </c>
      <c r="D125" s="16" t="s">
        <v>140</v>
      </c>
      <c r="E125" s="85">
        <v>1697359.33333333</v>
      </c>
      <c r="F125" s="16" t="s">
        <v>124</v>
      </c>
      <c r="G125" s="85">
        <v>1747106.41666666</v>
      </c>
      <c r="H125" s="220">
        <f>G125-E125</f>
        <v>49747.08333333</v>
      </c>
      <c r="I125" s="85">
        <v>135788.746666666</v>
      </c>
      <c r="J125" s="85">
        <f>G125*0.08</f>
        <v>139768.513333333</v>
      </c>
      <c r="K125" s="85">
        <f>J125-I125</f>
        <v>3979.76666666681</v>
      </c>
      <c r="L125" s="85">
        <f t="shared" si="15"/>
        <v>1677222.15999999</v>
      </c>
      <c r="M125" s="16" t="s">
        <v>124</v>
      </c>
      <c r="N125" s="911">
        <v>1086777.08333333</v>
      </c>
      <c r="O125" s="911">
        <f>N125*0.025</f>
        <v>27169.4270833333</v>
      </c>
      <c r="P125" s="85">
        <v>26406.8208333333</v>
      </c>
      <c r="Q125" s="911">
        <f t="shared" si="18"/>
        <v>762.606249999953</v>
      </c>
      <c r="R125" s="911">
        <f t="shared" si="19"/>
        <v>326033.124999999</v>
      </c>
    </row>
    <row r="126" customHeight="1" spans="1:18">
      <c r="A126" s="10">
        <v>2</v>
      </c>
      <c r="B126" s="11" t="s">
        <v>229</v>
      </c>
      <c r="C126" s="4" t="s">
        <v>230</v>
      </c>
      <c r="D126" s="15" t="s">
        <v>47</v>
      </c>
      <c r="E126" s="85">
        <v>573911.083333334</v>
      </c>
      <c r="F126" s="15" t="s">
        <v>192</v>
      </c>
      <c r="G126" s="85">
        <v>589657</v>
      </c>
      <c r="H126" s="220">
        <f t="shared" ref="H126:H132" si="36">G126-E126</f>
        <v>15745.916666666</v>
      </c>
      <c r="I126" s="85">
        <v>45912.8866666667</v>
      </c>
      <c r="J126" s="85">
        <f t="shared" ref="J126:J131" si="37">G126*0.08</f>
        <v>47172.56</v>
      </c>
      <c r="K126" s="85">
        <f t="shared" ref="K126:K131" si="38">J126-I126</f>
        <v>1259.6733333333</v>
      </c>
      <c r="L126" s="85">
        <f t="shared" si="15"/>
        <v>566070.72</v>
      </c>
      <c r="M126" s="15" t="s">
        <v>192</v>
      </c>
      <c r="N126" s="911">
        <v>366417.5</v>
      </c>
      <c r="O126" s="911"/>
      <c r="P126" s="85"/>
      <c r="Q126" s="911">
        <f t="shared" si="18"/>
        <v>0</v>
      </c>
      <c r="R126" s="911">
        <f t="shared" si="19"/>
        <v>0</v>
      </c>
    </row>
    <row r="127" customHeight="1" spans="1:18">
      <c r="A127" s="10">
        <v>3</v>
      </c>
      <c r="B127" s="11" t="s">
        <v>231</v>
      </c>
      <c r="C127" s="12" t="s">
        <v>232</v>
      </c>
      <c r="D127" s="15" t="s">
        <v>64</v>
      </c>
      <c r="E127" s="85">
        <v>497472.75</v>
      </c>
      <c r="F127" s="15" t="s">
        <v>218</v>
      </c>
      <c r="G127" s="85">
        <v>512098.916666667</v>
      </c>
      <c r="H127" s="220">
        <f t="shared" si="36"/>
        <v>14626.166666667</v>
      </c>
      <c r="I127" s="85">
        <v>39797.82</v>
      </c>
      <c r="J127" s="85">
        <f t="shared" si="37"/>
        <v>40967.9133333334</v>
      </c>
      <c r="K127" s="85">
        <f t="shared" si="38"/>
        <v>1170.09333333336</v>
      </c>
      <c r="L127" s="85">
        <f t="shared" si="15"/>
        <v>491614.96</v>
      </c>
      <c r="M127" s="15" t="s">
        <v>218</v>
      </c>
      <c r="N127" s="85">
        <f>'[21] FGN 2024 MGT Monthly'!$J$41</f>
        <v>320359.083333333</v>
      </c>
      <c r="O127" s="911">
        <f>N127*0.025</f>
        <v>8008.97708333333</v>
      </c>
      <c r="P127" s="85">
        <v>7791.83125</v>
      </c>
      <c r="Q127" s="911">
        <f t="shared" si="18"/>
        <v>217.145833333333</v>
      </c>
      <c r="R127" s="911">
        <f t="shared" si="19"/>
        <v>96107.725</v>
      </c>
    </row>
    <row r="128" s="1" customFormat="1" customHeight="1" spans="1:18">
      <c r="A128" s="10">
        <v>4</v>
      </c>
      <c r="B128" s="11" t="s">
        <v>233</v>
      </c>
      <c r="C128" s="4" t="s">
        <v>234</v>
      </c>
      <c r="D128" s="15" t="s">
        <v>67</v>
      </c>
      <c r="E128" s="85">
        <v>482846.583333333</v>
      </c>
      <c r="F128" s="15" t="s">
        <v>64</v>
      </c>
      <c r="G128" s="85">
        <v>497472.75</v>
      </c>
      <c r="H128" s="220">
        <f t="shared" si="36"/>
        <v>14626.166666667</v>
      </c>
      <c r="I128" s="85">
        <v>38627.7266666667</v>
      </c>
      <c r="J128" s="85">
        <f t="shared" si="37"/>
        <v>39797.82</v>
      </c>
      <c r="K128" s="85">
        <f t="shared" si="38"/>
        <v>1170.0933333333</v>
      </c>
      <c r="L128" s="85">
        <f t="shared" si="15"/>
        <v>477573.84</v>
      </c>
      <c r="M128" s="15" t="s">
        <v>64</v>
      </c>
      <c r="N128" s="911">
        <v>311673.25</v>
      </c>
      <c r="O128" s="911">
        <f>N128*0.025</f>
        <v>7791.83125</v>
      </c>
      <c r="P128" s="85">
        <v>7574.69</v>
      </c>
      <c r="Q128" s="911">
        <f t="shared" si="18"/>
        <v>217.141250000001</v>
      </c>
      <c r="R128" s="911">
        <f t="shared" si="19"/>
        <v>93501.975</v>
      </c>
    </row>
    <row r="129" customHeight="1" spans="1:18">
      <c r="A129" s="10">
        <v>5</v>
      </c>
      <c r="B129" s="11" t="s">
        <v>235</v>
      </c>
      <c r="C129" s="4" t="s">
        <v>234</v>
      </c>
      <c r="D129" s="15" t="s">
        <v>67</v>
      </c>
      <c r="E129" s="85">
        <v>482846.583333333</v>
      </c>
      <c r="F129" s="15" t="s">
        <v>64</v>
      </c>
      <c r="G129" s="85">
        <v>497472.75</v>
      </c>
      <c r="H129" s="220">
        <f t="shared" si="36"/>
        <v>14626.166666667</v>
      </c>
      <c r="I129" s="85">
        <v>38627.7266666667</v>
      </c>
      <c r="J129" s="85">
        <f t="shared" si="37"/>
        <v>39797.82</v>
      </c>
      <c r="K129" s="85">
        <f t="shared" si="38"/>
        <v>1170.0933333333</v>
      </c>
      <c r="L129" s="85">
        <f t="shared" si="15"/>
        <v>477573.84</v>
      </c>
      <c r="M129" s="15" t="s">
        <v>64</v>
      </c>
      <c r="N129" s="911">
        <v>311673.25</v>
      </c>
      <c r="O129" s="911"/>
      <c r="P129" s="85"/>
      <c r="Q129" s="911">
        <f t="shared" si="18"/>
        <v>0</v>
      </c>
      <c r="R129" s="911">
        <f t="shared" si="19"/>
        <v>0</v>
      </c>
    </row>
    <row r="130" customHeight="1" spans="1:18">
      <c r="A130" s="10">
        <v>6</v>
      </c>
      <c r="B130" s="11" t="s">
        <v>236</v>
      </c>
      <c r="C130" s="4" t="s">
        <v>200</v>
      </c>
      <c r="D130" s="15" t="s">
        <v>78</v>
      </c>
      <c r="E130" s="220">
        <v>390135.833333334</v>
      </c>
      <c r="F130" s="15" t="s">
        <v>153</v>
      </c>
      <c r="G130" s="220">
        <v>399131.166666667</v>
      </c>
      <c r="H130" s="220">
        <f t="shared" si="36"/>
        <v>8995.33333333296</v>
      </c>
      <c r="I130" s="85">
        <v>31210.8666666667</v>
      </c>
      <c r="J130" s="85">
        <f t="shared" si="37"/>
        <v>31930.4933333334</v>
      </c>
      <c r="K130" s="85">
        <f t="shared" si="38"/>
        <v>719.626666666656</v>
      </c>
      <c r="L130" s="85">
        <f t="shared" si="15"/>
        <v>383165.92</v>
      </c>
      <c r="M130" s="15" t="s">
        <v>153</v>
      </c>
      <c r="N130" s="911">
        <v>251467.916666667</v>
      </c>
      <c r="O130" s="911"/>
      <c r="P130" s="85"/>
      <c r="Q130" s="911">
        <f t="shared" si="18"/>
        <v>0</v>
      </c>
      <c r="R130" s="911">
        <f t="shared" si="19"/>
        <v>0</v>
      </c>
    </row>
    <row r="131" s="1" customFormat="1" customHeight="1" spans="1:18">
      <c r="A131" s="10">
        <v>7</v>
      </c>
      <c r="B131" s="18" t="s">
        <v>237</v>
      </c>
      <c r="C131" s="12" t="s">
        <v>238</v>
      </c>
      <c r="D131" s="15" t="s">
        <v>81</v>
      </c>
      <c r="E131" s="85">
        <v>372145.333333333</v>
      </c>
      <c r="F131" s="15" t="s">
        <v>75</v>
      </c>
      <c r="G131" s="85">
        <v>381140.666666666</v>
      </c>
      <c r="H131" s="220">
        <f t="shared" si="36"/>
        <v>8995.33333333296</v>
      </c>
      <c r="I131" s="684">
        <v>29771.6266666667</v>
      </c>
      <c r="J131" s="85">
        <f t="shared" si="37"/>
        <v>30491.2533333333</v>
      </c>
      <c r="K131" s="85">
        <f t="shared" si="38"/>
        <v>719.62666666658</v>
      </c>
      <c r="L131" s="85">
        <f t="shared" si="15"/>
        <v>365895.039999999</v>
      </c>
      <c r="M131" s="15" t="s">
        <v>75</v>
      </c>
      <c r="N131" s="911">
        <v>240874.583333333</v>
      </c>
      <c r="O131" s="911"/>
      <c r="P131" s="4"/>
      <c r="Q131" s="911">
        <f t="shared" si="18"/>
        <v>0</v>
      </c>
      <c r="R131" s="911">
        <f t="shared" si="19"/>
        <v>0</v>
      </c>
    </row>
    <row r="132" customHeight="1" spans="1:18">
      <c r="A132" s="4"/>
      <c r="B132" s="20" t="s">
        <v>120</v>
      </c>
      <c r="C132" s="21">
        <v>7</v>
      </c>
      <c r="D132" s="26"/>
      <c r="E132" s="93">
        <f t="shared" ref="E132:L132" si="39">SUM(E125:E131)</f>
        <v>4496717.5</v>
      </c>
      <c r="F132" s="93"/>
      <c r="G132" s="93">
        <f t="shared" si="39"/>
        <v>4624079.66666666</v>
      </c>
      <c r="H132" s="93">
        <f t="shared" si="39"/>
        <v>127362.166666663</v>
      </c>
      <c r="I132" s="93">
        <f t="shared" si="39"/>
        <v>359737.399999999</v>
      </c>
      <c r="J132" s="93">
        <f t="shared" si="39"/>
        <v>369926.373333333</v>
      </c>
      <c r="K132" s="93">
        <f t="shared" si="39"/>
        <v>10188.9733333333</v>
      </c>
      <c r="L132" s="93">
        <f t="shared" ref="L132:R132" si="40">SUM(L125:L131)</f>
        <v>4439116.47999999</v>
      </c>
      <c r="M132" s="93">
        <f t="shared" si="40"/>
        <v>0</v>
      </c>
      <c r="N132" s="93">
        <f t="shared" si="40"/>
        <v>2889242.66666666</v>
      </c>
      <c r="O132" s="93">
        <f t="shared" si="40"/>
        <v>42970.2354166666</v>
      </c>
      <c r="P132" s="93">
        <f t="shared" si="40"/>
        <v>41773.3420833333</v>
      </c>
      <c r="Q132" s="93">
        <f t="shared" si="40"/>
        <v>1196.89333333329</v>
      </c>
      <c r="R132" s="93">
        <f t="shared" si="40"/>
        <v>515642.824999999</v>
      </c>
    </row>
    <row r="133" customHeight="1" spans="1:18">
      <c r="A133" s="4"/>
      <c r="B133" s="22"/>
      <c r="C133" s="21"/>
      <c r="D133" s="26"/>
      <c r="E133" s="156"/>
      <c r="F133" s="156"/>
      <c r="G133" s="156"/>
      <c r="H133" s="220"/>
      <c r="I133" s="156"/>
      <c r="J133" s="156"/>
      <c r="K133" s="156"/>
      <c r="L133" s="85"/>
      <c r="M133" s="156"/>
      <c r="N133" s="156"/>
      <c r="O133" s="911"/>
      <c r="P133" s="156"/>
      <c r="Q133" s="911">
        <f t="shared" si="18"/>
        <v>0</v>
      </c>
      <c r="R133" s="911"/>
    </row>
    <row r="134" customHeight="1" spans="1:18">
      <c r="A134" s="4"/>
      <c r="B134" s="20" t="s">
        <v>239</v>
      </c>
      <c r="C134" s="4"/>
      <c r="D134" s="4"/>
      <c r="E134" s="4"/>
      <c r="F134" s="4"/>
      <c r="G134" s="4"/>
      <c r="H134" s="220"/>
      <c r="I134" s="4"/>
      <c r="J134" s="4"/>
      <c r="K134" s="4"/>
      <c r="L134" s="85"/>
      <c r="M134" s="4"/>
      <c r="N134" s="4"/>
      <c r="O134" s="911"/>
      <c r="P134" s="4"/>
      <c r="Q134" s="911">
        <f t="shared" si="18"/>
        <v>0</v>
      </c>
      <c r="R134" s="911"/>
    </row>
    <row r="135" customHeight="1" spans="1:18">
      <c r="A135" s="4">
        <v>1</v>
      </c>
      <c r="B135" s="11" t="s">
        <v>240</v>
      </c>
      <c r="C135" s="12" t="s">
        <v>241</v>
      </c>
      <c r="D135" s="15" t="s">
        <v>124</v>
      </c>
      <c r="E135" s="85">
        <v>1747106.41666666</v>
      </c>
      <c r="F135" s="15" t="s">
        <v>124</v>
      </c>
      <c r="G135" s="85">
        <v>1747106.41666666</v>
      </c>
      <c r="H135" s="220">
        <f>G135-E135</f>
        <v>0</v>
      </c>
      <c r="I135" s="85">
        <v>139768.513333333</v>
      </c>
      <c r="J135" s="85">
        <f>G135*0.08</f>
        <v>139768.513333333</v>
      </c>
      <c r="K135" s="85">
        <f>J135-I135</f>
        <v>0</v>
      </c>
      <c r="L135" s="85">
        <f t="shared" si="15"/>
        <v>1677222.15999999</v>
      </c>
      <c r="M135" s="15" t="s">
        <v>124</v>
      </c>
      <c r="N135" s="911">
        <v>1086777.08333333</v>
      </c>
      <c r="O135" s="911"/>
      <c r="P135" s="85">
        <v>0</v>
      </c>
      <c r="Q135" s="911">
        <f t="shared" si="18"/>
        <v>0</v>
      </c>
      <c r="R135" s="911">
        <f t="shared" si="19"/>
        <v>0</v>
      </c>
    </row>
    <row r="136" customHeight="1" spans="1:18">
      <c r="A136" s="4">
        <v>2</v>
      </c>
      <c r="B136" s="11" t="s">
        <v>242</v>
      </c>
      <c r="C136" s="4" t="s">
        <v>243</v>
      </c>
      <c r="D136" s="16" t="s">
        <v>36</v>
      </c>
      <c r="E136" s="85">
        <v>905306.75</v>
      </c>
      <c r="F136" s="16" t="s">
        <v>36</v>
      </c>
      <c r="G136" s="85">
        <v>905306.75</v>
      </c>
      <c r="H136" s="220">
        <f t="shared" ref="H136:H145" si="41">G136-E136</f>
        <v>0</v>
      </c>
      <c r="I136" s="85">
        <v>72424.54</v>
      </c>
      <c r="J136" s="85">
        <f t="shared" ref="J136:J145" si="42">G136*0.08</f>
        <v>72424.54</v>
      </c>
      <c r="K136" s="85">
        <f t="shared" ref="K136:K145" si="43">J136-I136</f>
        <v>0</v>
      </c>
      <c r="L136" s="85">
        <f t="shared" ref="L136:L199" si="44">J136*12</f>
        <v>869094.48</v>
      </c>
      <c r="M136" s="16" t="s">
        <v>36</v>
      </c>
      <c r="N136" s="911">
        <v>554669.5</v>
      </c>
      <c r="O136" s="911">
        <f>N136*0.025</f>
        <v>13866.7375</v>
      </c>
      <c r="P136" s="85">
        <v>13866.7375</v>
      </c>
      <c r="Q136" s="911">
        <f t="shared" si="18"/>
        <v>0</v>
      </c>
      <c r="R136" s="911">
        <f t="shared" si="19"/>
        <v>166400.85</v>
      </c>
    </row>
    <row r="137" customHeight="1" spans="1:18">
      <c r="A137" s="4">
        <v>3</v>
      </c>
      <c r="B137" s="11" t="s">
        <v>244</v>
      </c>
      <c r="C137" s="4" t="s">
        <v>245</v>
      </c>
      <c r="D137" s="10" t="s">
        <v>600</v>
      </c>
      <c r="E137" s="85">
        <v>542419.5</v>
      </c>
      <c r="F137" s="10" t="s">
        <v>214</v>
      </c>
      <c r="G137" s="85">
        <v>558165.25</v>
      </c>
      <c r="H137" s="220">
        <f t="shared" si="41"/>
        <v>15745.75</v>
      </c>
      <c r="I137" s="85">
        <v>43393.56</v>
      </c>
      <c r="J137" s="85">
        <f t="shared" si="42"/>
        <v>44653.22</v>
      </c>
      <c r="K137" s="85">
        <f t="shared" si="43"/>
        <v>1259.66</v>
      </c>
      <c r="L137" s="85">
        <f t="shared" si="44"/>
        <v>535838.64</v>
      </c>
      <c r="M137" s="10" t="s">
        <v>214</v>
      </c>
      <c r="N137" s="911">
        <v>347715.916666667</v>
      </c>
      <c r="O137" s="911">
        <f>N137*0.025</f>
        <v>8692.89791666667</v>
      </c>
      <c r="P137" s="85">
        <v>8459.13125</v>
      </c>
      <c r="Q137" s="911">
        <f t="shared" ref="Q137:Q200" si="45">O137-P137</f>
        <v>233.766666666674</v>
      </c>
      <c r="R137" s="911">
        <f t="shared" ref="R137:R200" si="46">O137*12</f>
        <v>104314.775</v>
      </c>
    </row>
    <row r="138" customHeight="1" spans="1:18">
      <c r="A138" s="4">
        <v>4</v>
      </c>
      <c r="B138" s="11" t="s">
        <v>246</v>
      </c>
      <c r="C138" s="4" t="s">
        <v>245</v>
      </c>
      <c r="D138" s="10" t="s">
        <v>600</v>
      </c>
      <c r="E138" s="85">
        <v>542419.5</v>
      </c>
      <c r="F138" s="10" t="s">
        <v>214</v>
      </c>
      <c r="G138" s="85">
        <v>558165.25</v>
      </c>
      <c r="H138" s="220">
        <f t="shared" si="41"/>
        <v>15745.75</v>
      </c>
      <c r="I138" s="85">
        <v>43393.56</v>
      </c>
      <c r="J138" s="85">
        <f t="shared" si="42"/>
        <v>44653.22</v>
      </c>
      <c r="K138" s="85">
        <f t="shared" si="43"/>
        <v>1259.66</v>
      </c>
      <c r="L138" s="85">
        <f t="shared" si="44"/>
        <v>535838.64</v>
      </c>
      <c r="M138" s="10" t="s">
        <v>214</v>
      </c>
      <c r="N138" s="911">
        <v>347715.916666667</v>
      </c>
      <c r="O138" s="911"/>
      <c r="P138" s="85"/>
      <c r="Q138" s="911">
        <f t="shared" si="45"/>
        <v>0</v>
      </c>
      <c r="R138" s="911">
        <f t="shared" si="46"/>
        <v>0</v>
      </c>
    </row>
    <row r="139" s="1" customFormat="1" customHeight="1" spans="1:18">
      <c r="A139" s="4">
        <v>5</v>
      </c>
      <c r="B139" s="18" t="s">
        <v>247</v>
      </c>
      <c r="C139" s="4" t="s">
        <v>248</v>
      </c>
      <c r="D139" s="15" t="s">
        <v>180</v>
      </c>
      <c r="E139" s="220">
        <v>441159</v>
      </c>
      <c r="F139" s="15" t="s">
        <v>131</v>
      </c>
      <c r="G139" s="85">
        <v>454993.583333333</v>
      </c>
      <c r="H139" s="220">
        <f t="shared" si="41"/>
        <v>13834.583333333</v>
      </c>
      <c r="I139" s="85">
        <v>35292.72</v>
      </c>
      <c r="J139" s="85">
        <f t="shared" si="42"/>
        <v>36399.4866666666</v>
      </c>
      <c r="K139" s="85">
        <f t="shared" si="43"/>
        <v>1106.76666666664</v>
      </c>
      <c r="L139" s="85">
        <f t="shared" si="44"/>
        <v>436793.839999999</v>
      </c>
      <c r="M139" s="15" t="s">
        <v>131</v>
      </c>
      <c r="N139" s="911">
        <v>286447.083333333</v>
      </c>
      <c r="O139" s="911"/>
      <c r="P139" s="85"/>
      <c r="Q139" s="911">
        <f t="shared" si="45"/>
        <v>0</v>
      </c>
      <c r="R139" s="911">
        <f t="shared" si="46"/>
        <v>0</v>
      </c>
    </row>
    <row r="140" customHeight="1" spans="1:18">
      <c r="A140" s="4">
        <v>6</v>
      </c>
      <c r="B140" s="11" t="s">
        <v>249</v>
      </c>
      <c r="C140" s="4" t="s">
        <v>250</v>
      </c>
      <c r="D140" s="15" t="s">
        <v>603</v>
      </c>
      <c r="E140" s="220">
        <v>329950.416666667</v>
      </c>
      <c r="F140" s="15" t="s">
        <v>251</v>
      </c>
      <c r="G140" s="220">
        <f>'[21]Peculiar Allowance'!$O$37+'[21] FGN 2024 MGT Monthly'!$O$37</f>
        <v>336960.166666667</v>
      </c>
      <c r="H140" s="220">
        <f t="shared" si="41"/>
        <v>7009.74999999971</v>
      </c>
      <c r="I140" s="85">
        <v>26396.0333333334</v>
      </c>
      <c r="J140" s="85">
        <f t="shared" si="42"/>
        <v>26956.8133333333</v>
      </c>
      <c r="K140" s="85">
        <f t="shared" si="43"/>
        <v>560.779999999937</v>
      </c>
      <c r="L140" s="85">
        <f t="shared" si="44"/>
        <v>323481.76</v>
      </c>
      <c r="M140" s="15" t="s">
        <v>251</v>
      </c>
      <c r="N140" s="220">
        <f>'[21] FGN 2024 MGT Monthly'!$O$37</f>
        <v>217289.25</v>
      </c>
      <c r="O140" s="911"/>
      <c r="P140" s="85"/>
      <c r="Q140" s="911">
        <f t="shared" si="45"/>
        <v>0</v>
      </c>
      <c r="R140" s="911">
        <f t="shared" si="46"/>
        <v>0</v>
      </c>
    </row>
    <row r="141" customHeight="1" spans="1:18">
      <c r="A141" s="4">
        <v>7</v>
      </c>
      <c r="B141" s="18" t="s">
        <v>252</v>
      </c>
      <c r="C141" s="4" t="s">
        <v>250</v>
      </c>
      <c r="D141" s="10" t="s">
        <v>225</v>
      </c>
      <c r="E141" s="220">
        <v>330407.083333333</v>
      </c>
      <c r="F141" s="10" t="s">
        <v>99</v>
      </c>
      <c r="G141" s="220">
        <v>338711.666666667</v>
      </c>
      <c r="H141" s="220">
        <f t="shared" si="41"/>
        <v>8304.58333333395</v>
      </c>
      <c r="I141" s="85">
        <v>26432.5666666666</v>
      </c>
      <c r="J141" s="85">
        <f t="shared" si="42"/>
        <v>27096.9333333334</v>
      </c>
      <c r="K141" s="85">
        <f t="shared" si="43"/>
        <v>664.36666666676</v>
      </c>
      <c r="L141" s="85">
        <f t="shared" si="44"/>
        <v>325163.200000001</v>
      </c>
      <c r="M141" s="10" t="s">
        <v>99</v>
      </c>
      <c r="N141" s="911">
        <v>217733.416666667</v>
      </c>
      <c r="O141" s="911"/>
      <c r="P141" s="85"/>
      <c r="Q141" s="911">
        <f t="shared" si="45"/>
        <v>0</v>
      </c>
      <c r="R141" s="911">
        <f t="shared" si="46"/>
        <v>0</v>
      </c>
    </row>
    <row r="142" customHeight="1" spans="1:18">
      <c r="A142" s="4">
        <v>8</v>
      </c>
      <c r="B142" s="18" t="s">
        <v>253</v>
      </c>
      <c r="C142" s="4" t="s">
        <v>250</v>
      </c>
      <c r="D142" s="15" t="s">
        <v>105</v>
      </c>
      <c r="E142" s="220">
        <v>308920.666666667</v>
      </c>
      <c r="F142" s="15" t="s">
        <v>506</v>
      </c>
      <c r="G142" s="220">
        <v>315930.583333333</v>
      </c>
      <c r="H142" s="220">
        <f t="shared" si="41"/>
        <v>7009.91666666605</v>
      </c>
      <c r="I142" s="85">
        <v>24713.6533333334</v>
      </c>
      <c r="J142" s="85">
        <f t="shared" si="42"/>
        <v>25274.4466666666</v>
      </c>
      <c r="K142" s="85">
        <f t="shared" si="43"/>
        <v>560.79333333324</v>
      </c>
      <c r="L142" s="85">
        <f t="shared" si="44"/>
        <v>303293.359999999</v>
      </c>
      <c r="M142" s="15" t="s">
        <v>506</v>
      </c>
      <c r="N142" s="220">
        <f>'[21] FGN 2024 MGT Monthly'!$L$37</f>
        <v>204734.416666667</v>
      </c>
      <c r="O142" s="911">
        <f>N142*0.025</f>
        <v>5118.36041666667</v>
      </c>
      <c r="P142" s="85">
        <v>5013.73541666668</v>
      </c>
      <c r="Q142" s="911">
        <f t="shared" si="45"/>
        <v>104.624999999986</v>
      </c>
      <c r="R142" s="911">
        <f t="shared" si="46"/>
        <v>61420.325</v>
      </c>
    </row>
    <row r="143" s="1" customFormat="1" customHeight="1" spans="1:18">
      <c r="A143" s="4">
        <v>9</v>
      </c>
      <c r="B143" s="18" t="s">
        <v>254</v>
      </c>
      <c r="C143" s="4" t="s">
        <v>250</v>
      </c>
      <c r="D143" s="15" t="s">
        <v>275</v>
      </c>
      <c r="E143" s="85">
        <v>287890.916666667</v>
      </c>
      <c r="F143" s="15" t="s">
        <v>111</v>
      </c>
      <c r="G143" s="85">
        <v>294900.833333334</v>
      </c>
      <c r="H143" s="220">
        <f t="shared" si="41"/>
        <v>7009.91666666704</v>
      </c>
      <c r="I143" s="684">
        <v>23031.2733333333</v>
      </c>
      <c r="J143" s="85">
        <f t="shared" si="42"/>
        <v>23592.0666666667</v>
      </c>
      <c r="K143" s="85">
        <f t="shared" si="43"/>
        <v>560.793333333419</v>
      </c>
      <c r="L143" s="85">
        <f t="shared" si="44"/>
        <v>283104.8</v>
      </c>
      <c r="M143" s="15" t="s">
        <v>111</v>
      </c>
      <c r="N143" s="911">
        <v>192179.416666667</v>
      </c>
      <c r="O143" s="911"/>
      <c r="P143" s="4"/>
      <c r="Q143" s="911">
        <f t="shared" si="45"/>
        <v>0</v>
      </c>
      <c r="R143" s="911">
        <f t="shared" si="46"/>
        <v>0</v>
      </c>
    </row>
    <row r="144" s="1" customFormat="1" customHeight="1" spans="1:18">
      <c r="A144" s="4">
        <v>10</v>
      </c>
      <c r="B144" s="18" t="s">
        <v>255</v>
      </c>
      <c r="C144" s="4" t="s">
        <v>250</v>
      </c>
      <c r="D144" s="15" t="s">
        <v>275</v>
      </c>
      <c r="E144" s="85">
        <v>287890.916666667</v>
      </c>
      <c r="F144" s="15" t="s">
        <v>111</v>
      </c>
      <c r="G144" s="85">
        <v>294900.833333334</v>
      </c>
      <c r="H144" s="220">
        <f t="shared" si="41"/>
        <v>7009.91666666704</v>
      </c>
      <c r="I144" s="684">
        <v>23031.2733333333</v>
      </c>
      <c r="J144" s="85">
        <f t="shared" si="42"/>
        <v>23592.0666666667</v>
      </c>
      <c r="K144" s="85">
        <f t="shared" si="43"/>
        <v>560.793333333419</v>
      </c>
      <c r="L144" s="85">
        <f t="shared" si="44"/>
        <v>283104.8</v>
      </c>
      <c r="M144" s="15" t="s">
        <v>111</v>
      </c>
      <c r="N144" s="911">
        <v>192179.416666667</v>
      </c>
      <c r="O144" s="911"/>
      <c r="P144" s="4"/>
      <c r="Q144" s="911">
        <f t="shared" si="45"/>
        <v>0</v>
      </c>
      <c r="R144" s="911">
        <f t="shared" si="46"/>
        <v>0</v>
      </c>
    </row>
    <row r="145" s="1" customFormat="1" customHeight="1" spans="1:18">
      <c r="A145" s="4">
        <v>11</v>
      </c>
      <c r="B145" s="18" t="s">
        <v>256</v>
      </c>
      <c r="C145" s="4" t="s">
        <v>250</v>
      </c>
      <c r="D145" s="15" t="s">
        <v>275</v>
      </c>
      <c r="E145" s="85">
        <v>287890.916666667</v>
      </c>
      <c r="F145" s="15" t="s">
        <v>111</v>
      </c>
      <c r="G145" s="85">
        <v>294900.833333334</v>
      </c>
      <c r="H145" s="220">
        <f t="shared" si="41"/>
        <v>7009.91666666704</v>
      </c>
      <c r="I145" s="684">
        <v>23031.2733333333</v>
      </c>
      <c r="J145" s="85">
        <f t="shared" si="42"/>
        <v>23592.0666666667</v>
      </c>
      <c r="K145" s="85">
        <f t="shared" si="43"/>
        <v>560.793333333419</v>
      </c>
      <c r="L145" s="85">
        <f t="shared" si="44"/>
        <v>283104.8</v>
      </c>
      <c r="M145" s="15" t="s">
        <v>111</v>
      </c>
      <c r="N145" s="911">
        <v>192179.416666667</v>
      </c>
      <c r="O145" s="911"/>
      <c r="P145" s="4"/>
      <c r="Q145" s="911">
        <f t="shared" si="45"/>
        <v>0</v>
      </c>
      <c r="R145" s="911">
        <f t="shared" si="46"/>
        <v>0</v>
      </c>
    </row>
    <row r="146" ht="25.5" customHeight="1" spans="1:18">
      <c r="A146" s="4"/>
      <c r="B146" s="20" t="s">
        <v>120</v>
      </c>
      <c r="C146" s="21">
        <v>11</v>
      </c>
      <c r="D146" s="4"/>
      <c r="E146" s="223">
        <f t="shared" ref="E146:L146" si="47">SUM(E135:E145)</f>
        <v>6011362.08333333</v>
      </c>
      <c r="F146" s="223"/>
      <c r="G146" s="223">
        <f t="shared" si="47"/>
        <v>6100042.16666666</v>
      </c>
      <c r="H146" s="223">
        <f t="shared" si="47"/>
        <v>88680.0833333338</v>
      </c>
      <c r="I146" s="223">
        <f t="shared" si="47"/>
        <v>480908.966666666</v>
      </c>
      <c r="J146" s="223">
        <f t="shared" si="47"/>
        <v>488003.373333333</v>
      </c>
      <c r="K146" s="223">
        <f t="shared" si="47"/>
        <v>7094.40666666683</v>
      </c>
      <c r="L146" s="223">
        <f t="shared" si="47"/>
        <v>5856040.47999999</v>
      </c>
      <c r="M146" s="223">
        <f t="shared" ref="M146:R146" si="48">SUM(M135:M145)</f>
        <v>0</v>
      </c>
      <c r="N146" s="223">
        <f t="shared" si="48"/>
        <v>3839620.83333333</v>
      </c>
      <c r="O146" s="223">
        <f t="shared" si="48"/>
        <v>27677.9958333333</v>
      </c>
      <c r="P146" s="223">
        <f t="shared" si="48"/>
        <v>27339.6041666667</v>
      </c>
      <c r="Q146" s="223">
        <f t="shared" si="48"/>
        <v>338.39166666666</v>
      </c>
      <c r="R146" s="223">
        <f t="shared" si="48"/>
        <v>332135.95</v>
      </c>
    </row>
    <row r="147" customHeight="1" spans="1:18">
      <c r="A147" s="4"/>
      <c r="B147" s="20"/>
      <c r="C147" s="21"/>
      <c r="D147" s="4"/>
      <c r="E147" s="223"/>
      <c r="F147" s="223"/>
      <c r="G147" s="223"/>
      <c r="H147" s="521"/>
      <c r="I147" s="223"/>
      <c r="J147" s="223"/>
      <c r="K147" s="223"/>
      <c r="L147" s="85"/>
      <c r="M147" s="223"/>
      <c r="N147" s="223"/>
      <c r="O147" s="911"/>
      <c r="P147" s="223"/>
      <c r="Q147" s="911"/>
      <c r="R147" s="911"/>
    </row>
    <row r="148" customHeight="1" spans="1:18">
      <c r="A148" s="10"/>
      <c r="B148" s="20" t="s">
        <v>257</v>
      </c>
      <c r="C148" s="21"/>
      <c r="D148" s="21"/>
      <c r="E148" s="156"/>
      <c r="F148" s="156"/>
      <c r="G148" s="156"/>
      <c r="H148" s="220"/>
      <c r="I148" s="156"/>
      <c r="J148" s="156"/>
      <c r="K148" s="156"/>
      <c r="L148" s="85"/>
      <c r="M148" s="156"/>
      <c r="N148" s="156"/>
      <c r="O148" s="911"/>
      <c r="P148" s="156"/>
      <c r="Q148" s="911"/>
      <c r="R148" s="911"/>
    </row>
    <row r="149" s="1" customFormat="1" customHeight="1" spans="1:18">
      <c r="A149" s="10">
        <v>1</v>
      </c>
      <c r="B149" s="11" t="s">
        <v>258</v>
      </c>
      <c r="C149" s="17" t="s">
        <v>145</v>
      </c>
      <c r="D149" s="10" t="s">
        <v>42</v>
      </c>
      <c r="E149" s="85">
        <v>700713.916666666</v>
      </c>
      <c r="F149" s="10" t="s">
        <v>50</v>
      </c>
      <c r="G149" s="85">
        <v>722595.5</v>
      </c>
      <c r="H149" s="220">
        <f>G149-E149</f>
        <v>21881.583333334</v>
      </c>
      <c r="I149" s="85">
        <v>56057.1133333333</v>
      </c>
      <c r="J149" s="85">
        <f t="shared" ref="J149:J156" si="49">G149*0.08</f>
        <v>57807.64</v>
      </c>
      <c r="K149" s="85">
        <f t="shared" ref="K149:K156" si="50">J149-I149</f>
        <v>1750.5266666667</v>
      </c>
      <c r="L149" s="85">
        <f t="shared" si="44"/>
        <v>693691.68</v>
      </c>
      <c r="M149" s="10" t="s">
        <v>50</v>
      </c>
      <c r="N149" s="911">
        <v>445995.833333333</v>
      </c>
      <c r="O149" s="911"/>
      <c r="P149" s="85">
        <v>0</v>
      </c>
      <c r="Q149" s="911">
        <f t="shared" si="45"/>
        <v>0</v>
      </c>
      <c r="R149" s="911">
        <f t="shared" si="46"/>
        <v>0</v>
      </c>
    </row>
    <row r="150" ht="18.75" customHeight="1" spans="1:18">
      <c r="A150" s="10">
        <v>2</v>
      </c>
      <c r="B150" s="11" t="s">
        <v>259</v>
      </c>
      <c r="C150" s="4" t="s">
        <v>260</v>
      </c>
      <c r="D150" s="15" t="s">
        <v>173</v>
      </c>
      <c r="E150" s="85">
        <v>482662.666666667</v>
      </c>
      <c r="F150" s="15" t="s">
        <v>261</v>
      </c>
      <c r="G150" s="85">
        <f>'[21] FGN 2024 MGT Monthly'!$L$40+'[21]Peculiar Allowance'!$L$40</f>
        <v>496497.166666667</v>
      </c>
      <c r="H150" s="220">
        <f t="shared" ref="H150:H156" si="51">G150-E150</f>
        <v>13834.4999999997</v>
      </c>
      <c r="I150" s="85">
        <v>38613.0133333334</v>
      </c>
      <c r="J150" s="85">
        <f t="shared" si="49"/>
        <v>39719.7733333333</v>
      </c>
      <c r="K150" s="85">
        <f t="shared" si="50"/>
        <v>1106.75999999994</v>
      </c>
      <c r="L150" s="85">
        <f t="shared" si="44"/>
        <v>476637.28</v>
      </c>
      <c r="M150" s="15" t="s">
        <v>261</v>
      </c>
      <c r="N150" s="85">
        <f>'[21] FGN 2024 MGT Monthly'!$L$40</f>
        <v>311094.416666667</v>
      </c>
      <c r="O150" s="911">
        <f>N150*0.025</f>
        <v>7777.36041666667</v>
      </c>
      <c r="P150" s="85">
        <v>7571.97</v>
      </c>
      <c r="Q150" s="911">
        <f t="shared" si="45"/>
        <v>205.390416666667</v>
      </c>
      <c r="R150" s="911">
        <f t="shared" si="46"/>
        <v>93328.325</v>
      </c>
    </row>
    <row r="151" ht="18.75" customHeight="1" spans="1:18">
      <c r="A151" s="10">
        <v>3</v>
      </c>
      <c r="B151" s="11" t="s">
        <v>480</v>
      </c>
      <c r="C151" s="4" t="s">
        <v>72</v>
      </c>
      <c r="D151" s="15" t="s">
        <v>70</v>
      </c>
      <c r="E151" s="85">
        <v>468828.166666667</v>
      </c>
      <c r="F151" s="15" t="s">
        <v>70</v>
      </c>
      <c r="G151" s="85">
        <v>468828.166666667</v>
      </c>
      <c r="H151" s="220">
        <f t="shared" si="51"/>
        <v>0</v>
      </c>
      <c r="I151" s="85">
        <v>37506.2533333334</v>
      </c>
      <c r="J151" s="85"/>
      <c r="K151" s="85">
        <f t="shared" si="50"/>
        <v>-37506.2533333334</v>
      </c>
      <c r="L151" s="85">
        <f t="shared" si="44"/>
        <v>0</v>
      </c>
      <c r="M151" s="15" t="s">
        <v>70</v>
      </c>
      <c r="N151" s="911">
        <v>294662.916666667</v>
      </c>
      <c r="O151" s="911"/>
      <c r="P151" s="85"/>
      <c r="Q151" s="911">
        <f t="shared" si="45"/>
        <v>0</v>
      </c>
      <c r="R151" s="911">
        <f t="shared" si="46"/>
        <v>0</v>
      </c>
    </row>
    <row r="152" s="1" customFormat="1" ht="18.75" customHeight="1" spans="1:18">
      <c r="A152" s="10">
        <v>4</v>
      </c>
      <c r="B152" s="18" t="s">
        <v>262</v>
      </c>
      <c r="C152" s="4" t="s">
        <v>152</v>
      </c>
      <c r="D152" s="10" t="s">
        <v>225</v>
      </c>
      <c r="E152" s="85">
        <v>330407.083333333</v>
      </c>
      <c r="F152" s="10" t="s">
        <v>99</v>
      </c>
      <c r="G152" s="220">
        <v>338711.666666667</v>
      </c>
      <c r="H152" s="220">
        <f t="shared" si="51"/>
        <v>8304.58333333395</v>
      </c>
      <c r="I152" s="85">
        <v>26432.5666666667</v>
      </c>
      <c r="J152" s="85">
        <f t="shared" si="49"/>
        <v>27096.9333333334</v>
      </c>
      <c r="K152" s="85">
        <f t="shared" si="50"/>
        <v>664.366666666701</v>
      </c>
      <c r="L152" s="85">
        <f t="shared" si="44"/>
        <v>325163.200000001</v>
      </c>
      <c r="M152" s="10" t="s">
        <v>99</v>
      </c>
      <c r="N152" s="911">
        <v>217733.416666667</v>
      </c>
      <c r="O152" s="911">
        <f>N152*0.025</f>
        <v>5443.33541666668</v>
      </c>
      <c r="P152" s="85">
        <v>5319.8</v>
      </c>
      <c r="Q152" s="911">
        <f t="shared" si="45"/>
        <v>123.535416666676</v>
      </c>
      <c r="R152" s="911">
        <f t="shared" si="46"/>
        <v>65320.0250000001</v>
      </c>
    </row>
    <row r="153" s="1" customFormat="1" ht="18.75" customHeight="1" spans="1:18">
      <c r="A153" s="10">
        <v>5</v>
      </c>
      <c r="B153" s="18" t="s">
        <v>263</v>
      </c>
      <c r="C153" s="4" t="s">
        <v>152</v>
      </c>
      <c r="D153" s="10" t="s">
        <v>225</v>
      </c>
      <c r="E153" s="85">
        <v>330407.083333333</v>
      </c>
      <c r="F153" s="10" t="s">
        <v>99</v>
      </c>
      <c r="G153" s="220">
        <v>338711.666666667</v>
      </c>
      <c r="H153" s="220">
        <f t="shared" si="51"/>
        <v>8304.58333333395</v>
      </c>
      <c r="I153" s="85">
        <v>26432.5666666667</v>
      </c>
      <c r="J153" s="85">
        <f t="shared" si="49"/>
        <v>27096.9333333334</v>
      </c>
      <c r="K153" s="85">
        <f t="shared" si="50"/>
        <v>664.366666666701</v>
      </c>
      <c r="L153" s="85">
        <f t="shared" si="44"/>
        <v>325163.200000001</v>
      </c>
      <c r="M153" s="10" t="s">
        <v>99</v>
      </c>
      <c r="N153" s="911">
        <v>217733.416666667</v>
      </c>
      <c r="O153" s="911">
        <f>N153*0.025</f>
        <v>5443.33541666668</v>
      </c>
      <c r="P153" s="85">
        <v>5319.8</v>
      </c>
      <c r="Q153" s="911">
        <f t="shared" si="45"/>
        <v>123.535416666676</v>
      </c>
      <c r="R153" s="911">
        <f t="shared" si="46"/>
        <v>65320.0250000001</v>
      </c>
    </row>
    <row r="154" s="1" customFormat="1" ht="18.75" customHeight="1" spans="1:18">
      <c r="A154" s="10">
        <v>6</v>
      </c>
      <c r="B154" s="18" t="s">
        <v>264</v>
      </c>
      <c r="C154" s="4" t="s">
        <v>152</v>
      </c>
      <c r="D154" s="10" t="s">
        <v>225</v>
      </c>
      <c r="E154" s="85">
        <v>330407.083333333</v>
      </c>
      <c r="F154" s="10" t="s">
        <v>99</v>
      </c>
      <c r="G154" s="220">
        <v>338711.666666667</v>
      </c>
      <c r="H154" s="220">
        <f t="shared" si="51"/>
        <v>8304.58333333395</v>
      </c>
      <c r="I154" s="85">
        <v>26432.5666666667</v>
      </c>
      <c r="J154" s="85">
        <f t="shared" si="49"/>
        <v>27096.9333333334</v>
      </c>
      <c r="K154" s="85">
        <f t="shared" si="50"/>
        <v>664.366666666701</v>
      </c>
      <c r="L154" s="85">
        <f t="shared" si="44"/>
        <v>325163.200000001</v>
      </c>
      <c r="M154" s="10" t="s">
        <v>99</v>
      </c>
      <c r="N154" s="911">
        <v>217733.416666667</v>
      </c>
      <c r="O154" s="911">
        <f>N154*0.025</f>
        <v>5443.33541666668</v>
      </c>
      <c r="P154" s="85">
        <v>5319.8</v>
      </c>
      <c r="Q154" s="911">
        <f t="shared" si="45"/>
        <v>123.535416666676</v>
      </c>
      <c r="R154" s="911">
        <f t="shared" si="46"/>
        <v>65320.0250000001</v>
      </c>
    </row>
    <row r="155" s="1" customFormat="1" ht="18.75" customHeight="1" spans="1:18">
      <c r="A155" s="10">
        <v>7</v>
      </c>
      <c r="B155" s="18" t="s">
        <v>265</v>
      </c>
      <c r="C155" s="4" t="s">
        <v>152</v>
      </c>
      <c r="D155" s="10" t="s">
        <v>225</v>
      </c>
      <c r="E155" s="85">
        <v>330407.083333333</v>
      </c>
      <c r="F155" s="10" t="s">
        <v>99</v>
      </c>
      <c r="G155" s="220">
        <v>338711.666666667</v>
      </c>
      <c r="H155" s="220">
        <f t="shared" si="51"/>
        <v>8304.58333333395</v>
      </c>
      <c r="I155" s="85">
        <v>26432.5666666667</v>
      </c>
      <c r="J155" s="85">
        <f t="shared" si="49"/>
        <v>27096.9333333334</v>
      </c>
      <c r="K155" s="85">
        <f t="shared" si="50"/>
        <v>664.366666666701</v>
      </c>
      <c r="L155" s="85">
        <f t="shared" si="44"/>
        <v>325163.200000001</v>
      </c>
      <c r="M155" s="10" t="s">
        <v>99</v>
      </c>
      <c r="N155" s="911">
        <v>217733.416666667</v>
      </c>
      <c r="O155" s="911">
        <f>N155*0.025</f>
        <v>5443.33541666668</v>
      </c>
      <c r="P155" s="85">
        <v>5319.8</v>
      </c>
      <c r="Q155" s="911">
        <f t="shared" si="45"/>
        <v>123.535416666676</v>
      </c>
      <c r="R155" s="911">
        <f t="shared" si="46"/>
        <v>65320.0250000001</v>
      </c>
    </row>
    <row r="156" s="1" customFormat="1" customHeight="1" spans="1:18">
      <c r="A156" s="10">
        <v>8</v>
      </c>
      <c r="B156" s="18" t="s">
        <v>266</v>
      </c>
      <c r="C156" s="12" t="s">
        <v>267</v>
      </c>
      <c r="D156" s="15" t="s">
        <v>275</v>
      </c>
      <c r="E156" s="85">
        <v>287890.916666667</v>
      </c>
      <c r="F156" s="15" t="s">
        <v>111</v>
      </c>
      <c r="G156" s="85">
        <v>294900.833333334</v>
      </c>
      <c r="H156" s="220">
        <f t="shared" si="51"/>
        <v>7009.91666666704</v>
      </c>
      <c r="I156" s="684">
        <v>23031.2733333333</v>
      </c>
      <c r="J156" s="85">
        <f t="shared" si="49"/>
        <v>23592.0666666667</v>
      </c>
      <c r="K156" s="85">
        <f t="shared" si="50"/>
        <v>560.793333333397</v>
      </c>
      <c r="L156" s="85">
        <f t="shared" si="44"/>
        <v>283104.8</v>
      </c>
      <c r="M156" s="15" t="s">
        <v>111</v>
      </c>
      <c r="N156" s="911">
        <v>192179.416666667</v>
      </c>
      <c r="O156" s="911">
        <f>N156*0.025</f>
        <v>4804.48541666668</v>
      </c>
      <c r="P156" s="1">
        <v>4699.86</v>
      </c>
      <c r="Q156" s="911">
        <f t="shared" si="45"/>
        <v>104.625416666676</v>
      </c>
      <c r="R156" s="911">
        <f t="shared" si="46"/>
        <v>57653.8250000001</v>
      </c>
    </row>
    <row r="157" ht="24.75" customHeight="1" spans="1:18">
      <c r="A157" s="4"/>
      <c r="B157" s="20" t="s">
        <v>120</v>
      </c>
      <c r="C157" s="21">
        <v>8</v>
      </c>
      <c r="D157" s="26"/>
      <c r="E157" s="93">
        <f t="shared" ref="E157:L157" si="52">SUM(E149:E156)</f>
        <v>3261724</v>
      </c>
      <c r="F157" s="93"/>
      <c r="G157" s="93">
        <f t="shared" si="52"/>
        <v>3337668.33333334</v>
      </c>
      <c r="H157" s="93">
        <f t="shared" si="52"/>
        <v>75944.3333333366</v>
      </c>
      <c r="I157" s="93">
        <f t="shared" si="52"/>
        <v>260937.92</v>
      </c>
      <c r="J157" s="93">
        <f t="shared" si="52"/>
        <v>229507.213333334</v>
      </c>
      <c r="K157" s="93">
        <f t="shared" si="52"/>
        <v>-31430.7066666666</v>
      </c>
      <c r="L157" s="93">
        <f t="shared" ref="L157:R157" si="53">SUM(L149:L156)</f>
        <v>2754086.56</v>
      </c>
      <c r="M157" s="93">
        <f t="shared" si="53"/>
        <v>0</v>
      </c>
      <c r="N157" s="93">
        <f t="shared" si="53"/>
        <v>2114866.25</v>
      </c>
      <c r="O157" s="93">
        <f t="shared" si="53"/>
        <v>34355.1875000001</v>
      </c>
      <c r="P157" s="93">
        <f t="shared" si="53"/>
        <v>33551.03</v>
      </c>
      <c r="Q157" s="93">
        <f t="shared" si="53"/>
        <v>804.157500000047</v>
      </c>
      <c r="R157" s="93">
        <f t="shared" si="53"/>
        <v>412262.25</v>
      </c>
    </row>
    <row r="158" ht="24.75" customHeight="1" spans="1:18">
      <c r="A158" s="4"/>
      <c r="B158" s="20"/>
      <c r="C158" s="21"/>
      <c r="D158" s="26"/>
      <c r="E158" s="93"/>
      <c r="F158" s="93"/>
      <c r="G158" s="93"/>
      <c r="H158" s="93"/>
      <c r="I158" s="93"/>
      <c r="J158" s="93"/>
      <c r="K158" s="93"/>
      <c r="L158" s="85"/>
      <c r="M158" s="93"/>
      <c r="N158" s="93"/>
      <c r="O158" s="911"/>
      <c r="P158" s="93"/>
      <c r="Q158" s="911"/>
      <c r="R158" s="911"/>
    </row>
    <row r="159" ht="24.75" customHeight="1" spans="1:18">
      <c r="A159" s="10"/>
      <c r="B159" s="20" t="s">
        <v>268</v>
      </c>
      <c r="C159" s="21"/>
      <c r="D159" s="21"/>
      <c r="E159" s="156"/>
      <c r="F159" s="156"/>
      <c r="G159" s="156"/>
      <c r="H159" s="220"/>
      <c r="I159" s="156"/>
      <c r="J159" s="156"/>
      <c r="K159" s="156"/>
      <c r="L159" s="85"/>
      <c r="M159" s="156"/>
      <c r="N159" s="156"/>
      <c r="O159" s="911"/>
      <c r="P159" s="156"/>
      <c r="Q159" s="911"/>
      <c r="R159" s="911"/>
    </row>
    <row r="160" s="1" customFormat="1" customHeight="1" spans="1:18">
      <c r="A160" s="4">
        <v>1</v>
      </c>
      <c r="B160" s="18" t="s">
        <v>481</v>
      </c>
      <c r="C160" s="12" t="s">
        <v>604</v>
      </c>
      <c r="D160" s="15" t="s">
        <v>81</v>
      </c>
      <c r="E160" s="85">
        <v>372145.333333333</v>
      </c>
      <c r="F160" s="15" t="s">
        <v>75</v>
      </c>
      <c r="G160" s="85">
        <v>381140.666666666</v>
      </c>
      <c r="H160" s="220">
        <f>G160-E160</f>
        <v>8995.33333333296</v>
      </c>
      <c r="I160" s="684">
        <v>29771.6266666667</v>
      </c>
      <c r="J160" s="85">
        <f t="shared" ref="J160:J164" si="54">G160*0.08</f>
        <v>30491.2533333333</v>
      </c>
      <c r="K160" s="85">
        <f t="shared" ref="K160:K164" si="55">J160-I160</f>
        <v>719.62666666658</v>
      </c>
      <c r="L160" s="85">
        <f t="shared" si="44"/>
        <v>365895.04</v>
      </c>
      <c r="M160" s="15" t="s">
        <v>75</v>
      </c>
      <c r="N160" s="911">
        <v>240874.583333333</v>
      </c>
      <c r="O160" s="911"/>
      <c r="P160" s="4"/>
      <c r="Q160" s="911">
        <f t="shared" si="45"/>
        <v>0</v>
      </c>
      <c r="R160" s="911">
        <f t="shared" si="46"/>
        <v>0</v>
      </c>
    </row>
    <row r="161" s="1" customFormat="1" ht="18.75" customHeight="1" spans="1:18">
      <c r="A161" s="4">
        <v>2</v>
      </c>
      <c r="B161" s="18" t="s">
        <v>269</v>
      </c>
      <c r="C161" s="4" t="s">
        <v>270</v>
      </c>
      <c r="D161" s="10" t="s">
        <v>225</v>
      </c>
      <c r="E161" s="85">
        <v>330407.083333333</v>
      </c>
      <c r="F161" s="10" t="s">
        <v>99</v>
      </c>
      <c r="G161" s="85">
        <v>338711.666666667</v>
      </c>
      <c r="H161" s="220">
        <f>G161-E161</f>
        <v>8304.58333333395</v>
      </c>
      <c r="I161" s="85">
        <v>26432.5666666667</v>
      </c>
      <c r="J161" s="85">
        <f t="shared" si="54"/>
        <v>27096.9333333334</v>
      </c>
      <c r="K161" s="85">
        <f t="shared" si="55"/>
        <v>664.366666666661</v>
      </c>
      <c r="L161" s="85">
        <f t="shared" si="44"/>
        <v>325163.200000001</v>
      </c>
      <c r="M161" s="10" t="s">
        <v>99</v>
      </c>
      <c r="N161" s="911">
        <v>217733.416666667</v>
      </c>
      <c r="O161" s="911"/>
      <c r="P161" s="85"/>
      <c r="Q161" s="911">
        <f t="shared" si="45"/>
        <v>0</v>
      </c>
      <c r="R161" s="911">
        <f t="shared" si="46"/>
        <v>0</v>
      </c>
    </row>
    <row r="162" ht="24.75" customHeight="1" spans="1:18">
      <c r="A162" s="4">
        <v>3</v>
      </c>
      <c r="B162" s="11" t="s">
        <v>271</v>
      </c>
      <c r="C162" s="4" t="s">
        <v>272</v>
      </c>
      <c r="D162" s="10" t="s">
        <v>275</v>
      </c>
      <c r="E162" s="85">
        <v>287890.916666667</v>
      </c>
      <c r="F162" s="10" t="s">
        <v>111</v>
      </c>
      <c r="G162" s="85">
        <v>294900.833333334</v>
      </c>
      <c r="H162" s="220">
        <f>G162-E162</f>
        <v>7009.91666666704</v>
      </c>
      <c r="I162" s="85">
        <v>23031.2733333334</v>
      </c>
      <c r="J162" s="85">
        <f t="shared" si="54"/>
        <v>23592.0666666667</v>
      </c>
      <c r="K162" s="85">
        <f t="shared" si="55"/>
        <v>560.79333333332</v>
      </c>
      <c r="L162" s="85">
        <f t="shared" si="44"/>
        <v>283104.8</v>
      </c>
      <c r="M162" s="10" t="s">
        <v>111</v>
      </c>
      <c r="N162" s="911">
        <v>192179.416666667</v>
      </c>
      <c r="O162" s="911"/>
      <c r="P162" s="85"/>
      <c r="Q162" s="911">
        <f t="shared" si="45"/>
        <v>0</v>
      </c>
      <c r="R162" s="911">
        <f t="shared" si="46"/>
        <v>0</v>
      </c>
    </row>
    <row r="163" s="1" customFormat="1" customHeight="1" spans="1:18">
      <c r="A163" s="4">
        <v>4</v>
      </c>
      <c r="B163" s="18" t="s">
        <v>273</v>
      </c>
      <c r="C163" s="12" t="s">
        <v>274</v>
      </c>
      <c r="D163" s="15" t="s">
        <v>275</v>
      </c>
      <c r="E163" s="85">
        <v>287890.916666667</v>
      </c>
      <c r="F163" s="15" t="s">
        <v>275</v>
      </c>
      <c r="G163" s="85">
        <v>287890.916666667</v>
      </c>
      <c r="H163" s="220">
        <f>G163-E163</f>
        <v>0</v>
      </c>
      <c r="I163" s="261">
        <v>23031.2733333333</v>
      </c>
      <c r="J163" s="85">
        <f t="shared" si="54"/>
        <v>23031.2733333334</v>
      </c>
      <c r="K163" s="85">
        <f t="shared" si="55"/>
        <v>5.82076609134674e-11</v>
      </c>
      <c r="L163" s="85">
        <f t="shared" si="44"/>
        <v>276375.280000001</v>
      </c>
      <c r="M163" s="15" t="s">
        <v>275</v>
      </c>
      <c r="N163" s="911">
        <v>187994.416666667</v>
      </c>
      <c r="O163" s="911"/>
      <c r="P163" s="833"/>
      <c r="Q163" s="911">
        <f t="shared" si="45"/>
        <v>0</v>
      </c>
      <c r="R163" s="911">
        <f t="shared" si="46"/>
        <v>0</v>
      </c>
    </row>
    <row r="164" ht="24.75" customHeight="1" spans="1:18">
      <c r="A164" s="4">
        <v>5</v>
      </c>
      <c r="B164" s="11" t="s">
        <v>276</v>
      </c>
      <c r="C164" s="4" t="s">
        <v>277</v>
      </c>
      <c r="D164" s="10" t="s">
        <v>275</v>
      </c>
      <c r="E164" s="85">
        <v>287890.916666667</v>
      </c>
      <c r="F164" s="10" t="s">
        <v>111</v>
      </c>
      <c r="G164" s="85">
        <v>294900.833333334</v>
      </c>
      <c r="H164" s="220">
        <f>G164-E164</f>
        <v>7009.91666666704</v>
      </c>
      <c r="I164" s="85">
        <v>23031.2733333334</v>
      </c>
      <c r="J164" s="85">
        <f t="shared" si="54"/>
        <v>23592.0666666667</v>
      </c>
      <c r="K164" s="85">
        <f t="shared" si="55"/>
        <v>560.79333333332</v>
      </c>
      <c r="L164" s="85">
        <f t="shared" si="44"/>
        <v>283104.8</v>
      </c>
      <c r="M164" s="10" t="s">
        <v>111</v>
      </c>
      <c r="N164" s="911">
        <v>192179.416666667</v>
      </c>
      <c r="O164" s="911"/>
      <c r="P164" s="85"/>
      <c r="Q164" s="911">
        <f t="shared" si="45"/>
        <v>0</v>
      </c>
      <c r="R164" s="911">
        <f t="shared" si="46"/>
        <v>0</v>
      </c>
    </row>
    <row r="165" customHeight="1" spans="1:18">
      <c r="A165" s="4"/>
      <c r="B165" s="20" t="s">
        <v>120</v>
      </c>
      <c r="C165" s="21">
        <v>5</v>
      </c>
      <c r="D165" s="26"/>
      <c r="E165" s="93">
        <f t="shared" ref="E165:L165" si="56">SUM(E160:E164)</f>
        <v>1566225.16666667</v>
      </c>
      <c r="F165" s="93"/>
      <c r="G165" s="93">
        <f t="shared" si="56"/>
        <v>1597544.91666667</v>
      </c>
      <c r="H165" s="93">
        <f t="shared" si="56"/>
        <v>31319.750000001</v>
      </c>
      <c r="I165" s="93">
        <f t="shared" si="56"/>
        <v>125298.013333334</v>
      </c>
      <c r="J165" s="93">
        <f t="shared" si="56"/>
        <v>127803.593333333</v>
      </c>
      <c r="K165" s="93">
        <f t="shared" si="56"/>
        <v>2505.57999999994</v>
      </c>
      <c r="L165" s="93">
        <f t="shared" ref="L165:R165" si="57">SUM(L160:L164)</f>
        <v>1533643.12</v>
      </c>
      <c r="M165" s="93">
        <f t="shared" si="57"/>
        <v>0</v>
      </c>
      <c r="N165" s="93">
        <f t="shared" si="57"/>
        <v>1030961.25</v>
      </c>
      <c r="O165" s="93">
        <f t="shared" si="57"/>
        <v>0</v>
      </c>
      <c r="P165" s="93">
        <f t="shared" si="57"/>
        <v>0</v>
      </c>
      <c r="Q165" s="93">
        <f t="shared" si="57"/>
        <v>0</v>
      </c>
      <c r="R165" s="93">
        <f t="shared" si="57"/>
        <v>0</v>
      </c>
    </row>
    <row r="166" customHeight="1" spans="1:18">
      <c r="A166" s="4"/>
      <c r="B166" s="20"/>
      <c r="C166" s="21"/>
      <c r="D166" s="26"/>
      <c r="E166" s="93"/>
      <c r="F166" s="93"/>
      <c r="G166" s="93"/>
      <c r="H166" s="93"/>
      <c r="I166" s="93"/>
      <c r="J166" s="93"/>
      <c r="K166" s="93"/>
      <c r="L166" s="85"/>
      <c r="M166" s="93"/>
      <c r="N166" s="93"/>
      <c r="O166" s="911"/>
      <c r="P166" s="93"/>
      <c r="Q166" s="911"/>
      <c r="R166" s="911"/>
    </row>
    <row r="167" customHeight="1" spans="1:18">
      <c r="A167" s="4"/>
      <c r="B167" s="20" t="s">
        <v>278</v>
      </c>
      <c r="C167" s="21"/>
      <c r="D167" s="21"/>
      <c r="E167" s="156"/>
      <c r="F167" s="156"/>
      <c r="G167" s="156"/>
      <c r="H167" s="220"/>
      <c r="I167" s="156"/>
      <c r="J167" s="156"/>
      <c r="K167" s="156"/>
      <c r="L167" s="85"/>
      <c r="M167" s="156"/>
      <c r="N167" s="156"/>
      <c r="O167" s="911"/>
      <c r="P167" s="156"/>
      <c r="Q167" s="911"/>
      <c r="R167" s="911"/>
    </row>
    <row r="168" customHeight="1" spans="1:18">
      <c r="A168" s="4">
        <v>1</v>
      </c>
      <c r="B168" s="11" t="s">
        <v>279</v>
      </c>
      <c r="C168" s="12" t="s">
        <v>280</v>
      </c>
      <c r="D168" s="15" t="s">
        <v>124</v>
      </c>
      <c r="E168" s="85">
        <v>1747106.41666666</v>
      </c>
      <c r="F168" s="15" t="s">
        <v>124</v>
      </c>
      <c r="G168" s="85">
        <v>1747106.41666666</v>
      </c>
      <c r="H168" s="220">
        <f>G168-E168</f>
        <v>0</v>
      </c>
      <c r="I168" s="85">
        <v>139768.513333333</v>
      </c>
      <c r="J168" s="85">
        <f t="shared" ref="J168:J179" si="58">G168*0.08</f>
        <v>139768.513333333</v>
      </c>
      <c r="K168" s="85">
        <f t="shared" ref="K168:K179" si="59">J168-I168</f>
        <v>0</v>
      </c>
      <c r="L168" s="85">
        <f t="shared" si="44"/>
        <v>1677222.16</v>
      </c>
      <c r="M168" s="15" t="s">
        <v>124</v>
      </c>
      <c r="N168" s="911">
        <v>1086777.08333333</v>
      </c>
      <c r="O168" s="911">
        <f>N168*0.025</f>
        <v>27169.4270833333</v>
      </c>
      <c r="P168" s="85">
        <v>27169.4270833333</v>
      </c>
      <c r="Q168" s="911">
        <f t="shared" si="45"/>
        <v>-4.72937244921923e-11</v>
      </c>
      <c r="R168" s="911">
        <f t="shared" si="46"/>
        <v>326033.124999999</v>
      </c>
    </row>
    <row r="169" customHeight="1" spans="1:18">
      <c r="A169" s="4">
        <v>2</v>
      </c>
      <c r="B169" s="11" t="s">
        <v>281</v>
      </c>
      <c r="C169" s="12" t="s">
        <v>282</v>
      </c>
      <c r="D169" s="15" t="s">
        <v>36</v>
      </c>
      <c r="E169" s="85">
        <v>905306.75</v>
      </c>
      <c r="F169" s="15" t="s">
        <v>36</v>
      </c>
      <c r="G169" s="85">
        <v>905306.75</v>
      </c>
      <c r="H169" s="220">
        <f t="shared" ref="H169:H179" si="60">G169-E169</f>
        <v>0</v>
      </c>
      <c r="I169" s="85">
        <v>72424.54</v>
      </c>
      <c r="J169" s="85">
        <f t="shared" si="58"/>
        <v>72424.54</v>
      </c>
      <c r="K169" s="85">
        <f t="shared" si="59"/>
        <v>0</v>
      </c>
      <c r="L169" s="85">
        <f t="shared" si="44"/>
        <v>869094.48</v>
      </c>
      <c r="M169" s="15" t="s">
        <v>36</v>
      </c>
      <c r="N169" s="911">
        <v>554669.5</v>
      </c>
      <c r="O169" s="911">
        <f>N169*0.025</f>
        <v>13866.7375</v>
      </c>
      <c r="P169" s="85">
        <v>13866.7375</v>
      </c>
      <c r="Q169" s="911">
        <f t="shared" si="45"/>
        <v>0</v>
      </c>
      <c r="R169" s="911">
        <f t="shared" si="46"/>
        <v>166400.85</v>
      </c>
    </row>
    <row r="170" customHeight="1" spans="1:18">
      <c r="A170" s="4">
        <v>3</v>
      </c>
      <c r="B170" s="14" t="s">
        <v>283</v>
      </c>
      <c r="C170" s="12" t="s">
        <v>282</v>
      </c>
      <c r="D170" s="15" t="s">
        <v>210</v>
      </c>
      <c r="E170" s="85">
        <v>879008.916666667</v>
      </c>
      <c r="F170" s="15" t="s">
        <v>36</v>
      </c>
      <c r="G170" s="85">
        <v>905306.75</v>
      </c>
      <c r="H170" s="220">
        <f t="shared" si="60"/>
        <v>26297.833333333</v>
      </c>
      <c r="I170" s="85">
        <v>68216.8866666666</v>
      </c>
      <c r="J170" s="85">
        <f t="shared" si="58"/>
        <v>72424.54</v>
      </c>
      <c r="K170" s="85">
        <f t="shared" si="59"/>
        <v>4207.65333333341</v>
      </c>
      <c r="L170" s="85">
        <f t="shared" si="44"/>
        <v>869094.48</v>
      </c>
      <c r="M170" s="15" t="s">
        <v>36</v>
      </c>
      <c r="N170" s="911">
        <v>554669.5</v>
      </c>
      <c r="O170" s="911">
        <f>N170*0.025</f>
        <v>13866.7375</v>
      </c>
      <c r="P170" s="85">
        <v>13084.6625</v>
      </c>
      <c r="Q170" s="911">
        <f t="shared" si="45"/>
        <v>782.075000000001</v>
      </c>
      <c r="R170" s="911">
        <f t="shared" si="46"/>
        <v>166400.85</v>
      </c>
    </row>
    <row r="171" customHeight="1" spans="1:18">
      <c r="A171" s="4">
        <v>4</v>
      </c>
      <c r="B171" s="11" t="s">
        <v>284</v>
      </c>
      <c r="C171" s="12" t="s">
        <v>285</v>
      </c>
      <c r="D171" s="15" t="s">
        <v>42</v>
      </c>
      <c r="E171" s="85">
        <v>700713.916666666</v>
      </c>
      <c r="F171" s="15" t="s">
        <v>50</v>
      </c>
      <c r="G171" s="85">
        <v>722595.5</v>
      </c>
      <c r="H171" s="220">
        <f t="shared" si="60"/>
        <v>21881.583333334</v>
      </c>
      <c r="I171" s="85">
        <v>56057.1133333333</v>
      </c>
      <c r="J171" s="85">
        <f t="shared" si="58"/>
        <v>57807.64</v>
      </c>
      <c r="K171" s="85">
        <f t="shared" si="59"/>
        <v>1750.5266666667</v>
      </c>
      <c r="L171" s="85">
        <f t="shared" si="44"/>
        <v>693691.68</v>
      </c>
      <c r="M171" s="15" t="s">
        <v>50</v>
      </c>
      <c r="N171" s="911">
        <v>445995.833333333</v>
      </c>
      <c r="O171" s="911"/>
      <c r="P171" s="85"/>
      <c r="Q171" s="911">
        <f t="shared" si="45"/>
        <v>0</v>
      </c>
      <c r="R171" s="911">
        <f t="shared" si="46"/>
        <v>0</v>
      </c>
    </row>
    <row r="172" customHeight="1" spans="1:18">
      <c r="A172" s="4">
        <v>5</v>
      </c>
      <c r="B172" s="11" t="s">
        <v>286</v>
      </c>
      <c r="C172" s="12" t="s">
        <v>285</v>
      </c>
      <c r="D172" s="15" t="s">
        <v>42</v>
      </c>
      <c r="E172" s="85">
        <v>700713.916666666</v>
      </c>
      <c r="F172" s="15" t="s">
        <v>42</v>
      </c>
      <c r="G172" s="85">
        <v>700713.916666666</v>
      </c>
      <c r="H172" s="220">
        <f t="shared" si="60"/>
        <v>0</v>
      </c>
      <c r="I172" s="85">
        <v>56057.1133333333</v>
      </c>
      <c r="J172" s="85">
        <f t="shared" si="58"/>
        <v>56057.1133333333</v>
      </c>
      <c r="K172" s="85">
        <f t="shared" si="59"/>
        <v>0</v>
      </c>
      <c r="L172" s="85">
        <f t="shared" si="44"/>
        <v>672685.36</v>
      </c>
      <c r="M172" s="15" t="s">
        <v>42</v>
      </c>
      <c r="N172" s="911">
        <v>432981.083333333</v>
      </c>
      <c r="O172" s="911"/>
      <c r="P172" s="85"/>
      <c r="Q172" s="911">
        <f t="shared" si="45"/>
        <v>0</v>
      </c>
      <c r="R172" s="911">
        <f t="shared" si="46"/>
        <v>0</v>
      </c>
    </row>
    <row r="173" customHeight="1" spans="1:18">
      <c r="A173" s="4">
        <v>6</v>
      </c>
      <c r="B173" s="11" t="s">
        <v>287</v>
      </c>
      <c r="C173" s="12" t="s">
        <v>288</v>
      </c>
      <c r="D173" s="15" t="s">
        <v>214</v>
      </c>
      <c r="E173" s="85">
        <v>558165.25</v>
      </c>
      <c r="F173" s="15" t="s">
        <v>47</v>
      </c>
      <c r="G173" s="85">
        <v>573911.083333334</v>
      </c>
      <c r="H173" s="220">
        <f t="shared" si="60"/>
        <v>15745.833333334</v>
      </c>
      <c r="I173" s="85">
        <v>44653.22</v>
      </c>
      <c r="J173" s="85">
        <f t="shared" si="58"/>
        <v>45912.8866666667</v>
      </c>
      <c r="K173" s="85">
        <f t="shared" si="59"/>
        <v>1259.66666666672</v>
      </c>
      <c r="L173" s="85">
        <f t="shared" si="44"/>
        <v>550954.64</v>
      </c>
      <c r="M173" s="15" t="s">
        <v>47</v>
      </c>
      <c r="N173" s="911">
        <v>357066.666666667</v>
      </c>
      <c r="O173" s="911">
        <f>N173*0.025</f>
        <v>8926.66666666668</v>
      </c>
      <c r="P173" s="85">
        <v>8692.89791666667</v>
      </c>
      <c r="Q173" s="911">
        <f t="shared" si="45"/>
        <v>233.768750000005</v>
      </c>
      <c r="R173" s="911">
        <f t="shared" si="46"/>
        <v>107120</v>
      </c>
    </row>
    <row r="174" customHeight="1" spans="1:18">
      <c r="A174" s="4">
        <v>7</v>
      </c>
      <c r="B174" s="11" t="s">
        <v>289</v>
      </c>
      <c r="C174" s="12" t="s">
        <v>288</v>
      </c>
      <c r="D174" s="15" t="s">
        <v>47</v>
      </c>
      <c r="E174" s="85">
        <v>573911.083333334</v>
      </c>
      <c r="F174" s="15" t="s">
        <v>192</v>
      </c>
      <c r="G174" s="85">
        <v>589657</v>
      </c>
      <c r="H174" s="220">
        <f t="shared" si="60"/>
        <v>15745.916666666</v>
      </c>
      <c r="I174" s="85">
        <v>45912.8866666667</v>
      </c>
      <c r="J174" s="85">
        <f t="shared" si="58"/>
        <v>47172.56</v>
      </c>
      <c r="K174" s="85">
        <f t="shared" si="59"/>
        <v>1259.6733333333</v>
      </c>
      <c r="L174" s="85">
        <f t="shared" si="44"/>
        <v>566070.72</v>
      </c>
      <c r="M174" s="15" t="s">
        <v>192</v>
      </c>
      <c r="N174" s="911">
        <v>366417.5</v>
      </c>
      <c r="O174" s="911">
        <f>N174*0.025</f>
        <v>9160.4375</v>
      </c>
      <c r="P174" s="85">
        <v>8926.66666666668</v>
      </c>
      <c r="Q174" s="911">
        <f t="shared" si="45"/>
        <v>233.770833333319</v>
      </c>
      <c r="R174" s="911">
        <f t="shared" si="46"/>
        <v>109925.25</v>
      </c>
    </row>
    <row r="175" s="1" customFormat="1" customHeight="1" spans="1:18">
      <c r="A175" s="4">
        <v>8</v>
      </c>
      <c r="B175" s="18" t="s">
        <v>290</v>
      </c>
      <c r="C175" s="12" t="s">
        <v>291</v>
      </c>
      <c r="D175" s="15" t="s">
        <v>225</v>
      </c>
      <c r="E175" s="85">
        <v>330407.083333333</v>
      </c>
      <c r="F175" s="15" t="s">
        <v>99</v>
      </c>
      <c r="G175" s="85">
        <v>338711.666666667</v>
      </c>
      <c r="H175" s="220">
        <f t="shared" si="60"/>
        <v>8304.58333333395</v>
      </c>
      <c r="I175" s="684">
        <v>26432.5666666667</v>
      </c>
      <c r="J175" s="85">
        <f t="shared" si="58"/>
        <v>27096.9333333334</v>
      </c>
      <c r="K175" s="85">
        <f t="shared" si="59"/>
        <v>664.366666666661</v>
      </c>
      <c r="L175" s="85">
        <f t="shared" si="44"/>
        <v>325163.200000001</v>
      </c>
      <c r="M175" s="15" t="s">
        <v>99</v>
      </c>
      <c r="N175" s="911">
        <v>217733.416666667</v>
      </c>
      <c r="O175" s="911"/>
      <c r="P175" s="4"/>
      <c r="Q175" s="911">
        <f t="shared" si="45"/>
        <v>0</v>
      </c>
      <c r="R175" s="911">
        <f t="shared" si="46"/>
        <v>0</v>
      </c>
    </row>
    <row r="176" customHeight="1" spans="1:18">
      <c r="A176" s="4">
        <v>9</v>
      </c>
      <c r="B176" s="11" t="s">
        <v>292</v>
      </c>
      <c r="C176" s="4" t="s">
        <v>293</v>
      </c>
      <c r="D176" s="15" t="s">
        <v>81</v>
      </c>
      <c r="E176" s="85">
        <v>372145.333333333</v>
      </c>
      <c r="F176" s="15" t="s">
        <v>81</v>
      </c>
      <c r="G176" s="85">
        <v>372145.333333333</v>
      </c>
      <c r="H176" s="220">
        <f t="shared" si="60"/>
        <v>0</v>
      </c>
      <c r="I176" s="85">
        <v>29771.6266666667</v>
      </c>
      <c r="J176" s="85">
        <f t="shared" si="58"/>
        <v>29771.6266666666</v>
      </c>
      <c r="K176" s="85">
        <f t="shared" si="59"/>
        <v>-5.82076609134674e-11</v>
      </c>
      <c r="L176" s="85">
        <f t="shared" si="44"/>
        <v>357259.519999999</v>
      </c>
      <c r="M176" s="15" t="s">
        <v>81</v>
      </c>
      <c r="N176" s="911">
        <f>'[21] FGN 2024 MGT Monthly'!$H$39</f>
        <v>235577.833333333</v>
      </c>
      <c r="O176" s="911"/>
      <c r="P176" s="85"/>
      <c r="Q176" s="911">
        <f t="shared" si="45"/>
        <v>0</v>
      </c>
      <c r="R176" s="911">
        <f t="shared" si="46"/>
        <v>0</v>
      </c>
    </row>
    <row r="177" customHeight="1" spans="1:18">
      <c r="A177" s="4">
        <v>10</v>
      </c>
      <c r="B177" s="18" t="s">
        <v>294</v>
      </c>
      <c r="C177" s="12" t="s">
        <v>295</v>
      </c>
      <c r="D177" s="15" t="s">
        <v>108</v>
      </c>
      <c r="E177" s="85">
        <v>301910.75</v>
      </c>
      <c r="F177" s="15" t="s">
        <v>105</v>
      </c>
      <c r="G177" s="85">
        <v>308920.666666667</v>
      </c>
      <c r="H177" s="220">
        <f t="shared" si="60"/>
        <v>7009.91666666698</v>
      </c>
      <c r="I177" s="85">
        <v>24152.86</v>
      </c>
      <c r="J177" s="85">
        <f t="shared" si="58"/>
        <v>24713.6533333334</v>
      </c>
      <c r="K177" s="85">
        <f t="shared" si="59"/>
        <v>560.793333333357</v>
      </c>
      <c r="L177" s="85">
        <f t="shared" si="44"/>
        <v>296563.840000001</v>
      </c>
      <c r="M177" s="15" t="s">
        <v>105</v>
      </c>
      <c r="N177" s="911">
        <v>200549.416666667</v>
      </c>
      <c r="O177" s="911">
        <f>N177*0.025</f>
        <v>5013.73541666668</v>
      </c>
      <c r="P177" s="912">
        <v>4909.11041666668</v>
      </c>
      <c r="Q177" s="911">
        <f t="shared" si="45"/>
        <v>104.624999999995</v>
      </c>
      <c r="R177" s="911">
        <f t="shared" si="46"/>
        <v>60164.8250000001</v>
      </c>
    </row>
    <row r="178" customHeight="1" spans="1:18">
      <c r="A178" s="4">
        <v>11</v>
      </c>
      <c r="B178" s="18" t="s">
        <v>296</v>
      </c>
      <c r="C178" s="12" t="s">
        <v>291</v>
      </c>
      <c r="D178" s="15" t="s">
        <v>108</v>
      </c>
      <c r="E178" s="85">
        <v>301910.75</v>
      </c>
      <c r="F178" s="15" t="s">
        <v>105</v>
      </c>
      <c r="G178" s="85">
        <v>308920.666666667</v>
      </c>
      <c r="H178" s="220">
        <f t="shared" si="60"/>
        <v>7009.91666666698</v>
      </c>
      <c r="I178" s="85">
        <v>24152.86</v>
      </c>
      <c r="J178" s="85">
        <f t="shared" si="58"/>
        <v>24713.6533333334</v>
      </c>
      <c r="K178" s="85">
        <f t="shared" si="59"/>
        <v>560.793333333357</v>
      </c>
      <c r="L178" s="85">
        <f t="shared" si="44"/>
        <v>296563.840000001</v>
      </c>
      <c r="M178" s="15" t="s">
        <v>105</v>
      </c>
      <c r="N178" s="911">
        <v>200549.416666667</v>
      </c>
      <c r="O178" s="911">
        <f>N178*0.025</f>
        <v>5013.73541666668</v>
      </c>
      <c r="P178" s="912">
        <v>4909.11041666668</v>
      </c>
      <c r="Q178" s="911">
        <f t="shared" si="45"/>
        <v>104.624999999995</v>
      </c>
      <c r="R178" s="911">
        <f t="shared" si="46"/>
        <v>60164.8250000001</v>
      </c>
    </row>
    <row r="179" customHeight="1" spans="1:18">
      <c r="A179" s="4">
        <v>12</v>
      </c>
      <c r="B179" s="18" t="s">
        <v>297</v>
      </c>
      <c r="C179" s="12" t="s">
        <v>295</v>
      </c>
      <c r="D179" s="15" t="s">
        <v>111</v>
      </c>
      <c r="E179" s="939">
        <v>294900.833333334</v>
      </c>
      <c r="F179" s="15" t="s">
        <v>108</v>
      </c>
      <c r="G179" s="85">
        <v>301910.75</v>
      </c>
      <c r="H179" s="220">
        <f t="shared" si="60"/>
        <v>7009.91666666599</v>
      </c>
      <c r="I179" s="684">
        <v>23592.0666666667</v>
      </c>
      <c r="J179" s="85">
        <f t="shared" si="58"/>
        <v>24152.86</v>
      </c>
      <c r="K179" s="85">
        <f t="shared" si="59"/>
        <v>560.793333333302</v>
      </c>
      <c r="L179" s="85">
        <f t="shared" si="44"/>
        <v>289834.32</v>
      </c>
      <c r="M179" s="15" t="s">
        <v>108</v>
      </c>
      <c r="N179" s="911">
        <v>196364.416666667</v>
      </c>
      <c r="O179" s="911">
        <f>N179*0.025</f>
        <v>4909.11041666668</v>
      </c>
      <c r="P179" s="912">
        <v>4804.48541666668</v>
      </c>
      <c r="Q179" s="911">
        <f t="shared" si="45"/>
        <v>104.624999999995</v>
      </c>
      <c r="R179" s="911">
        <f t="shared" si="46"/>
        <v>58909.3250000001</v>
      </c>
    </row>
    <row r="180" ht="28.5" customHeight="1" spans="1:18">
      <c r="A180" s="4"/>
      <c r="B180" s="20" t="s">
        <v>120</v>
      </c>
      <c r="C180" s="26" t="s">
        <v>298</v>
      </c>
      <c r="D180" s="15"/>
      <c r="E180" s="221">
        <f t="shared" ref="E180:L180" si="61">SUM(E168:E179)</f>
        <v>7666200.99999999</v>
      </c>
      <c r="F180" s="221"/>
      <c r="G180" s="221">
        <f t="shared" si="61"/>
        <v>7775206.49999999</v>
      </c>
      <c r="H180" s="221">
        <f t="shared" si="61"/>
        <v>109005.500000001</v>
      </c>
      <c r="I180" s="221">
        <f t="shared" si="61"/>
        <v>611192.253333333</v>
      </c>
      <c r="J180" s="221">
        <f t="shared" si="61"/>
        <v>622016.519999999</v>
      </c>
      <c r="K180" s="221">
        <f t="shared" si="61"/>
        <v>10824.2666666667</v>
      </c>
      <c r="L180" s="221">
        <f t="shared" ref="L180:R180" si="62">SUM(L168:L179)</f>
        <v>7464198.24</v>
      </c>
      <c r="M180" s="221">
        <f t="shared" si="62"/>
        <v>0</v>
      </c>
      <c r="N180" s="221">
        <f t="shared" si="62"/>
        <v>4849351.66666666</v>
      </c>
      <c r="O180" s="221">
        <f t="shared" si="62"/>
        <v>87926.5875</v>
      </c>
      <c r="P180" s="221">
        <f t="shared" si="62"/>
        <v>86363.0979166667</v>
      </c>
      <c r="Q180" s="221">
        <f t="shared" si="62"/>
        <v>1563.48958333326</v>
      </c>
      <c r="R180" s="221">
        <f t="shared" si="62"/>
        <v>1055119.05</v>
      </c>
    </row>
    <row r="181" customHeight="1" spans="1:18">
      <c r="A181" s="4"/>
      <c r="B181" s="22"/>
      <c r="C181" s="26"/>
      <c r="D181" s="15"/>
      <c r="E181" s="156"/>
      <c r="F181" s="156"/>
      <c r="G181" s="156"/>
      <c r="H181" s="220"/>
      <c r="I181" s="156"/>
      <c r="J181" s="156"/>
      <c r="K181" s="156"/>
      <c r="L181" s="85"/>
      <c r="M181" s="156"/>
      <c r="N181" s="156"/>
      <c r="O181" s="911"/>
      <c r="P181" s="156"/>
      <c r="Q181" s="911"/>
      <c r="R181" s="911"/>
    </row>
    <row r="182" customHeight="1" spans="1:18">
      <c r="A182" s="4"/>
      <c r="B182" s="20" t="s">
        <v>299</v>
      </c>
      <c r="C182" s="12"/>
      <c r="D182" s="15"/>
      <c r="E182" s="85"/>
      <c r="F182" s="85"/>
      <c r="G182" s="85"/>
      <c r="H182" s="220"/>
      <c r="I182" s="85"/>
      <c r="J182" s="85"/>
      <c r="K182" s="85"/>
      <c r="L182" s="85"/>
      <c r="M182" s="85"/>
      <c r="N182" s="85"/>
      <c r="O182" s="911"/>
      <c r="P182" s="85"/>
      <c r="Q182" s="911"/>
      <c r="R182" s="911"/>
    </row>
    <row r="183" customHeight="1" spans="1:18">
      <c r="A183" s="27">
        <v>1</v>
      </c>
      <c r="B183" s="14" t="s">
        <v>300</v>
      </c>
      <c r="C183" s="4" t="s">
        <v>301</v>
      </c>
      <c r="D183" s="10" t="s">
        <v>511</v>
      </c>
      <c r="E183" s="85">
        <v>1647612</v>
      </c>
      <c r="F183" s="10" t="s">
        <v>487</v>
      </c>
      <c r="G183" s="85">
        <v>1697359.33333333</v>
      </c>
      <c r="H183" s="220">
        <f>G183-E183</f>
        <v>49747.33333333</v>
      </c>
      <c r="I183" s="85">
        <v>131808.96</v>
      </c>
      <c r="J183" s="85">
        <f t="shared" ref="J183:J246" si="63">G183*0.08</f>
        <v>135788.746666666</v>
      </c>
      <c r="K183" s="85">
        <f t="shared" ref="K183:K246" si="64">J183-I183</f>
        <v>3979.78666666601</v>
      </c>
      <c r="L183" s="85">
        <f t="shared" si="44"/>
        <v>1629464.96</v>
      </c>
      <c r="M183" s="10" t="s">
        <v>487</v>
      </c>
      <c r="N183" s="911">
        <v>1056272.83333333</v>
      </c>
      <c r="O183" s="911">
        <f>N183*0.025</f>
        <v>26406.8208333333</v>
      </c>
      <c r="P183" s="85">
        <v>25644.2083333333</v>
      </c>
      <c r="Q183" s="911">
        <f t="shared" si="45"/>
        <v>762.612499999952</v>
      </c>
      <c r="R183" s="911">
        <f t="shared" si="46"/>
        <v>316881.849999999</v>
      </c>
    </row>
    <row r="184" customHeight="1" spans="1:18">
      <c r="A184" s="27">
        <v>2</v>
      </c>
      <c r="B184" s="14" t="s">
        <v>302</v>
      </c>
      <c r="C184" s="4" t="s">
        <v>488</v>
      </c>
      <c r="D184" s="16" t="s">
        <v>36</v>
      </c>
      <c r="E184" s="85">
        <v>905306.75</v>
      </c>
      <c r="F184" s="16" t="s">
        <v>36</v>
      </c>
      <c r="G184" s="85">
        <v>905306.75</v>
      </c>
      <c r="H184" s="220">
        <f t="shared" ref="H184:H215" si="65">G184-E184</f>
        <v>0</v>
      </c>
      <c r="I184" s="85">
        <v>72424.54</v>
      </c>
      <c r="J184" s="85">
        <f t="shared" si="63"/>
        <v>72424.54</v>
      </c>
      <c r="K184" s="85">
        <f t="shared" si="64"/>
        <v>0</v>
      </c>
      <c r="L184" s="85">
        <f t="shared" si="44"/>
        <v>869094.48</v>
      </c>
      <c r="M184" s="16" t="s">
        <v>36</v>
      </c>
      <c r="N184" s="911">
        <v>554669.5</v>
      </c>
      <c r="O184" s="911">
        <f>N184*0.025</f>
        <v>13866.7375</v>
      </c>
      <c r="P184" s="85">
        <v>13866.7375</v>
      </c>
      <c r="Q184" s="911">
        <f t="shared" si="45"/>
        <v>0</v>
      </c>
      <c r="R184" s="911">
        <f t="shared" si="46"/>
        <v>166400.85</v>
      </c>
    </row>
    <row r="185" customHeight="1" spans="1:18">
      <c r="A185" s="27">
        <v>3</v>
      </c>
      <c r="B185" s="11" t="s">
        <v>305</v>
      </c>
      <c r="C185" s="12" t="s">
        <v>306</v>
      </c>
      <c r="D185" s="15" t="s">
        <v>42</v>
      </c>
      <c r="E185" s="85">
        <v>700713.916666666</v>
      </c>
      <c r="F185" s="15" t="s">
        <v>50</v>
      </c>
      <c r="G185" s="85">
        <v>722595.5</v>
      </c>
      <c r="H185" s="220">
        <f t="shared" si="65"/>
        <v>21881.583333334</v>
      </c>
      <c r="I185" s="85">
        <v>56057.1133333333</v>
      </c>
      <c r="J185" s="85">
        <f t="shared" si="63"/>
        <v>57807.64</v>
      </c>
      <c r="K185" s="85">
        <f t="shared" si="64"/>
        <v>1750.5266666667</v>
      </c>
      <c r="L185" s="85">
        <f t="shared" si="44"/>
        <v>693691.68</v>
      </c>
      <c r="M185" s="15" t="s">
        <v>50</v>
      </c>
      <c r="N185" s="911">
        <v>445995.833333333</v>
      </c>
      <c r="O185" s="911">
        <f>N185*0.025</f>
        <v>11149.8958333333</v>
      </c>
      <c r="P185" s="85">
        <v>10824.5270833333</v>
      </c>
      <c r="Q185" s="911">
        <f t="shared" si="45"/>
        <v>325.368750000027</v>
      </c>
      <c r="R185" s="911">
        <f t="shared" si="46"/>
        <v>133798.75</v>
      </c>
    </row>
    <row r="186" customHeight="1" spans="1:18">
      <c r="A186" s="27">
        <v>4</v>
      </c>
      <c r="B186" s="11" t="s">
        <v>307</v>
      </c>
      <c r="C186" s="4" t="s">
        <v>489</v>
      </c>
      <c r="D186" s="15" t="s">
        <v>42</v>
      </c>
      <c r="E186" s="85">
        <v>700713.916666666</v>
      </c>
      <c r="F186" s="15" t="s">
        <v>50</v>
      </c>
      <c r="G186" s="85">
        <v>722595.5</v>
      </c>
      <c r="H186" s="220">
        <f t="shared" si="65"/>
        <v>21881.583333334</v>
      </c>
      <c r="I186" s="85">
        <v>56057.1133333333</v>
      </c>
      <c r="J186" s="85">
        <f t="shared" si="63"/>
        <v>57807.64</v>
      </c>
      <c r="K186" s="85">
        <f t="shared" si="64"/>
        <v>1750.5266666667</v>
      </c>
      <c r="L186" s="85">
        <f t="shared" si="44"/>
        <v>693691.68</v>
      </c>
      <c r="M186" s="15" t="s">
        <v>50</v>
      </c>
      <c r="N186" s="911">
        <v>445995.833333333</v>
      </c>
      <c r="O186" s="911">
        <f>N186*0.025</f>
        <v>11149.8958333333</v>
      </c>
      <c r="P186" s="85">
        <v>10824.5270833333</v>
      </c>
      <c r="Q186" s="911">
        <f t="shared" si="45"/>
        <v>325.368750000027</v>
      </c>
      <c r="R186" s="911">
        <f t="shared" si="46"/>
        <v>133798.75</v>
      </c>
    </row>
    <row r="187" customHeight="1" spans="1:18">
      <c r="A187" s="27">
        <v>5</v>
      </c>
      <c r="B187" s="11" t="s">
        <v>309</v>
      </c>
      <c r="C187" s="4" t="s">
        <v>489</v>
      </c>
      <c r="D187" s="15" t="s">
        <v>42</v>
      </c>
      <c r="E187" s="85">
        <v>700713.916666666</v>
      </c>
      <c r="F187" s="15" t="s">
        <v>50</v>
      </c>
      <c r="G187" s="85">
        <v>722595.5</v>
      </c>
      <c r="H187" s="220">
        <f t="shared" si="65"/>
        <v>21881.583333334</v>
      </c>
      <c r="I187" s="85">
        <v>56057.1133333333</v>
      </c>
      <c r="J187" s="85">
        <f t="shared" si="63"/>
        <v>57807.64</v>
      </c>
      <c r="K187" s="85">
        <f t="shared" si="64"/>
        <v>1750.5266666667</v>
      </c>
      <c r="L187" s="85">
        <f t="shared" si="44"/>
        <v>693691.68</v>
      </c>
      <c r="M187" s="15" t="s">
        <v>50</v>
      </c>
      <c r="N187" s="911">
        <v>445995.833333333</v>
      </c>
      <c r="O187" s="911">
        <f>N187*0.025</f>
        <v>11149.8958333333</v>
      </c>
      <c r="P187" s="85">
        <v>10824.5270833333</v>
      </c>
      <c r="Q187" s="911">
        <f t="shared" si="45"/>
        <v>325.368750000027</v>
      </c>
      <c r="R187" s="911">
        <f t="shared" si="46"/>
        <v>133798.75</v>
      </c>
    </row>
    <row r="188" customHeight="1" spans="1:18">
      <c r="A188" s="27">
        <v>6</v>
      </c>
      <c r="B188" s="11" t="s">
        <v>310</v>
      </c>
      <c r="C188" s="4" t="s">
        <v>311</v>
      </c>
      <c r="D188" s="10" t="s">
        <v>600</v>
      </c>
      <c r="E188" s="85">
        <v>542419.5</v>
      </c>
      <c r="F188" s="10" t="s">
        <v>53</v>
      </c>
      <c r="G188" s="85">
        <v>542419.5</v>
      </c>
      <c r="H188" s="220">
        <f t="shared" si="65"/>
        <v>0</v>
      </c>
      <c r="I188" s="85">
        <v>42133.8866666667</v>
      </c>
      <c r="J188" s="85">
        <f t="shared" si="63"/>
        <v>43393.56</v>
      </c>
      <c r="K188" s="85">
        <f t="shared" si="64"/>
        <v>1259.6733333333</v>
      </c>
      <c r="L188" s="85">
        <f t="shared" si="44"/>
        <v>520722.72</v>
      </c>
      <c r="M188" s="10" t="s">
        <v>53</v>
      </c>
      <c r="N188" s="911">
        <v>338365.25</v>
      </c>
      <c r="O188" s="911"/>
      <c r="P188" s="85"/>
      <c r="Q188" s="911">
        <f t="shared" si="45"/>
        <v>0</v>
      </c>
      <c r="R188" s="911">
        <f t="shared" si="46"/>
        <v>0</v>
      </c>
    </row>
    <row r="189" customHeight="1" spans="1:18">
      <c r="A189" s="27">
        <v>7</v>
      </c>
      <c r="B189" s="11" t="s">
        <v>312</v>
      </c>
      <c r="C189" s="12" t="s">
        <v>232</v>
      </c>
      <c r="D189" s="15" t="s">
        <v>67</v>
      </c>
      <c r="E189" s="85">
        <v>482846.583333334</v>
      </c>
      <c r="F189" s="15" t="s">
        <v>64</v>
      </c>
      <c r="G189" s="85">
        <v>497472.75</v>
      </c>
      <c r="H189" s="220">
        <f t="shared" si="65"/>
        <v>14626.166666666</v>
      </c>
      <c r="I189" s="85">
        <v>39797.82</v>
      </c>
      <c r="J189" s="85">
        <f t="shared" si="63"/>
        <v>39797.82</v>
      </c>
      <c r="K189" s="85">
        <f t="shared" si="64"/>
        <v>0</v>
      </c>
      <c r="L189" s="85">
        <f t="shared" si="44"/>
        <v>477573.84</v>
      </c>
      <c r="M189" s="15" t="s">
        <v>64</v>
      </c>
      <c r="N189" s="911">
        <v>311673.25</v>
      </c>
      <c r="O189" s="911"/>
      <c r="P189" s="85"/>
      <c r="Q189" s="911">
        <f t="shared" si="45"/>
        <v>0</v>
      </c>
      <c r="R189" s="911">
        <f t="shared" si="46"/>
        <v>0</v>
      </c>
    </row>
    <row r="190" customHeight="1" spans="1:18">
      <c r="A190" s="27">
        <v>8</v>
      </c>
      <c r="B190" s="11" t="s">
        <v>313</v>
      </c>
      <c r="C190" s="4" t="s">
        <v>314</v>
      </c>
      <c r="D190" s="15" t="s">
        <v>67</v>
      </c>
      <c r="E190" s="85">
        <v>482846.583333334</v>
      </c>
      <c r="F190" s="15" t="s">
        <v>64</v>
      </c>
      <c r="G190" s="85">
        <v>497472.75</v>
      </c>
      <c r="H190" s="220">
        <f t="shared" si="65"/>
        <v>14626.166666666</v>
      </c>
      <c r="I190" s="85">
        <v>38627.7266666667</v>
      </c>
      <c r="J190" s="85">
        <f t="shared" si="63"/>
        <v>39797.82</v>
      </c>
      <c r="K190" s="85">
        <f t="shared" si="64"/>
        <v>1170.0933333333</v>
      </c>
      <c r="L190" s="85">
        <f t="shared" si="44"/>
        <v>477573.84</v>
      </c>
      <c r="M190" s="15" t="s">
        <v>64</v>
      </c>
      <c r="N190" s="911">
        <v>311673.25</v>
      </c>
      <c r="O190" s="911"/>
      <c r="P190" s="85"/>
      <c r="Q190" s="911">
        <f t="shared" si="45"/>
        <v>0</v>
      </c>
      <c r="R190" s="911">
        <f t="shared" si="46"/>
        <v>0</v>
      </c>
    </row>
    <row r="191" customHeight="1" spans="1:18">
      <c r="A191" s="27">
        <v>9</v>
      </c>
      <c r="B191" s="11" t="s">
        <v>315</v>
      </c>
      <c r="C191" s="12" t="s">
        <v>316</v>
      </c>
      <c r="D191" s="15" t="s">
        <v>67</v>
      </c>
      <c r="E191" s="85">
        <v>482846.583333334</v>
      </c>
      <c r="F191" s="15" t="s">
        <v>67</v>
      </c>
      <c r="G191" s="85">
        <v>482846.583333334</v>
      </c>
      <c r="H191" s="220">
        <f t="shared" si="65"/>
        <v>0</v>
      </c>
      <c r="I191" s="85">
        <v>38613.0133333334</v>
      </c>
      <c r="J191" s="85">
        <f t="shared" si="63"/>
        <v>38627.7266666667</v>
      </c>
      <c r="K191" s="85">
        <f t="shared" si="64"/>
        <v>14.7133333332968</v>
      </c>
      <c r="L191" s="85">
        <f t="shared" si="44"/>
        <v>463532.720000001</v>
      </c>
      <c r="M191" s="15" t="s">
        <v>67</v>
      </c>
      <c r="N191" s="911">
        <v>302987.416666667</v>
      </c>
      <c r="O191" s="911"/>
      <c r="P191" s="85"/>
      <c r="Q191" s="911">
        <f t="shared" si="45"/>
        <v>0</v>
      </c>
      <c r="R191" s="911">
        <f t="shared" si="46"/>
        <v>0</v>
      </c>
    </row>
    <row r="192" customHeight="1" spans="1:18">
      <c r="A192" s="27">
        <v>10</v>
      </c>
      <c r="B192" s="11" t="s">
        <v>317</v>
      </c>
      <c r="C192" s="12" t="s">
        <v>318</v>
      </c>
      <c r="D192" s="15" t="s">
        <v>70</v>
      </c>
      <c r="E192" s="85">
        <v>468828.166666667</v>
      </c>
      <c r="F192" s="15" t="s">
        <v>173</v>
      </c>
      <c r="G192" s="85">
        <v>482662.666666667</v>
      </c>
      <c r="H192" s="220">
        <f t="shared" si="65"/>
        <v>13834.5</v>
      </c>
      <c r="I192" s="85">
        <v>37506.2533333334</v>
      </c>
      <c r="J192" s="85">
        <f t="shared" si="63"/>
        <v>38613.0133333334</v>
      </c>
      <c r="K192" s="85">
        <f t="shared" si="64"/>
        <v>1106.76</v>
      </c>
      <c r="L192" s="85">
        <f t="shared" si="44"/>
        <v>463356.16</v>
      </c>
      <c r="M192" s="15" t="s">
        <v>173</v>
      </c>
      <c r="N192" s="911">
        <v>302878.666666667</v>
      </c>
      <c r="O192" s="911">
        <f>N192*0.025</f>
        <v>7571.96666666667</v>
      </c>
      <c r="P192" s="85">
        <v>7366.57291666668</v>
      </c>
      <c r="Q192" s="911">
        <f t="shared" si="45"/>
        <v>205.393749999995</v>
      </c>
      <c r="R192" s="911">
        <f t="shared" si="46"/>
        <v>90863.6000000001</v>
      </c>
    </row>
    <row r="193" customHeight="1" spans="1:18">
      <c r="A193" s="27">
        <v>11</v>
      </c>
      <c r="B193" s="18" t="s">
        <v>319</v>
      </c>
      <c r="C193" s="4" t="s">
        <v>320</v>
      </c>
      <c r="D193" s="15" t="s">
        <v>131</v>
      </c>
      <c r="E193" s="220">
        <v>454993.583333333</v>
      </c>
      <c r="F193" s="15" t="s">
        <v>70</v>
      </c>
      <c r="G193" s="85">
        <v>468828.166666667</v>
      </c>
      <c r="H193" s="220">
        <f t="shared" si="65"/>
        <v>13834.583333334</v>
      </c>
      <c r="I193" s="85">
        <v>36399.4866666666</v>
      </c>
      <c r="J193" s="85">
        <f t="shared" si="63"/>
        <v>37506.2533333334</v>
      </c>
      <c r="K193" s="85">
        <f t="shared" si="64"/>
        <v>1106.7666666668</v>
      </c>
      <c r="L193" s="85">
        <f t="shared" si="44"/>
        <v>450075.04</v>
      </c>
      <c r="M193" s="15" t="s">
        <v>70</v>
      </c>
      <c r="N193" s="911">
        <v>294662.916666667</v>
      </c>
      <c r="O193" s="911">
        <f>N193*0.025</f>
        <v>7366.57291666668</v>
      </c>
      <c r="P193" s="85">
        <v>7161.17708333333</v>
      </c>
      <c r="Q193" s="911">
        <f t="shared" si="45"/>
        <v>205.395833333345</v>
      </c>
      <c r="R193" s="911">
        <f t="shared" si="46"/>
        <v>88398.8750000001</v>
      </c>
    </row>
    <row r="194" customHeight="1" spans="1:18">
      <c r="A194" s="27">
        <v>12</v>
      </c>
      <c r="B194" s="11" t="s">
        <v>321</v>
      </c>
      <c r="C194" s="4" t="s">
        <v>320</v>
      </c>
      <c r="D194" s="15" t="s">
        <v>180</v>
      </c>
      <c r="E194" s="220">
        <v>441159</v>
      </c>
      <c r="F194" s="15" t="s">
        <v>131</v>
      </c>
      <c r="G194" s="220">
        <v>454993.583333333</v>
      </c>
      <c r="H194" s="220">
        <f t="shared" si="65"/>
        <v>13834.583333333</v>
      </c>
      <c r="I194" s="85">
        <v>35292.72</v>
      </c>
      <c r="J194" s="85">
        <f t="shared" si="63"/>
        <v>36399.4866666666</v>
      </c>
      <c r="K194" s="85">
        <f t="shared" si="64"/>
        <v>1106.7666666666</v>
      </c>
      <c r="L194" s="85">
        <f t="shared" si="44"/>
        <v>436793.84</v>
      </c>
      <c r="M194" s="15" t="s">
        <v>131</v>
      </c>
      <c r="N194" s="911">
        <v>286447.083333333</v>
      </c>
      <c r="O194" s="911"/>
      <c r="P194" s="85"/>
      <c r="Q194" s="911">
        <f t="shared" si="45"/>
        <v>0</v>
      </c>
      <c r="R194" s="911">
        <f t="shared" si="46"/>
        <v>0</v>
      </c>
    </row>
    <row r="195" customHeight="1" spans="1:18">
      <c r="A195" s="27">
        <v>13</v>
      </c>
      <c r="B195" s="11" t="s">
        <v>322</v>
      </c>
      <c r="C195" s="4" t="s">
        <v>320</v>
      </c>
      <c r="D195" s="15" t="s">
        <v>180</v>
      </c>
      <c r="E195" s="220">
        <v>441159</v>
      </c>
      <c r="F195" s="15" t="s">
        <v>131</v>
      </c>
      <c r="G195" s="220">
        <v>454993.583333333</v>
      </c>
      <c r="H195" s="220">
        <f t="shared" si="65"/>
        <v>13834.583333333</v>
      </c>
      <c r="I195" s="85">
        <v>35292.72</v>
      </c>
      <c r="J195" s="85">
        <f t="shared" si="63"/>
        <v>36399.4866666666</v>
      </c>
      <c r="K195" s="85">
        <f t="shared" si="64"/>
        <v>1106.7666666666</v>
      </c>
      <c r="L195" s="85">
        <f t="shared" si="44"/>
        <v>436793.84</v>
      </c>
      <c r="M195" s="15" t="s">
        <v>131</v>
      </c>
      <c r="N195" s="911">
        <v>286447.083333333</v>
      </c>
      <c r="O195" s="911">
        <f>N195*0.025</f>
        <v>7161.17708333333</v>
      </c>
      <c r="P195" s="85">
        <v>6955.78125</v>
      </c>
      <c r="Q195" s="911">
        <f t="shared" si="45"/>
        <v>205.395833333326</v>
      </c>
      <c r="R195" s="911">
        <f t="shared" si="46"/>
        <v>85934.1249999999</v>
      </c>
    </row>
    <row r="196" customHeight="1" spans="1:18">
      <c r="A196" s="27">
        <v>14</v>
      </c>
      <c r="B196" s="11" t="s">
        <v>323</v>
      </c>
      <c r="C196" s="4" t="s">
        <v>320</v>
      </c>
      <c r="D196" s="15" t="s">
        <v>180</v>
      </c>
      <c r="E196" s="220">
        <v>441159</v>
      </c>
      <c r="F196" s="15" t="s">
        <v>131</v>
      </c>
      <c r="G196" s="220">
        <v>454993.583333333</v>
      </c>
      <c r="H196" s="220">
        <f t="shared" si="65"/>
        <v>13834.583333333</v>
      </c>
      <c r="I196" s="85">
        <v>35292.72</v>
      </c>
      <c r="J196" s="85">
        <f t="shared" si="63"/>
        <v>36399.4866666666</v>
      </c>
      <c r="K196" s="85">
        <f t="shared" si="64"/>
        <v>1106.7666666666</v>
      </c>
      <c r="L196" s="85">
        <f t="shared" si="44"/>
        <v>436793.84</v>
      </c>
      <c r="M196" s="15" t="s">
        <v>131</v>
      </c>
      <c r="N196" s="911">
        <v>286447.083333333</v>
      </c>
      <c r="O196" s="911">
        <f>N196*0.025</f>
        <v>7161.17708333333</v>
      </c>
      <c r="P196" s="85">
        <v>6955.78125</v>
      </c>
      <c r="Q196" s="911">
        <f t="shared" si="45"/>
        <v>205.395833333326</v>
      </c>
      <c r="R196" s="911">
        <f t="shared" si="46"/>
        <v>85934.1249999999</v>
      </c>
    </row>
    <row r="197" customHeight="1" spans="1:18">
      <c r="A197" s="27">
        <v>15</v>
      </c>
      <c r="B197" s="11" t="s">
        <v>324</v>
      </c>
      <c r="C197" s="4" t="s">
        <v>320</v>
      </c>
      <c r="D197" s="15" t="s">
        <v>131</v>
      </c>
      <c r="E197" s="220">
        <v>454993.583333333</v>
      </c>
      <c r="F197" s="15" t="s">
        <v>70</v>
      </c>
      <c r="G197" s="85">
        <v>468828.166666667</v>
      </c>
      <c r="H197" s="220">
        <f t="shared" si="65"/>
        <v>13834.583333334</v>
      </c>
      <c r="I197" s="85">
        <v>36399.4866666666</v>
      </c>
      <c r="J197" s="85">
        <f t="shared" si="63"/>
        <v>37506.2533333334</v>
      </c>
      <c r="K197" s="85">
        <f t="shared" si="64"/>
        <v>1106.7666666668</v>
      </c>
      <c r="L197" s="85">
        <f t="shared" si="44"/>
        <v>450075.04</v>
      </c>
      <c r="M197" s="15" t="s">
        <v>70</v>
      </c>
      <c r="N197" s="911">
        <v>294662.916666667</v>
      </c>
      <c r="O197" s="911"/>
      <c r="P197" s="85"/>
      <c r="Q197" s="911">
        <f t="shared" si="45"/>
        <v>0</v>
      </c>
      <c r="R197" s="911">
        <f t="shared" si="46"/>
        <v>0</v>
      </c>
    </row>
    <row r="198" customHeight="1" spans="1:18">
      <c r="A198" s="27">
        <v>16</v>
      </c>
      <c r="B198" s="11" t="s">
        <v>325</v>
      </c>
      <c r="C198" s="12" t="s">
        <v>326</v>
      </c>
      <c r="D198" s="15" t="s">
        <v>78</v>
      </c>
      <c r="E198" s="220">
        <v>390135.833333334</v>
      </c>
      <c r="F198" s="15" t="s">
        <v>153</v>
      </c>
      <c r="G198" s="220">
        <v>399131.166666667</v>
      </c>
      <c r="H198" s="220">
        <f t="shared" si="65"/>
        <v>8995.33333333296</v>
      </c>
      <c r="I198" s="85">
        <v>31210.8666666667</v>
      </c>
      <c r="J198" s="85">
        <f t="shared" si="63"/>
        <v>31930.4933333334</v>
      </c>
      <c r="K198" s="85">
        <f t="shared" si="64"/>
        <v>719.6266666667</v>
      </c>
      <c r="L198" s="85">
        <f t="shared" si="44"/>
        <v>383165.92</v>
      </c>
      <c r="M198" s="15" t="s">
        <v>153</v>
      </c>
      <c r="N198" s="911">
        <v>251467.916666667</v>
      </c>
      <c r="O198" s="911">
        <f>N198*0.025</f>
        <v>6286.69791666668</v>
      </c>
      <c r="P198" s="85">
        <v>6154.27916666668</v>
      </c>
      <c r="Q198" s="911">
        <f t="shared" si="45"/>
        <v>132.418749999995</v>
      </c>
      <c r="R198" s="911">
        <f t="shared" si="46"/>
        <v>75440.3750000001</v>
      </c>
    </row>
    <row r="199" customHeight="1" spans="1:18">
      <c r="A199" s="27">
        <v>17</v>
      </c>
      <c r="B199" s="11" t="s">
        <v>327</v>
      </c>
      <c r="C199" s="12" t="s">
        <v>328</v>
      </c>
      <c r="D199" s="10" t="s">
        <v>81</v>
      </c>
      <c r="E199" s="85">
        <v>372145.333333333</v>
      </c>
      <c r="F199" s="10" t="s">
        <v>81</v>
      </c>
      <c r="G199" s="85">
        <v>372145.333333333</v>
      </c>
      <c r="H199" s="220">
        <f t="shared" si="65"/>
        <v>0</v>
      </c>
      <c r="I199" s="85">
        <v>29771.6266666667</v>
      </c>
      <c r="J199" s="85">
        <f t="shared" si="63"/>
        <v>29771.6266666666</v>
      </c>
      <c r="K199" s="85">
        <f t="shared" si="64"/>
        <v>-9.82254277914762e-11</v>
      </c>
      <c r="L199" s="85">
        <f t="shared" si="44"/>
        <v>357259.52</v>
      </c>
      <c r="M199" s="10" t="s">
        <v>81</v>
      </c>
      <c r="N199" s="911">
        <f>'[21] FGN 2024 MGT Monthly'!$H$39</f>
        <v>235577.833333333</v>
      </c>
      <c r="O199" s="911">
        <f>N199*0.025</f>
        <v>5889.44583333333</v>
      </c>
      <c r="P199" s="85">
        <v>5566.86458333332</v>
      </c>
      <c r="Q199" s="911">
        <f t="shared" si="45"/>
        <v>322.581250000014</v>
      </c>
      <c r="R199" s="911">
        <f t="shared" si="46"/>
        <v>70673.35</v>
      </c>
    </row>
    <row r="200" customHeight="1" spans="1:18">
      <c r="A200" s="27">
        <v>18</v>
      </c>
      <c r="B200" s="11" t="s">
        <v>329</v>
      </c>
      <c r="C200" s="4" t="s">
        <v>330</v>
      </c>
      <c r="D200" s="15" t="s">
        <v>180</v>
      </c>
      <c r="E200" s="220">
        <v>441159</v>
      </c>
      <c r="F200" s="15" t="s">
        <v>131</v>
      </c>
      <c r="G200" s="220">
        <v>454993.583333333</v>
      </c>
      <c r="H200" s="220">
        <f t="shared" si="65"/>
        <v>13834.583333333</v>
      </c>
      <c r="I200" s="85">
        <v>35292.72</v>
      </c>
      <c r="J200" s="85">
        <f t="shared" si="63"/>
        <v>36399.4866666666</v>
      </c>
      <c r="K200" s="85">
        <f t="shared" si="64"/>
        <v>1106.7666666666</v>
      </c>
      <c r="L200" s="85">
        <f t="shared" ref="L200:L249" si="66">J200*12</f>
        <v>436793.839999999</v>
      </c>
      <c r="M200" s="15" t="s">
        <v>131</v>
      </c>
      <c r="N200" s="911">
        <v>286447.083333333</v>
      </c>
      <c r="O200" s="911"/>
      <c r="P200" s="85"/>
      <c r="Q200" s="911">
        <f t="shared" si="45"/>
        <v>0</v>
      </c>
      <c r="R200" s="911">
        <f t="shared" si="46"/>
        <v>0</v>
      </c>
    </row>
    <row r="201" customHeight="1" spans="1:18">
      <c r="A201" s="27">
        <v>19</v>
      </c>
      <c r="B201" s="11" t="s">
        <v>331</v>
      </c>
      <c r="C201" s="4" t="s">
        <v>332</v>
      </c>
      <c r="D201" s="15" t="s">
        <v>81</v>
      </c>
      <c r="E201" s="85">
        <v>372145.333333333</v>
      </c>
      <c r="F201" s="15" t="s">
        <v>75</v>
      </c>
      <c r="G201" s="85">
        <v>381140.666666666</v>
      </c>
      <c r="H201" s="220">
        <f t="shared" si="65"/>
        <v>8995.33333333296</v>
      </c>
      <c r="I201" s="85">
        <v>29771.6266666667</v>
      </c>
      <c r="J201" s="85">
        <f t="shared" si="63"/>
        <v>30491.2533333333</v>
      </c>
      <c r="K201" s="85">
        <f t="shared" si="64"/>
        <v>719.626666666602</v>
      </c>
      <c r="L201" s="85">
        <f t="shared" si="66"/>
        <v>365895.04</v>
      </c>
      <c r="M201" s="15" t="s">
        <v>75</v>
      </c>
      <c r="N201" s="911">
        <v>240874.583333333</v>
      </c>
      <c r="O201" s="911">
        <f>N201*0.025</f>
        <v>6021.86458333332</v>
      </c>
      <c r="P201" s="85">
        <v>5690.39375</v>
      </c>
      <c r="Q201" s="911">
        <f t="shared" ref="Q201:Q249" si="67">O201-P201</f>
        <v>331.470833333325</v>
      </c>
      <c r="R201" s="911">
        <f t="shared" ref="R201:R249" si="68">O201*12</f>
        <v>72262.3749999999</v>
      </c>
    </row>
    <row r="202" customHeight="1" spans="1:18">
      <c r="A202" s="27">
        <v>20</v>
      </c>
      <c r="B202" s="11" t="s">
        <v>333</v>
      </c>
      <c r="C202" s="4" t="s">
        <v>330</v>
      </c>
      <c r="D202" s="15" t="s">
        <v>180</v>
      </c>
      <c r="E202" s="220">
        <v>441159</v>
      </c>
      <c r="F202" s="15" t="s">
        <v>131</v>
      </c>
      <c r="G202" s="220">
        <v>454993.583333333</v>
      </c>
      <c r="H202" s="220">
        <f t="shared" si="65"/>
        <v>13834.583333333</v>
      </c>
      <c r="I202" s="85">
        <v>35292.72</v>
      </c>
      <c r="J202" s="85">
        <f t="shared" si="63"/>
        <v>36399.4866666666</v>
      </c>
      <c r="K202" s="85">
        <f t="shared" si="64"/>
        <v>1106.7666666666</v>
      </c>
      <c r="L202" s="85">
        <f t="shared" si="66"/>
        <v>436793.839999999</v>
      </c>
      <c r="M202" s="15" t="s">
        <v>131</v>
      </c>
      <c r="N202" s="911">
        <v>286447.083333333</v>
      </c>
      <c r="O202" s="911">
        <f>N202*0.025</f>
        <v>7161.17708333333</v>
      </c>
      <c r="P202" s="85">
        <v>7722.5375</v>
      </c>
      <c r="Q202" s="911">
        <f t="shared" si="67"/>
        <v>-561.360416666675</v>
      </c>
      <c r="R202" s="911">
        <f t="shared" si="68"/>
        <v>85934.1249999999</v>
      </c>
    </row>
    <row r="203" customHeight="1" spans="1:18">
      <c r="A203" s="27">
        <v>21</v>
      </c>
      <c r="B203" s="11" t="s">
        <v>334</v>
      </c>
      <c r="C203" s="4" t="s">
        <v>335</v>
      </c>
      <c r="D203" s="15" t="s">
        <v>81</v>
      </c>
      <c r="E203" s="85">
        <v>372145.333333333</v>
      </c>
      <c r="F203" s="15" t="s">
        <v>81</v>
      </c>
      <c r="G203" s="85">
        <v>372145.333333333</v>
      </c>
      <c r="H203" s="220">
        <f t="shared" si="65"/>
        <v>0</v>
      </c>
      <c r="I203" s="85">
        <v>29771.6266666667</v>
      </c>
      <c r="J203" s="85">
        <f t="shared" si="63"/>
        <v>29771.6266666666</v>
      </c>
      <c r="K203" s="85">
        <f t="shared" si="64"/>
        <v>-9.82254277914762e-11</v>
      </c>
      <c r="L203" s="85">
        <f t="shared" si="66"/>
        <v>357259.519999999</v>
      </c>
      <c r="M203" s="15" t="s">
        <v>81</v>
      </c>
      <c r="N203" s="911">
        <f>'[21] FGN 2024 MGT Monthly'!$H$39</f>
        <v>235577.833333333</v>
      </c>
      <c r="O203" s="911"/>
      <c r="P203" s="85"/>
      <c r="Q203" s="911">
        <f t="shared" si="67"/>
        <v>0</v>
      </c>
      <c r="R203" s="911">
        <f t="shared" si="68"/>
        <v>0</v>
      </c>
    </row>
    <row r="204" customHeight="1" spans="1:18">
      <c r="A204" s="27">
        <v>22</v>
      </c>
      <c r="B204" s="18" t="s">
        <v>336</v>
      </c>
      <c r="C204" s="12" t="s">
        <v>337</v>
      </c>
      <c r="D204" s="15" t="s">
        <v>99</v>
      </c>
      <c r="E204" s="220">
        <v>338711.666666667</v>
      </c>
      <c r="F204" s="15" t="s">
        <v>86</v>
      </c>
      <c r="G204" s="220">
        <v>338711.666666667</v>
      </c>
      <c r="H204" s="220">
        <f t="shared" si="65"/>
        <v>0</v>
      </c>
      <c r="I204" s="85">
        <v>27096.9333333334</v>
      </c>
      <c r="J204" s="85">
        <f t="shared" si="63"/>
        <v>27096.9333333334</v>
      </c>
      <c r="K204" s="85">
        <f t="shared" si="64"/>
        <v>0</v>
      </c>
      <c r="L204" s="85">
        <f t="shared" si="66"/>
        <v>325163.200000001</v>
      </c>
      <c r="M204" s="15" t="s">
        <v>86</v>
      </c>
      <c r="N204" s="911">
        <v>222674.583333333</v>
      </c>
      <c r="O204" s="911">
        <f>N204*0.025</f>
        <v>5566.86458333332</v>
      </c>
      <c r="P204" s="85">
        <v>5443.33541666668</v>
      </c>
      <c r="Q204" s="911">
        <f t="shared" si="67"/>
        <v>123.529166666644</v>
      </c>
      <c r="R204" s="911">
        <f t="shared" si="68"/>
        <v>66802.3749999999</v>
      </c>
    </row>
    <row r="205" customHeight="1" spans="1:18">
      <c r="A205" s="27">
        <v>23</v>
      </c>
      <c r="B205" s="18" t="s">
        <v>338</v>
      </c>
      <c r="C205" s="12" t="s">
        <v>337</v>
      </c>
      <c r="D205" s="15" t="s">
        <v>99</v>
      </c>
      <c r="E205" s="220">
        <v>338711.666666667</v>
      </c>
      <c r="F205" s="15" t="s">
        <v>86</v>
      </c>
      <c r="G205" s="85">
        <v>347016.166666666</v>
      </c>
      <c r="H205" s="220">
        <f t="shared" si="65"/>
        <v>8304.49999999901</v>
      </c>
      <c r="I205" s="85">
        <v>27096.9333333334</v>
      </c>
      <c r="J205" s="85">
        <f t="shared" si="63"/>
        <v>27761.2933333333</v>
      </c>
      <c r="K205" s="85">
        <f t="shared" si="64"/>
        <v>664.359999999899</v>
      </c>
      <c r="L205" s="85">
        <f t="shared" si="66"/>
        <v>333135.52</v>
      </c>
      <c r="M205" s="15" t="s">
        <v>86</v>
      </c>
      <c r="N205" s="911">
        <v>222674.583333333</v>
      </c>
      <c r="O205" s="911"/>
      <c r="P205" s="85"/>
      <c r="Q205" s="911">
        <f t="shared" si="67"/>
        <v>0</v>
      </c>
      <c r="R205" s="911">
        <f t="shared" si="68"/>
        <v>0</v>
      </c>
    </row>
    <row r="206" s="1" customFormat="1" ht="18.75" customHeight="1" spans="1:18">
      <c r="A206" s="27">
        <v>24</v>
      </c>
      <c r="B206" s="18" t="s">
        <v>339</v>
      </c>
      <c r="C206" s="4" t="s">
        <v>340</v>
      </c>
      <c r="D206" s="10" t="s">
        <v>225</v>
      </c>
      <c r="E206" s="85">
        <v>330407.083333333</v>
      </c>
      <c r="F206" s="10" t="s">
        <v>99</v>
      </c>
      <c r="G206" s="220">
        <v>338711.666666667</v>
      </c>
      <c r="H206" s="220">
        <f t="shared" si="65"/>
        <v>8304.58333333395</v>
      </c>
      <c r="I206" s="85">
        <v>26432.5666666667</v>
      </c>
      <c r="J206" s="85">
        <f t="shared" si="63"/>
        <v>27096.9333333334</v>
      </c>
      <c r="K206" s="85">
        <f t="shared" si="64"/>
        <v>664.366666666701</v>
      </c>
      <c r="L206" s="85">
        <f t="shared" si="66"/>
        <v>325163.200000001</v>
      </c>
      <c r="M206" s="10" t="s">
        <v>99</v>
      </c>
      <c r="N206" s="911">
        <v>217733.416666667</v>
      </c>
      <c r="O206" s="911"/>
      <c r="P206" s="85"/>
      <c r="Q206" s="911">
        <f t="shared" si="67"/>
        <v>0</v>
      </c>
      <c r="R206" s="911">
        <f t="shared" si="68"/>
        <v>0</v>
      </c>
    </row>
    <row r="207" s="1" customFormat="1" customHeight="1" spans="1:18">
      <c r="A207" s="27">
        <v>25</v>
      </c>
      <c r="B207" s="18" t="s">
        <v>341</v>
      </c>
      <c r="C207" s="12" t="s">
        <v>342</v>
      </c>
      <c r="D207" s="15" t="s">
        <v>225</v>
      </c>
      <c r="E207" s="85">
        <v>330407.083333333</v>
      </c>
      <c r="F207" s="15" t="s">
        <v>225</v>
      </c>
      <c r="G207" s="85">
        <v>330407.083333333</v>
      </c>
      <c r="H207" s="220">
        <f t="shared" si="65"/>
        <v>0</v>
      </c>
      <c r="I207" s="684">
        <v>26432.5666666667</v>
      </c>
      <c r="J207" s="85">
        <f t="shared" si="63"/>
        <v>26432.5666666666</v>
      </c>
      <c r="K207" s="85">
        <f t="shared" si="64"/>
        <v>-9.82254277914762e-11</v>
      </c>
      <c r="L207" s="85">
        <f t="shared" si="66"/>
        <v>317190.799999999</v>
      </c>
      <c r="M207" s="15" t="s">
        <v>225</v>
      </c>
      <c r="N207" s="85">
        <f>'[21] FGN 2024 MGT Monthly'!$H$38</f>
        <v>212792.166666667</v>
      </c>
      <c r="O207" s="911"/>
      <c r="P207" s="4"/>
      <c r="Q207" s="911">
        <f t="shared" si="67"/>
        <v>0</v>
      </c>
      <c r="R207" s="911">
        <f t="shared" si="68"/>
        <v>0</v>
      </c>
    </row>
    <row r="208" customHeight="1" spans="1:18">
      <c r="A208" s="27">
        <v>26</v>
      </c>
      <c r="B208" s="18" t="s">
        <v>343</v>
      </c>
      <c r="C208" s="12" t="s">
        <v>344</v>
      </c>
      <c r="D208" s="15" t="s">
        <v>108</v>
      </c>
      <c r="E208" s="85">
        <v>301910.75</v>
      </c>
      <c r="F208" s="15" t="s">
        <v>105</v>
      </c>
      <c r="G208" s="85">
        <v>308920.666666667</v>
      </c>
      <c r="H208" s="220">
        <f t="shared" si="65"/>
        <v>7009.91666666698</v>
      </c>
      <c r="I208" s="85">
        <v>24152.86</v>
      </c>
      <c r="J208" s="85">
        <f t="shared" si="63"/>
        <v>24713.6533333334</v>
      </c>
      <c r="K208" s="85">
        <f t="shared" si="64"/>
        <v>560.7933333334</v>
      </c>
      <c r="L208" s="85">
        <f t="shared" si="66"/>
        <v>296563.840000001</v>
      </c>
      <c r="M208" s="15" t="s">
        <v>105</v>
      </c>
      <c r="N208" s="911">
        <v>200549.416666667</v>
      </c>
      <c r="O208" s="911">
        <f>N208*0.025</f>
        <v>5013.73541666668</v>
      </c>
      <c r="P208" s="912">
        <v>4909.11041666668</v>
      </c>
      <c r="Q208" s="911">
        <f t="shared" si="67"/>
        <v>104.624999999995</v>
      </c>
      <c r="R208" s="911">
        <f t="shared" si="68"/>
        <v>60164.8250000001</v>
      </c>
    </row>
    <row r="209" customHeight="1" spans="1:18">
      <c r="A209" s="27">
        <v>27</v>
      </c>
      <c r="B209" s="18" t="s">
        <v>345</v>
      </c>
      <c r="C209" s="12" t="s">
        <v>346</v>
      </c>
      <c r="D209" s="15" t="s">
        <v>108</v>
      </c>
      <c r="E209" s="85">
        <v>301910.75</v>
      </c>
      <c r="F209" s="15" t="s">
        <v>105</v>
      </c>
      <c r="G209" s="85">
        <v>308920.666666667</v>
      </c>
      <c r="H209" s="220">
        <f t="shared" si="65"/>
        <v>7009.91666666698</v>
      </c>
      <c r="I209" s="85">
        <v>24152.86</v>
      </c>
      <c r="J209" s="85">
        <f t="shared" si="63"/>
        <v>24713.6533333334</v>
      </c>
      <c r="K209" s="85">
        <f t="shared" si="64"/>
        <v>560.7933333334</v>
      </c>
      <c r="L209" s="85">
        <f t="shared" si="66"/>
        <v>296563.840000001</v>
      </c>
      <c r="M209" s="15" t="s">
        <v>105</v>
      </c>
      <c r="N209" s="911">
        <v>200549.416666667</v>
      </c>
      <c r="O209" s="911">
        <f>N209*0.025</f>
        <v>5013.73541666668</v>
      </c>
      <c r="P209" s="85">
        <v>4909.11041666668</v>
      </c>
      <c r="Q209" s="911">
        <f t="shared" si="67"/>
        <v>104.624999999995</v>
      </c>
      <c r="R209" s="911">
        <f t="shared" si="68"/>
        <v>60164.8250000001</v>
      </c>
    </row>
    <row r="210" customHeight="1" spans="1:18">
      <c r="A210" s="27">
        <v>28</v>
      </c>
      <c r="B210" s="18" t="s">
        <v>347</v>
      </c>
      <c r="C210" s="12" t="s">
        <v>348</v>
      </c>
      <c r="D210" s="15" t="s">
        <v>108</v>
      </c>
      <c r="E210" s="85">
        <v>301910.75</v>
      </c>
      <c r="F210" s="15" t="s">
        <v>105</v>
      </c>
      <c r="G210" s="85">
        <v>308920.666666667</v>
      </c>
      <c r="H210" s="220">
        <f t="shared" si="65"/>
        <v>7009.91666666698</v>
      </c>
      <c r="I210" s="85">
        <v>24152.86</v>
      </c>
      <c r="J210" s="85">
        <f t="shared" si="63"/>
        <v>24713.6533333334</v>
      </c>
      <c r="K210" s="85">
        <f t="shared" si="64"/>
        <v>560.7933333334</v>
      </c>
      <c r="L210" s="85">
        <f t="shared" si="66"/>
        <v>296563.840000001</v>
      </c>
      <c r="M210" s="15" t="s">
        <v>105</v>
      </c>
      <c r="N210" s="911">
        <v>200549.416666667</v>
      </c>
      <c r="O210" s="911">
        <f>N210*0.025</f>
        <v>5013.73541666668</v>
      </c>
      <c r="P210" s="85">
        <v>4909.11041666668</v>
      </c>
      <c r="Q210" s="911">
        <f t="shared" si="67"/>
        <v>104.624999999995</v>
      </c>
      <c r="R210" s="911">
        <f t="shared" si="68"/>
        <v>60164.8250000001</v>
      </c>
    </row>
    <row r="211" customHeight="1" spans="1:18">
      <c r="A211" s="27">
        <v>29</v>
      </c>
      <c r="B211" s="18" t="s">
        <v>349</v>
      </c>
      <c r="C211" s="4" t="s">
        <v>88</v>
      </c>
      <c r="D211" s="10" t="s">
        <v>225</v>
      </c>
      <c r="E211" s="85">
        <v>330408.083333333</v>
      </c>
      <c r="F211" s="10" t="s">
        <v>225</v>
      </c>
      <c r="G211" s="85">
        <v>330408.083333333</v>
      </c>
      <c r="H211" s="220">
        <f t="shared" si="65"/>
        <v>0</v>
      </c>
      <c r="I211" s="85">
        <v>24713.6533333334</v>
      </c>
      <c r="J211" s="85">
        <f t="shared" si="63"/>
        <v>26432.6466666666</v>
      </c>
      <c r="K211" s="85">
        <f t="shared" si="64"/>
        <v>1718.9933333332</v>
      </c>
      <c r="L211" s="85">
        <f t="shared" si="66"/>
        <v>317191.759999999</v>
      </c>
      <c r="M211" s="10" t="s">
        <v>225</v>
      </c>
      <c r="N211" s="85">
        <f>'[21] FGN 2024 MGT Monthly'!$H$38</f>
        <v>212792.166666667</v>
      </c>
      <c r="O211" s="911">
        <f>N211*0.025</f>
        <v>5319.80416666667</v>
      </c>
      <c r="P211" s="85">
        <v>5013.73541666668</v>
      </c>
      <c r="Q211" s="911">
        <f t="shared" si="67"/>
        <v>306.068749999987</v>
      </c>
      <c r="R211" s="911">
        <f t="shared" si="68"/>
        <v>63837.65</v>
      </c>
    </row>
    <row r="212" customHeight="1" spans="1:18">
      <c r="A212" s="27">
        <v>30</v>
      </c>
      <c r="B212" s="18" t="s">
        <v>350</v>
      </c>
      <c r="C212" s="12" t="s">
        <v>346</v>
      </c>
      <c r="D212" s="15" t="s">
        <v>108</v>
      </c>
      <c r="E212" s="85">
        <v>301910.75</v>
      </c>
      <c r="F212" s="15" t="s">
        <v>105</v>
      </c>
      <c r="G212" s="85">
        <v>308920.666666667</v>
      </c>
      <c r="H212" s="220">
        <f t="shared" si="65"/>
        <v>7009.91666666698</v>
      </c>
      <c r="I212" s="85">
        <v>24152.86</v>
      </c>
      <c r="J212" s="85">
        <f t="shared" si="63"/>
        <v>24713.6533333334</v>
      </c>
      <c r="K212" s="85">
        <f t="shared" si="64"/>
        <v>560.7933333334</v>
      </c>
      <c r="L212" s="85">
        <f t="shared" si="66"/>
        <v>296563.840000001</v>
      </c>
      <c r="M212" s="15" t="s">
        <v>105</v>
      </c>
      <c r="N212" s="911">
        <v>200549.416666667</v>
      </c>
      <c r="O212" s="911">
        <f>N212*0.025</f>
        <v>5013.73541666668</v>
      </c>
      <c r="P212" s="85">
        <v>4909.11041666668</v>
      </c>
      <c r="Q212" s="911">
        <f t="shared" si="67"/>
        <v>104.624999999995</v>
      </c>
      <c r="R212" s="911">
        <f t="shared" si="68"/>
        <v>60164.8250000001</v>
      </c>
    </row>
    <row r="213" customHeight="1" spans="1:18">
      <c r="A213" s="27">
        <v>31</v>
      </c>
      <c r="B213" s="18" t="s">
        <v>351</v>
      </c>
      <c r="C213" s="12" t="s">
        <v>352</v>
      </c>
      <c r="D213" s="15" t="s">
        <v>111</v>
      </c>
      <c r="E213" s="680">
        <v>294900.833333334</v>
      </c>
      <c r="F213" s="15" t="s">
        <v>108</v>
      </c>
      <c r="G213" s="85">
        <v>301910.75</v>
      </c>
      <c r="H213" s="220">
        <f t="shared" si="65"/>
        <v>7009.91666666599</v>
      </c>
      <c r="I213" s="684">
        <v>23592.0666666667</v>
      </c>
      <c r="J213" s="85">
        <f t="shared" si="63"/>
        <v>24152.86</v>
      </c>
      <c r="K213" s="85">
        <f t="shared" si="64"/>
        <v>560.793333333302</v>
      </c>
      <c r="L213" s="85">
        <f t="shared" si="66"/>
        <v>289834.32</v>
      </c>
      <c r="M213" s="15" t="s">
        <v>108</v>
      </c>
      <c r="N213" s="911">
        <v>196364.416666667</v>
      </c>
      <c r="O213" s="911"/>
      <c r="P213" s="85"/>
      <c r="Q213" s="911">
        <f t="shared" si="67"/>
        <v>0</v>
      </c>
      <c r="R213" s="911">
        <f t="shared" si="68"/>
        <v>0</v>
      </c>
    </row>
    <row r="214" customHeight="1" spans="1:18">
      <c r="A214" s="27">
        <v>32</v>
      </c>
      <c r="B214" s="18" t="s">
        <v>353</v>
      </c>
      <c r="C214" s="12" t="s">
        <v>352</v>
      </c>
      <c r="D214" s="15" t="s">
        <v>111</v>
      </c>
      <c r="E214" s="680">
        <v>294900.833333334</v>
      </c>
      <c r="F214" s="15" t="s">
        <v>108</v>
      </c>
      <c r="G214" s="85">
        <v>301910.75</v>
      </c>
      <c r="H214" s="220">
        <f t="shared" si="65"/>
        <v>7009.91666666599</v>
      </c>
      <c r="I214" s="684">
        <v>23592.0666666667</v>
      </c>
      <c r="J214" s="85">
        <f t="shared" si="63"/>
        <v>24152.86</v>
      </c>
      <c r="K214" s="85">
        <f t="shared" si="64"/>
        <v>560.793333333302</v>
      </c>
      <c r="L214" s="85">
        <f t="shared" si="66"/>
        <v>289834.32</v>
      </c>
      <c r="M214" s="15" t="s">
        <v>108</v>
      </c>
      <c r="N214" s="911">
        <v>196364.416666667</v>
      </c>
      <c r="O214" s="911"/>
      <c r="P214" s="85"/>
      <c r="Q214" s="911">
        <f t="shared" si="67"/>
        <v>0</v>
      </c>
      <c r="R214" s="911">
        <f t="shared" si="68"/>
        <v>0</v>
      </c>
    </row>
    <row r="215" s="1" customFormat="1" customHeight="1" spans="1:18">
      <c r="A215" s="27">
        <v>33</v>
      </c>
      <c r="B215" s="18" t="s">
        <v>482</v>
      </c>
      <c r="C215" s="12" t="s">
        <v>605</v>
      </c>
      <c r="D215" s="15" t="s">
        <v>275</v>
      </c>
      <c r="E215" s="85">
        <v>287890.916666667</v>
      </c>
      <c r="F215" s="15" t="s">
        <v>275</v>
      </c>
      <c r="G215" s="680">
        <v>294900.833333334</v>
      </c>
      <c r="H215" s="220"/>
      <c r="I215" s="684"/>
      <c r="J215" s="85"/>
      <c r="K215" s="1021"/>
      <c r="L215" s="1021"/>
      <c r="M215" s="1022"/>
      <c r="N215" s="680"/>
      <c r="O215" s="911"/>
      <c r="P215" s="4"/>
      <c r="Q215" s="911">
        <f t="shared" si="67"/>
        <v>0</v>
      </c>
      <c r="R215" s="911">
        <f t="shared" si="68"/>
        <v>0</v>
      </c>
    </row>
    <row r="216" s="1" customFormat="1" customHeight="1" spans="1:18">
      <c r="A216" s="27">
        <v>34</v>
      </c>
      <c r="B216" s="18" t="s">
        <v>354</v>
      </c>
      <c r="C216" s="12" t="s">
        <v>342</v>
      </c>
      <c r="D216" s="15" t="s">
        <v>275</v>
      </c>
      <c r="E216" s="85">
        <v>287890.916666667</v>
      </c>
      <c r="F216" s="15" t="s">
        <v>111</v>
      </c>
      <c r="G216" s="680">
        <v>294900.833333334</v>
      </c>
      <c r="H216" s="220">
        <f t="shared" ref="H216:H249" si="69">G216-E216</f>
        <v>7009.91666666704</v>
      </c>
      <c r="I216" s="684">
        <v>23031.2733333333</v>
      </c>
      <c r="J216" s="85">
        <f t="shared" si="63"/>
        <v>23592.0666666667</v>
      </c>
      <c r="K216" s="85">
        <f t="shared" si="64"/>
        <v>560.793333333397</v>
      </c>
      <c r="L216" s="85">
        <f t="shared" si="66"/>
        <v>283104.8</v>
      </c>
      <c r="M216" s="15" t="s">
        <v>111</v>
      </c>
      <c r="N216" s="911">
        <v>192179.416666667</v>
      </c>
      <c r="O216" s="911"/>
      <c r="P216" s="4"/>
      <c r="Q216" s="911">
        <f t="shared" si="67"/>
        <v>0</v>
      </c>
      <c r="R216" s="911">
        <f t="shared" si="68"/>
        <v>0</v>
      </c>
    </row>
    <row r="217" s="1" customFormat="1" customHeight="1" spans="1:18">
      <c r="A217" s="27">
        <v>35</v>
      </c>
      <c r="B217" s="18" t="s">
        <v>355</v>
      </c>
      <c r="C217" s="12" t="s">
        <v>342</v>
      </c>
      <c r="D217" s="15" t="s">
        <v>275</v>
      </c>
      <c r="E217" s="85">
        <v>287890.916666667</v>
      </c>
      <c r="F217" s="15" t="s">
        <v>111</v>
      </c>
      <c r="G217" s="680">
        <v>294900.833333334</v>
      </c>
      <c r="H217" s="220">
        <f t="shared" si="69"/>
        <v>7009.91666666704</v>
      </c>
      <c r="I217" s="684">
        <v>23031.2733333333</v>
      </c>
      <c r="J217" s="85">
        <f t="shared" si="63"/>
        <v>23592.0666666667</v>
      </c>
      <c r="K217" s="85">
        <f t="shared" si="64"/>
        <v>560.793333333397</v>
      </c>
      <c r="L217" s="85">
        <f t="shared" si="66"/>
        <v>283104.8</v>
      </c>
      <c r="M217" s="15" t="s">
        <v>111</v>
      </c>
      <c r="N217" s="911">
        <v>192179.416666667</v>
      </c>
      <c r="O217" s="911"/>
      <c r="P217" s="4"/>
      <c r="Q217" s="911">
        <f t="shared" si="67"/>
        <v>0</v>
      </c>
      <c r="R217" s="911">
        <f t="shared" si="68"/>
        <v>0</v>
      </c>
    </row>
    <row r="218" s="1" customFormat="1" customHeight="1" spans="1:18">
      <c r="A218" s="27">
        <v>36</v>
      </c>
      <c r="B218" s="18" t="s">
        <v>356</v>
      </c>
      <c r="C218" s="12" t="s">
        <v>342</v>
      </c>
      <c r="D218" s="15" t="s">
        <v>275</v>
      </c>
      <c r="E218" s="85">
        <v>287890.916666667</v>
      </c>
      <c r="F218" s="15" t="s">
        <v>111</v>
      </c>
      <c r="G218" s="680">
        <v>294900.833333334</v>
      </c>
      <c r="H218" s="220">
        <f t="shared" si="69"/>
        <v>7009.91666666704</v>
      </c>
      <c r="I218" s="684">
        <v>23031.2733333333</v>
      </c>
      <c r="J218" s="85">
        <f t="shared" si="63"/>
        <v>23592.0666666667</v>
      </c>
      <c r="K218" s="85">
        <f t="shared" si="64"/>
        <v>560.793333333397</v>
      </c>
      <c r="L218" s="85">
        <f t="shared" si="66"/>
        <v>283104.8</v>
      </c>
      <c r="M218" s="15" t="s">
        <v>111</v>
      </c>
      <c r="N218" s="911">
        <v>192179.416666667</v>
      </c>
      <c r="O218" s="911"/>
      <c r="P218" s="4"/>
      <c r="Q218" s="911">
        <f t="shared" si="67"/>
        <v>0</v>
      </c>
      <c r="R218" s="911">
        <f t="shared" si="68"/>
        <v>0</v>
      </c>
    </row>
    <row r="219" s="1" customFormat="1" customHeight="1" spans="1:18">
      <c r="A219" s="27">
        <v>37</v>
      </c>
      <c r="B219" s="18" t="s">
        <v>357</v>
      </c>
      <c r="C219" s="12" t="s">
        <v>342</v>
      </c>
      <c r="D219" s="15" t="s">
        <v>275</v>
      </c>
      <c r="E219" s="85">
        <v>287890.916666667</v>
      </c>
      <c r="F219" s="15" t="s">
        <v>275</v>
      </c>
      <c r="G219" s="85">
        <v>287890.916666667</v>
      </c>
      <c r="H219" s="220">
        <f t="shared" si="69"/>
        <v>0</v>
      </c>
      <c r="I219" s="684">
        <v>23031.2733333333</v>
      </c>
      <c r="J219" s="85">
        <f t="shared" si="63"/>
        <v>23031.2733333334</v>
      </c>
      <c r="K219" s="85">
        <f t="shared" si="64"/>
        <v>9.82254277914762e-11</v>
      </c>
      <c r="L219" s="85">
        <f t="shared" si="66"/>
        <v>276375.280000001</v>
      </c>
      <c r="M219" s="15" t="s">
        <v>275</v>
      </c>
      <c r="N219" s="911">
        <v>187994.416666667</v>
      </c>
      <c r="O219" s="911"/>
      <c r="P219" s="4"/>
      <c r="Q219" s="911">
        <f t="shared" si="67"/>
        <v>0</v>
      </c>
      <c r="R219" s="911">
        <f t="shared" si="68"/>
        <v>0</v>
      </c>
    </row>
    <row r="220" s="1" customFormat="1" customHeight="1" spans="1:18">
      <c r="A220" s="27">
        <v>38</v>
      </c>
      <c r="B220" s="18" t="s">
        <v>358</v>
      </c>
      <c r="C220" s="12" t="s">
        <v>342</v>
      </c>
      <c r="D220" s="15" t="s">
        <v>275</v>
      </c>
      <c r="E220" s="85">
        <v>287890.916666667</v>
      </c>
      <c r="F220" s="15" t="s">
        <v>275</v>
      </c>
      <c r="G220" s="85">
        <v>287890.916666667</v>
      </c>
      <c r="H220" s="220">
        <f t="shared" si="69"/>
        <v>0</v>
      </c>
      <c r="I220" s="684">
        <v>23031.2733333333</v>
      </c>
      <c r="J220" s="85">
        <f t="shared" si="63"/>
        <v>23031.2733333334</v>
      </c>
      <c r="K220" s="85">
        <f t="shared" si="64"/>
        <v>9.82254277914762e-11</v>
      </c>
      <c r="L220" s="85">
        <f t="shared" si="66"/>
        <v>276375.280000001</v>
      </c>
      <c r="M220" s="15" t="s">
        <v>275</v>
      </c>
      <c r="N220" s="911">
        <v>187994.416666667</v>
      </c>
      <c r="O220" s="911"/>
      <c r="P220" s="4"/>
      <c r="Q220" s="911">
        <f t="shared" si="67"/>
        <v>0</v>
      </c>
      <c r="R220" s="911">
        <f t="shared" si="68"/>
        <v>0</v>
      </c>
    </row>
    <row r="221" customHeight="1" spans="1:18">
      <c r="A221" s="27">
        <v>39</v>
      </c>
      <c r="B221" s="11" t="s">
        <v>359</v>
      </c>
      <c r="C221" s="12" t="s">
        <v>512</v>
      </c>
      <c r="D221" s="15" t="s">
        <v>372</v>
      </c>
      <c r="E221" s="226">
        <v>237717.166666666</v>
      </c>
      <c r="F221" s="15" t="s">
        <v>361</v>
      </c>
      <c r="G221" s="226">
        <v>255667.083333333</v>
      </c>
      <c r="H221" s="220">
        <f t="shared" si="69"/>
        <v>17949.9166666673</v>
      </c>
      <c r="I221" s="85">
        <v>19017.3733333333</v>
      </c>
      <c r="J221" s="85">
        <f t="shared" si="63"/>
        <v>20453.3666666666</v>
      </c>
      <c r="K221" s="85">
        <f t="shared" si="64"/>
        <v>1435.9933333333</v>
      </c>
      <c r="L221" s="85">
        <f t="shared" si="66"/>
        <v>245440.399999999</v>
      </c>
      <c r="M221" s="15" t="s">
        <v>361</v>
      </c>
      <c r="N221" s="226">
        <f>'[21] FGN 2024 MGT Monthly'!$K$36</f>
        <v>170118.25</v>
      </c>
      <c r="O221" s="911">
        <f>N221*0.025</f>
        <v>4252.95625</v>
      </c>
      <c r="P221" s="85">
        <v>3982.21458333333</v>
      </c>
      <c r="Q221" s="911">
        <f t="shared" si="67"/>
        <v>270.74166666667</v>
      </c>
      <c r="R221" s="911">
        <f t="shared" si="68"/>
        <v>51035.475</v>
      </c>
    </row>
    <row r="222" customHeight="1" spans="1:18">
      <c r="A222" s="27">
        <v>40</v>
      </c>
      <c r="B222" s="11" t="s">
        <v>362</v>
      </c>
      <c r="C222" s="12" t="s">
        <v>512</v>
      </c>
      <c r="D222" s="15" t="s">
        <v>372</v>
      </c>
      <c r="E222" s="226">
        <v>237717.166666666</v>
      </c>
      <c r="F222" s="15" t="s">
        <v>361</v>
      </c>
      <c r="G222" s="226">
        <v>255667.083333333</v>
      </c>
      <c r="H222" s="220">
        <f t="shared" si="69"/>
        <v>17949.9166666673</v>
      </c>
      <c r="I222" s="85">
        <v>19017.3733333333</v>
      </c>
      <c r="J222" s="85">
        <f t="shared" si="63"/>
        <v>20453.3666666666</v>
      </c>
      <c r="K222" s="85">
        <f t="shared" si="64"/>
        <v>1435.9933333333</v>
      </c>
      <c r="L222" s="85">
        <f t="shared" si="66"/>
        <v>245440.399999999</v>
      </c>
      <c r="M222" s="15" t="s">
        <v>361</v>
      </c>
      <c r="N222" s="226">
        <v>170118.25</v>
      </c>
      <c r="O222" s="911"/>
      <c r="P222" s="85"/>
      <c r="Q222" s="911">
        <f t="shared" si="67"/>
        <v>0</v>
      </c>
      <c r="R222" s="911">
        <f t="shared" si="68"/>
        <v>0</v>
      </c>
    </row>
    <row r="223" customHeight="1" spans="1:18">
      <c r="A223" s="27">
        <v>41</v>
      </c>
      <c r="B223" s="11" t="s">
        <v>363</v>
      </c>
      <c r="C223" s="12" t="s">
        <v>512</v>
      </c>
      <c r="D223" s="15" t="s">
        <v>372</v>
      </c>
      <c r="E223" s="226">
        <v>237717.166666666</v>
      </c>
      <c r="F223" s="15" t="s">
        <v>361</v>
      </c>
      <c r="G223" s="226">
        <v>255667.083333333</v>
      </c>
      <c r="H223" s="220">
        <f t="shared" si="69"/>
        <v>17949.9166666673</v>
      </c>
      <c r="I223" s="85">
        <v>19017.3733333333</v>
      </c>
      <c r="J223" s="85">
        <f t="shared" si="63"/>
        <v>20453.3666666666</v>
      </c>
      <c r="K223" s="85">
        <f t="shared" si="64"/>
        <v>1435.9933333333</v>
      </c>
      <c r="L223" s="85">
        <f t="shared" si="66"/>
        <v>245440.399999999</v>
      </c>
      <c r="M223" s="15" t="s">
        <v>361</v>
      </c>
      <c r="N223" s="226">
        <v>170118.25</v>
      </c>
      <c r="O223" s="911">
        <f>N223*0.025</f>
        <v>4252.95625</v>
      </c>
      <c r="P223" s="85">
        <v>3982.21458333333</v>
      </c>
      <c r="Q223" s="911">
        <f t="shared" si="67"/>
        <v>270.74166666667</v>
      </c>
      <c r="R223" s="911">
        <f t="shared" si="68"/>
        <v>51035.475</v>
      </c>
    </row>
    <row r="224" customHeight="1" spans="1:18">
      <c r="A224" s="27">
        <v>42</v>
      </c>
      <c r="B224" s="11" t="s">
        <v>364</v>
      </c>
      <c r="C224" s="12" t="s">
        <v>512</v>
      </c>
      <c r="D224" s="15" t="s">
        <v>372</v>
      </c>
      <c r="E224" s="226">
        <v>237717.166666666</v>
      </c>
      <c r="F224" s="15" t="s">
        <v>361</v>
      </c>
      <c r="G224" s="226">
        <v>255667.083333333</v>
      </c>
      <c r="H224" s="220">
        <f t="shared" si="69"/>
        <v>17949.9166666673</v>
      </c>
      <c r="I224" s="85">
        <v>19017.3733333333</v>
      </c>
      <c r="J224" s="85">
        <f t="shared" si="63"/>
        <v>20453.3666666666</v>
      </c>
      <c r="K224" s="85">
        <f t="shared" si="64"/>
        <v>1435.9933333333</v>
      </c>
      <c r="L224" s="85">
        <f t="shared" si="66"/>
        <v>245440.399999999</v>
      </c>
      <c r="M224" s="15" t="s">
        <v>361</v>
      </c>
      <c r="N224" s="226">
        <v>170118.25</v>
      </c>
      <c r="O224" s="911"/>
      <c r="P224" s="85"/>
      <c r="Q224" s="911">
        <f t="shared" si="67"/>
        <v>0</v>
      </c>
      <c r="R224" s="911">
        <f t="shared" si="68"/>
        <v>0</v>
      </c>
    </row>
    <row r="225" customHeight="1" spans="1:18">
      <c r="A225" s="27">
        <v>43</v>
      </c>
      <c r="B225" s="11" t="s">
        <v>365</v>
      </c>
      <c r="C225" s="12" t="s">
        <v>512</v>
      </c>
      <c r="D225" s="15" t="s">
        <v>384</v>
      </c>
      <c r="E225" s="226">
        <v>231733.833333334</v>
      </c>
      <c r="F225" s="15" t="s">
        <v>366</v>
      </c>
      <c r="G225" s="226">
        <v>249683.75</v>
      </c>
      <c r="H225" s="220">
        <f t="shared" si="69"/>
        <v>17949.916666666</v>
      </c>
      <c r="I225" s="85">
        <v>18538.7066666667</v>
      </c>
      <c r="J225" s="85">
        <f t="shared" si="63"/>
        <v>19974.7</v>
      </c>
      <c r="K225" s="85">
        <f t="shared" si="64"/>
        <v>1435.9933333333</v>
      </c>
      <c r="L225" s="85">
        <f t="shared" si="66"/>
        <v>239696.4</v>
      </c>
      <c r="M225" s="15" t="s">
        <v>366</v>
      </c>
      <c r="N225" s="226">
        <f>'[21] FGN 2024 MGT Monthly'!$J$36</f>
        <v>166508.333333333</v>
      </c>
      <c r="O225" s="911"/>
      <c r="P225" s="85"/>
      <c r="Q225" s="911">
        <f t="shared" si="67"/>
        <v>0</v>
      </c>
      <c r="R225" s="911">
        <f t="shared" si="68"/>
        <v>0</v>
      </c>
    </row>
    <row r="226" customHeight="1" spans="1:18">
      <c r="A226" s="27">
        <v>44</v>
      </c>
      <c r="B226" s="11" t="s">
        <v>367</v>
      </c>
      <c r="C226" s="12" t="s">
        <v>512</v>
      </c>
      <c r="D226" s="15" t="s">
        <v>384</v>
      </c>
      <c r="E226" s="226">
        <v>231733.833333334</v>
      </c>
      <c r="F226" s="15" t="s">
        <v>366</v>
      </c>
      <c r="G226" s="226">
        <v>249683.75</v>
      </c>
      <c r="H226" s="220">
        <f t="shared" si="69"/>
        <v>17949.916666666</v>
      </c>
      <c r="I226" s="85">
        <v>18538.7066666667</v>
      </c>
      <c r="J226" s="85">
        <f t="shared" si="63"/>
        <v>19974.7</v>
      </c>
      <c r="K226" s="85">
        <f t="shared" si="64"/>
        <v>1435.9933333333</v>
      </c>
      <c r="L226" s="85">
        <f t="shared" si="66"/>
        <v>239696.4</v>
      </c>
      <c r="M226" s="15" t="s">
        <v>366</v>
      </c>
      <c r="N226" s="226">
        <f>'[21] FGN 2024 MGT Monthly'!$J$36</f>
        <v>166508.333333333</v>
      </c>
      <c r="O226" s="911"/>
      <c r="P226" s="85"/>
      <c r="Q226" s="911">
        <f t="shared" si="67"/>
        <v>0</v>
      </c>
      <c r="R226" s="911">
        <f t="shared" si="68"/>
        <v>0</v>
      </c>
    </row>
    <row r="227" customHeight="1" spans="1:18">
      <c r="A227" s="27">
        <v>45</v>
      </c>
      <c r="B227" s="14" t="s">
        <v>368</v>
      </c>
      <c r="C227" s="12" t="s">
        <v>512</v>
      </c>
      <c r="D227" s="15" t="s">
        <v>384</v>
      </c>
      <c r="E227" s="226">
        <v>231733.833333334</v>
      </c>
      <c r="F227" s="15" t="s">
        <v>366</v>
      </c>
      <c r="G227" s="226">
        <v>249683.75</v>
      </c>
      <c r="H227" s="220">
        <f t="shared" si="69"/>
        <v>17949.916666666</v>
      </c>
      <c r="I227" s="85">
        <v>18538.7066666667</v>
      </c>
      <c r="J227" s="85">
        <f t="shared" si="63"/>
        <v>19974.7</v>
      </c>
      <c r="K227" s="85">
        <f t="shared" si="64"/>
        <v>1435.9933333333</v>
      </c>
      <c r="L227" s="85">
        <f t="shared" si="66"/>
        <v>239696.4</v>
      </c>
      <c r="M227" s="15" t="s">
        <v>366</v>
      </c>
      <c r="N227" s="226">
        <f>'[21] FGN 2024 MGT Monthly'!$J$36</f>
        <v>166508.333333333</v>
      </c>
      <c r="O227" s="911"/>
      <c r="P227" s="85"/>
      <c r="Q227" s="911">
        <f t="shared" si="67"/>
        <v>0</v>
      </c>
      <c r="R227" s="911">
        <f t="shared" si="68"/>
        <v>0</v>
      </c>
    </row>
    <row r="228" customHeight="1" spans="1:18">
      <c r="A228" s="27">
        <v>46</v>
      </c>
      <c r="B228" s="11" t="s">
        <v>369</v>
      </c>
      <c r="C228" s="12" t="s">
        <v>512</v>
      </c>
      <c r="D228" s="15" t="s">
        <v>384</v>
      </c>
      <c r="E228" s="226">
        <v>231733.833333334</v>
      </c>
      <c r="F228" s="15" t="s">
        <v>366</v>
      </c>
      <c r="G228" s="226">
        <v>249683.75</v>
      </c>
      <c r="H228" s="220">
        <f t="shared" si="69"/>
        <v>17949.916666666</v>
      </c>
      <c r="I228" s="85">
        <v>18538.7066666667</v>
      </c>
      <c r="J228" s="85">
        <f t="shared" si="63"/>
        <v>19974.7</v>
      </c>
      <c r="K228" s="85">
        <f t="shared" si="64"/>
        <v>1435.9933333333</v>
      </c>
      <c r="L228" s="85">
        <f t="shared" si="66"/>
        <v>239696.4</v>
      </c>
      <c r="M228" s="15" t="s">
        <v>366</v>
      </c>
      <c r="N228" s="226">
        <f>'[21] FGN 2024 MGT Monthly'!$J$36</f>
        <v>166508.333333333</v>
      </c>
      <c r="O228" s="911"/>
      <c r="P228" s="85"/>
      <c r="Q228" s="911">
        <f t="shared" si="67"/>
        <v>0</v>
      </c>
      <c r="R228" s="911">
        <f t="shared" si="68"/>
        <v>0</v>
      </c>
    </row>
    <row r="229" customHeight="1" spans="1:18">
      <c r="A229" s="27">
        <v>47</v>
      </c>
      <c r="B229" s="18" t="s">
        <v>370</v>
      </c>
      <c r="C229" s="12" t="s">
        <v>512</v>
      </c>
      <c r="D229" s="15" t="s">
        <v>384</v>
      </c>
      <c r="E229" s="226">
        <v>231733.833333334</v>
      </c>
      <c r="F229" s="15" t="s">
        <v>366</v>
      </c>
      <c r="G229" s="226">
        <v>249683.75</v>
      </c>
      <c r="H229" s="220">
        <f t="shared" si="69"/>
        <v>17949.916666666</v>
      </c>
      <c r="I229" s="85">
        <v>18538.7066666667</v>
      </c>
      <c r="J229" s="85">
        <f t="shared" si="63"/>
        <v>19974.7</v>
      </c>
      <c r="K229" s="85">
        <f t="shared" si="64"/>
        <v>1435.9933333333</v>
      </c>
      <c r="L229" s="85">
        <f t="shared" si="66"/>
        <v>239696.4</v>
      </c>
      <c r="M229" s="15" t="s">
        <v>366</v>
      </c>
      <c r="N229" s="226">
        <f>'[21] FGN 2024 MGT Monthly'!$J$36</f>
        <v>166508.333333333</v>
      </c>
      <c r="O229" s="911"/>
      <c r="P229" s="85"/>
      <c r="Q229" s="911">
        <f t="shared" si="67"/>
        <v>0</v>
      </c>
      <c r="R229" s="911">
        <f t="shared" si="68"/>
        <v>0</v>
      </c>
    </row>
    <row r="230" customHeight="1" spans="1:18">
      <c r="A230" s="27">
        <v>48</v>
      </c>
      <c r="B230" s="11" t="s">
        <v>371</v>
      </c>
      <c r="C230" s="12" t="s">
        <v>360</v>
      </c>
      <c r="D230" s="15" t="s">
        <v>606</v>
      </c>
      <c r="E230" s="85">
        <v>219767.333333333</v>
      </c>
      <c r="F230" s="15" t="s">
        <v>372</v>
      </c>
      <c r="G230" s="85">
        <v>237717.166666667</v>
      </c>
      <c r="H230" s="220">
        <f t="shared" si="69"/>
        <v>17949.8333333337</v>
      </c>
      <c r="I230" s="85">
        <v>17581.3866666666</v>
      </c>
      <c r="J230" s="85">
        <f t="shared" si="63"/>
        <v>19017.3733333334</v>
      </c>
      <c r="K230" s="85">
        <f t="shared" si="64"/>
        <v>1435.9866666668</v>
      </c>
      <c r="L230" s="85">
        <f t="shared" si="66"/>
        <v>228208.480000001</v>
      </c>
      <c r="M230" s="15" t="s">
        <v>372</v>
      </c>
      <c r="N230" s="922">
        <v>159288.583333333</v>
      </c>
      <c r="O230" s="911"/>
      <c r="P230" s="85"/>
      <c r="Q230" s="911">
        <f t="shared" si="67"/>
        <v>0</v>
      </c>
      <c r="R230" s="911">
        <f t="shared" si="68"/>
        <v>0</v>
      </c>
    </row>
    <row r="231" customHeight="1" spans="1:18">
      <c r="A231" s="27">
        <v>49</v>
      </c>
      <c r="B231" s="11" t="s">
        <v>373</v>
      </c>
      <c r="C231" s="12" t="s">
        <v>360</v>
      </c>
      <c r="D231" s="15" t="s">
        <v>606</v>
      </c>
      <c r="E231" s="85">
        <v>219767.333333333</v>
      </c>
      <c r="F231" s="15" t="s">
        <v>372</v>
      </c>
      <c r="G231" s="85">
        <v>237717.166666667</v>
      </c>
      <c r="H231" s="220">
        <f t="shared" si="69"/>
        <v>17949.8333333337</v>
      </c>
      <c r="I231" s="85">
        <v>17581.3866666666</v>
      </c>
      <c r="J231" s="85">
        <f t="shared" si="63"/>
        <v>19017.3733333334</v>
      </c>
      <c r="K231" s="85">
        <f t="shared" si="64"/>
        <v>1435.9866666668</v>
      </c>
      <c r="L231" s="85">
        <f t="shared" si="66"/>
        <v>228208.480000001</v>
      </c>
      <c r="M231" s="15" t="s">
        <v>372</v>
      </c>
      <c r="N231" s="922">
        <v>159288.583333333</v>
      </c>
      <c r="O231" s="911"/>
      <c r="P231" s="85"/>
      <c r="Q231" s="911">
        <f t="shared" si="67"/>
        <v>0</v>
      </c>
      <c r="R231" s="911">
        <f t="shared" si="68"/>
        <v>0</v>
      </c>
    </row>
    <row r="232" customHeight="1" spans="1:18">
      <c r="A232" s="27">
        <v>50</v>
      </c>
      <c r="B232" s="18" t="s">
        <v>374</v>
      </c>
      <c r="C232" s="12" t="s">
        <v>360</v>
      </c>
      <c r="D232" s="15" t="s">
        <v>377</v>
      </c>
      <c r="E232" s="85">
        <v>225750.583333333</v>
      </c>
      <c r="F232" s="15" t="s">
        <v>375</v>
      </c>
      <c r="G232" s="85">
        <f>'[21]Peculiar Allowance'!$I$36+'[21] FGN 2024 MGT Monthly'!$I$36</f>
        <v>243700.416666667</v>
      </c>
      <c r="H232" s="220">
        <f t="shared" si="69"/>
        <v>17949.8333333337</v>
      </c>
      <c r="I232" s="85">
        <v>18060.0466666666</v>
      </c>
      <c r="J232" s="85">
        <f t="shared" si="63"/>
        <v>19496.0333333333</v>
      </c>
      <c r="K232" s="85">
        <f t="shared" si="64"/>
        <v>1435.98666666673</v>
      </c>
      <c r="L232" s="85">
        <f t="shared" si="66"/>
        <v>233952.4</v>
      </c>
      <c r="M232" s="15" t="s">
        <v>375</v>
      </c>
      <c r="N232" s="85">
        <f>'[21] FGN 2024 MGT Monthly'!$I$36</f>
        <v>162898.416666667</v>
      </c>
      <c r="O232" s="911"/>
      <c r="P232" s="85"/>
      <c r="Q232" s="911">
        <f t="shared" si="67"/>
        <v>0</v>
      </c>
      <c r="R232" s="911">
        <f t="shared" si="68"/>
        <v>0</v>
      </c>
    </row>
    <row r="233" customHeight="1" spans="1:18">
      <c r="A233" s="27">
        <v>51</v>
      </c>
      <c r="B233" s="11" t="s">
        <v>376</v>
      </c>
      <c r="C233" s="12" t="s">
        <v>513</v>
      </c>
      <c r="D233" s="15" t="s">
        <v>607</v>
      </c>
      <c r="E233" s="85">
        <v>213784</v>
      </c>
      <c r="F233" s="15" t="s">
        <v>377</v>
      </c>
      <c r="G233" s="85">
        <v>225750.583333333</v>
      </c>
      <c r="H233" s="220">
        <f t="shared" si="69"/>
        <v>11966.583333333</v>
      </c>
      <c r="I233" s="85">
        <v>17102.72</v>
      </c>
      <c r="J233" s="85">
        <f t="shared" si="63"/>
        <v>18060.0466666666</v>
      </c>
      <c r="K233" s="85">
        <f t="shared" si="64"/>
        <v>957.326666666599</v>
      </c>
      <c r="L233" s="85">
        <f t="shared" si="66"/>
        <v>216720.559999999</v>
      </c>
      <c r="M233" s="15" t="s">
        <v>377</v>
      </c>
      <c r="N233" s="85">
        <v>152068.833333333</v>
      </c>
      <c r="O233" s="911"/>
      <c r="P233" s="85"/>
      <c r="Q233" s="911">
        <f t="shared" si="67"/>
        <v>0</v>
      </c>
      <c r="R233" s="911">
        <f t="shared" si="68"/>
        <v>0</v>
      </c>
    </row>
    <row r="234" customHeight="1" spans="1:18">
      <c r="A234" s="27">
        <v>52</v>
      </c>
      <c r="B234" s="11" t="s">
        <v>378</v>
      </c>
      <c r="C234" s="12" t="s">
        <v>513</v>
      </c>
      <c r="D234" s="15" t="s">
        <v>607</v>
      </c>
      <c r="E234" s="85">
        <v>213784</v>
      </c>
      <c r="F234" s="15" t="s">
        <v>377</v>
      </c>
      <c r="G234" s="85">
        <v>225750.583333333</v>
      </c>
      <c r="H234" s="220">
        <f t="shared" si="69"/>
        <v>11966.583333333</v>
      </c>
      <c r="I234" s="85">
        <v>17102.72</v>
      </c>
      <c r="J234" s="85">
        <f t="shared" si="63"/>
        <v>18060.0466666666</v>
      </c>
      <c r="K234" s="85">
        <f t="shared" si="64"/>
        <v>957.326666666599</v>
      </c>
      <c r="L234" s="85">
        <f t="shared" si="66"/>
        <v>216720.559999999</v>
      </c>
      <c r="M234" s="15" t="s">
        <v>377</v>
      </c>
      <c r="N234" s="85">
        <v>152068.833333333</v>
      </c>
      <c r="O234" s="911"/>
      <c r="P234" s="85"/>
      <c r="Q234" s="911">
        <f t="shared" si="67"/>
        <v>0</v>
      </c>
      <c r="R234" s="911">
        <f t="shared" si="68"/>
        <v>0</v>
      </c>
    </row>
    <row r="235" customHeight="1" spans="1:18">
      <c r="A235" s="27">
        <v>53</v>
      </c>
      <c r="B235" s="11" t="s">
        <v>379</v>
      </c>
      <c r="C235" s="12" t="s">
        <v>513</v>
      </c>
      <c r="D235" s="15" t="s">
        <v>607</v>
      </c>
      <c r="E235" s="85">
        <v>213784</v>
      </c>
      <c r="F235" s="15" t="s">
        <v>377</v>
      </c>
      <c r="G235" s="85">
        <v>225750.583333333</v>
      </c>
      <c r="H235" s="220">
        <f t="shared" si="69"/>
        <v>11966.583333333</v>
      </c>
      <c r="I235" s="85">
        <v>17102.72</v>
      </c>
      <c r="J235" s="85">
        <f t="shared" si="63"/>
        <v>18060.0466666666</v>
      </c>
      <c r="K235" s="85">
        <f t="shared" si="64"/>
        <v>957.326666666599</v>
      </c>
      <c r="L235" s="85">
        <f t="shared" si="66"/>
        <v>216720.559999999</v>
      </c>
      <c r="M235" s="15" t="s">
        <v>377</v>
      </c>
      <c r="N235" s="85">
        <v>152068.833333333</v>
      </c>
      <c r="O235" s="911"/>
      <c r="P235" s="85"/>
      <c r="Q235" s="911">
        <f t="shared" si="67"/>
        <v>0</v>
      </c>
      <c r="R235" s="911">
        <f t="shared" si="68"/>
        <v>0</v>
      </c>
    </row>
    <row r="236" customHeight="1" spans="1:18">
      <c r="A236" s="27">
        <v>54</v>
      </c>
      <c r="B236" s="11" t="s">
        <v>380</v>
      </c>
      <c r="C236" s="12" t="s">
        <v>513</v>
      </c>
      <c r="D236" s="15" t="s">
        <v>607</v>
      </c>
      <c r="E236" s="85">
        <v>213784</v>
      </c>
      <c r="F236" s="15" t="s">
        <v>377</v>
      </c>
      <c r="G236" s="85">
        <v>225750.583333333</v>
      </c>
      <c r="H236" s="220">
        <f t="shared" si="69"/>
        <v>11966.583333333</v>
      </c>
      <c r="I236" s="85">
        <v>17102.72</v>
      </c>
      <c r="J236" s="85">
        <f t="shared" si="63"/>
        <v>18060.0466666666</v>
      </c>
      <c r="K236" s="85">
        <f t="shared" si="64"/>
        <v>957.326666666599</v>
      </c>
      <c r="L236" s="85">
        <f t="shared" si="66"/>
        <v>216720.559999999</v>
      </c>
      <c r="M236" s="15" t="s">
        <v>377</v>
      </c>
      <c r="N236" s="85">
        <v>152068.833333333</v>
      </c>
      <c r="O236" s="911"/>
      <c r="P236" s="85"/>
      <c r="Q236" s="911">
        <f t="shared" si="67"/>
        <v>0</v>
      </c>
      <c r="R236" s="911">
        <f t="shared" si="68"/>
        <v>0</v>
      </c>
    </row>
    <row r="237" customHeight="1" spans="1:18">
      <c r="A237" s="27">
        <v>55</v>
      </c>
      <c r="B237" s="11" t="s">
        <v>381</v>
      </c>
      <c r="C237" s="12" t="s">
        <v>513</v>
      </c>
      <c r="D237" s="15" t="s">
        <v>607</v>
      </c>
      <c r="E237" s="85">
        <v>213784</v>
      </c>
      <c r="F237" s="15" t="s">
        <v>377</v>
      </c>
      <c r="G237" s="85">
        <v>225750.583333333</v>
      </c>
      <c r="H237" s="220">
        <f t="shared" si="69"/>
        <v>11966.583333333</v>
      </c>
      <c r="I237" s="85">
        <v>17102.72</v>
      </c>
      <c r="J237" s="85">
        <f t="shared" si="63"/>
        <v>18060.0466666666</v>
      </c>
      <c r="K237" s="85">
        <f t="shared" si="64"/>
        <v>957.326666666599</v>
      </c>
      <c r="L237" s="85">
        <f t="shared" si="66"/>
        <v>216720.559999999</v>
      </c>
      <c r="M237" s="15" t="s">
        <v>377</v>
      </c>
      <c r="N237" s="85">
        <v>152068.833333333</v>
      </c>
      <c r="O237" s="911"/>
      <c r="P237" s="85"/>
      <c r="Q237" s="911">
        <f t="shared" si="67"/>
        <v>0</v>
      </c>
      <c r="R237" s="911">
        <f t="shared" si="68"/>
        <v>0</v>
      </c>
    </row>
    <row r="238" customHeight="1" spans="1:18">
      <c r="A238" s="27">
        <v>56</v>
      </c>
      <c r="B238" s="11" t="s">
        <v>382</v>
      </c>
      <c r="C238" s="12" t="s">
        <v>513</v>
      </c>
      <c r="D238" s="15" t="s">
        <v>607</v>
      </c>
      <c r="E238" s="85">
        <v>213784</v>
      </c>
      <c r="F238" s="15" t="s">
        <v>377</v>
      </c>
      <c r="G238" s="85">
        <v>225750.583333333</v>
      </c>
      <c r="H238" s="220">
        <f t="shared" si="69"/>
        <v>11966.583333333</v>
      </c>
      <c r="I238" s="85">
        <v>17102.72</v>
      </c>
      <c r="J238" s="85">
        <f t="shared" si="63"/>
        <v>18060.0466666666</v>
      </c>
      <c r="K238" s="85">
        <f t="shared" si="64"/>
        <v>957.326666666599</v>
      </c>
      <c r="L238" s="85">
        <f t="shared" si="66"/>
        <v>216720.559999999</v>
      </c>
      <c r="M238" s="15" t="s">
        <v>377</v>
      </c>
      <c r="N238" s="85">
        <v>152068.833333333</v>
      </c>
      <c r="O238" s="911"/>
      <c r="P238" s="85"/>
      <c r="Q238" s="911">
        <f t="shared" si="67"/>
        <v>0</v>
      </c>
      <c r="R238" s="911">
        <f t="shared" si="68"/>
        <v>0</v>
      </c>
    </row>
    <row r="239" customHeight="1" spans="1:18">
      <c r="A239" s="27">
        <v>57</v>
      </c>
      <c r="B239" s="18" t="s">
        <v>383</v>
      </c>
      <c r="C239" s="12" t="s">
        <v>513</v>
      </c>
      <c r="D239" s="15" t="s">
        <v>607</v>
      </c>
      <c r="E239" s="85">
        <v>213784</v>
      </c>
      <c r="F239" s="15" t="s">
        <v>384</v>
      </c>
      <c r="G239" s="85">
        <v>231733.833333334</v>
      </c>
      <c r="H239" s="220">
        <f t="shared" si="69"/>
        <v>17949.833333334</v>
      </c>
      <c r="I239" s="85">
        <v>17102.72</v>
      </c>
      <c r="J239" s="85">
        <f t="shared" si="63"/>
        <v>18538.7066666667</v>
      </c>
      <c r="K239" s="85">
        <f t="shared" si="64"/>
        <v>1435.9866666667</v>
      </c>
      <c r="L239" s="85">
        <f t="shared" si="66"/>
        <v>222464.48</v>
      </c>
      <c r="M239" s="15" t="s">
        <v>384</v>
      </c>
      <c r="N239" s="922">
        <v>155678.666666667</v>
      </c>
      <c r="O239" s="911"/>
      <c r="P239" s="85"/>
      <c r="Q239" s="911">
        <f t="shared" si="67"/>
        <v>0</v>
      </c>
      <c r="R239" s="911">
        <f t="shared" si="68"/>
        <v>0</v>
      </c>
    </row>
    <row r="240" customHeight="1" spans="1:18">
      <c r="A240" s="27">
        <v>58</v>
      </c>
      <c r="B240" s="18" t="s">
        <v>385</v>
      </c>
      <c r="C240" s="12" t="s">
        <v>514</v>
      </c>
      <c r="D240" s="15" t="s">
        <v>608</v>
      </c>
      <c r="E240" s="85">
        <v>146356.75</v>
      </c>
      <c r="F240" s="15" t="s">
        <v>388</v>
      </c>
      <c r="G240" s="85">
        <v>149217.75</v>
      </c>
      <c r="H240" s="220">
        <f t="shared" si="69"/>
        <v>2861</v>
      </c>
      <c r="I240" s="85">
        <v>11708.54</v>
      </c>
      <c r="J240" s="85">
        <f t="shared" si="63"/>
        <v>11937.42</v>
      </c>
      <c r="K240" s="85">
        <f t="shared" si="64"/>
        <v>228.879999999999</v>
      </c>
      <c r="L240" s="85">
        <f t="shared" si="66"/>
        <v>143249.04</v>
      </c>
      <c r="M240" s="15" t="s">
        <v>388</v>
      </c>
      <c r="N240" s="85">
        <f>'[21] FGN 2024 MGT Monthly'!$M$34</f>
        <v>102619.5</v>
      </c>
      <c r="O240" s="911"/>
      <c r="P240" s="85"/>
      <c r="Q240" s="911">
        <f t="shared" si="67"/>
        <v>0</v>
      </c>
      <c r="R240" s="911">
        <f t="shared" si="68"/>
        <v>0</v>
      </c>
    </row>
    <row r="241" customHeight="1" spans="1:18">
      <c r="A241" s="27">
        <v>59</v>
      </c>
      <c r="B241" s="11" t="s">
        <v>386</v>
      </c>
      <c r="C241" s="12" t="s">
        <v>387</v>
      </c>
      <c r="D241" s="15" t="s">
        <v>608</v>
      </c>
      <c r="E241" s="85">
        <v>146356.75</v>
      </c>
      <c r="F241" s="15" t="s">
        <v>388</v>
      </c>
      <c r="G241" s="85">
        <v>149217.75</v>
      </c>
      <c r="H241" s="220">
        <f t="shared" si="69"/>
        <v>2861</v>
      </c>
      <c r="I241" s="85">
        <v>11708.54</v>
      </c>
      <c r="J241" s="85">
        <f t="shared" si="63"/>
        <v>11937.42</v>
      </c>
      <c r="K241" s="85">
        <f t="shared" si="64"/>
        <v>228.879999999999</v>
      </c>
      <c r="L241" s="85">
        <f t="shared" si="66"/>
        <v>143249.04</v>
      </c>
      <c r="M241" s="15" t="s">
        <v>388</v>
      </c>
      <c r="N241" s="85">
        <f>'[21] FGN 2024 MGT Monthly'!$M$34</f>
        <v>102619.5</v>
      </c>
      <c r="O241" s="911"/>
      <c r="P241" s="85"/>
      <c r="Q241" s="911">
        <f t="shared" si="67"/>
        <v>0</v>
      </c>
      <c r="R241" s="911">
        <f t="shared" si="68"/>
        <v>0</v>
      </c>
    </row>
    <row r="242" customHeight="1" spans="1:18">
      <c r="A242" s="27">
        <v>60</v>
      </c>
      <c r="B242" s="18" t="s">
        <v>389</v>
      </c>
      <c r="C242" s="12" t="s">
        <v>390</v>
      </c>
      <c r="D242" s="15" t="s">
        <v>393</v>
      </c>
      <c r="E242" s="85">
        <v>137773.5</v>
      </c>
      <c r="F242" s="15" t="s">
        <v>391</v>
      </c>
      <c r="G242" s="85">
        <v>140634.666666667</v>
      </c>
      <c r="H242" s="220">
        <f t="shared" si="69"/>
        <v>2861.16666666701</v>
      </c>
      <c r="I242" s="85">
        <v>11021.88</v>
      </c>
      <c r="J242" s="85">
        <f t="shared" si="63"/>
        <v>11250.7733333334</v>
      </c>
      <c r="K242" s="85">
        <f t="shared" si="64"/>
        <v>228.893333333401</v>
      </c>
      <c r="L242" s="85">
        <f t="shared" si="66"/>
        <v>135009.280000001</v>
      </c>
      <c r="M242" s="15" t="s">
        <v>391</v>
      </c>
      <c r="N242" s="85">
        <f>'[21] FGN 2024 MGT Monthly'!$J$34</f>
        <v>97920.6666666667</v>
      </c>
      <c r="O242" s="911"/>
      <c r="P242" s="85"/>
      <c r="Q242" s="911">
        <f t="shared" si="67"/>
        <v>0</v>
      </c>
      <c r="R242" s="911">
        <f t="shared" si="68"/>
        <v>0</v>
      </c>
    </row>
    <row r="243" customHeight="1" spans="1:18">
      <c r="A243" s="27">
        <v>61</v>
      </c>
      <c r="B243" s="18" t="s">
        <v>392</v>
      </c>
      <c r="C243" s="12" t="s">
        <v>390</v>
      </c>
      <c r="D243" s="15" t="s">
        <v>395</v>
      </c>
      <c r="E243" s="85">
        <v>134912.666666667</v>
      </c>
      <c r="F243" s="15" t="s">
        <v>393</v>
      </c>
      <c r="G243" s="85">
        <v>137773.5</v>
      </c>
      <c r="H243" s="220">
        <f t="shared" si="69"/>
        <v>2860.83333333299</v>
      </c>
      <c r="I243" s="85">
        <v>10793.0133333333</v>
      </c>
      <c r="J243" s="85">
        <f t="shared" si="63"/>
        <v>11021.88</v>
      </c>
      <c r="K243" s="85">
        <f t="shared" si="64"/>
        <v>228.8666666667</v>
      </c>
      <c r="L243" s="85">
        <f t="shared" si="66"/>
        <v>132262.56</v>
      </c>
      <c r="M243" s="15" t="s">
        <v>393</v>
      </c>
      <c r="N243" s="922">
        <v>96354.25</v>
      </c>
      <c r="O243" s="911"/>
      <c r="P243" s="85"/>
      <c r="Q243" s="911">
        <f t="shared" si="67"/>
        <v>0</v>
      </c>
      <c r="R243" s="911">
        <f t="shared" si="68"/>
        <v>0</v>
      </c>
    </row>
    <row r="244" customHeight="1" spans="1:18">
      <c r="A244" s="27">
        <v>62</v>
      </c>
      <c r="B244" s="18" t="s">
        <v>394</v>
      </c>
      <c r="C244" s="12" t="s">
        <v>390</v>
      </c>
      <c r="D244" s="15" t="s">
        <v>395</v>
      </c>
      <c r="E244" s="85">
        <v>134912.666666667</v>
      </c>
      <c r="F244" s="15" t="s">
        <v>395</v>
      </c>
      <c r="G244" s="85">
        <v>134912.666666667</v>
      </c>
      <c r="H244" s="220">
        <f t="shared" si="69"/>
        <v>0</v>
      </c>
      <c r="I244" s="85">
        <v>10793.0133333333</v>
      </c>
      <c r="J244" s="85">
        <f t="shared" si="63"/>
        <v>10793.0133333334</v>
      </c>
      <c r="K244" s="85">
        <f t="shared" si="64"/>
        <v>1.00044417195022e-10</v>
      </c>
      <c r="L244" s="85">
        <f t="shared" si="66"/>
        <v>129516.160000001</v>
      </c>
      <c r="M244" s="15" t="s">
        <v>395</v>
      </c>
      <c r="N244" s="922">
        <v>94788.1666666667</v>
      </c>
      <c r="O244" s="911"/>
      <c r="P244" s="85"/>
      <c r="Q244" s="911">
        <f t="shared" si="67"/>
        <v>0</v>
      </c>
      <c r="R244" s="911">
        <f t="shared" si="68"/>
        <v>0</v>
      </c>
    </row>
    <row r="245" customHeight="1" spans="1:18">
      <c r="A245" s="27">
        <v>63</v>
      </c>
      <c r="B245" s="18" t="s">
        <v>396</v>
      </c>
      <c r="C245" s="12" t="s">
        <v>397</v>
      </c>
      <c r="D245" s="15" t="s">
        <v>609</v>
      </c>
      <c r="E245" s="85">
        <v>129049.416666667</v>
      </c>
      <c r="F245" s="15" t="s">
        <v>398</v>
      </c>
      <c r="G245" s="85">
        <v>131512.166666667</v>
      </c>
      <c r="H245" s="220">
        <f t="shared" si="69"/>
        <v>2462.74999999965</v>
      </c>
      <c r="I245" s="85">
        <v>10323.9533333333</v>
      </c>
      <c r="J245" s="85">
        <f t="shared" si="63"/>
        <v>10520.9733333334</v>
      </c>
      <c r="K245" s="85">
        <f t="shared" si="64"/>
        <v>197.0200000001</v>
      </c>
      <c r="L245" s="85">
        <f t="shared" si="66"/>
        <v>126251.680000001</v>
      </c>
      <c r="M245" s="15" t="s">
        <v>398</v>
      </c>
      <c r="N245" s="85">
        <f>'[21] FGN 2024 MGT Monthly'!$K$33</f>
        <v>92926.5</v>
      </c>
      <c r="O245" s="911"/>
      <c r="P245" s="85"/>
      <c r="Q245" s="911">
        <f t="shared" si="67"/>
        <v>0</v>
      </c>
      <c r="R245" s="911">
        <f t="shared" si="68"/>
        <v>0</v>
      </c>
    </row>
    <row r="246" customHeight="1" spans="1:18">
      <c r="A246" s="27">
        <v>64</v>
      </c>
      <c r="B246" s="18" t="s">
        <v>399</v>
      </c>
      <c r="C246" s="12" t="s">
        <v>397</v>
      </c>
      <c r="D246" s="15" t="s">
        <v>609</v>
      </c>
      <c r="E246" s="85">
        <v>129049.416666667</v>
      </c>
      <c r="F246" s="15" t="s">
        <v>398</v>
      </c>
      <c r="G246" s="85">
        <v>131512.166666667</v>
      </c>
      <c r="H246" s="220">
        <f t="shared" si="69"/>
        <v>2462.74999999965</v>
      </c>
      <c r="I246" s="85">
        <v>10323.9533333333</v>
      </c>
      <c r="J246" s="85">
        <f t="shared" si="63"/>
        <v>10520.9733333334</v>
      </c>
      <c r="K246" s="85">
        <f t="shared" si="64"/>
        <v>197.0200000001</v>
      </c>
      <c r="L246" s="85">
        <f t="shared" si="66"/>
        <v>126251.680000001</v>
      </c>
      <c r="M246" s="15" t="s">
        <v>398</v>
      </c>
      <c r="N246" s="85">
        <f>'[21] FGN 2024 MGT Monthly'!$K$33</f>
        <v>92926.5</v>
      </c>
      <c r="O246" s="911"/>
      <c r="P246" s="85"/>
      <c r="Q246" s="911">
        <f t="shared" si="67"/>
        <v>0</v>
      </c>
      <c r="R246" s="911">
        <f t="shared" si="68"/>
        <v>0</v>
      </c>
    </row>
    <row r="247" customHeight="1" spans="1:18">
      <c r="A247" s="27">
        <v>65</v>
      </c>
      <c r="B247" s="18" t="s">
        <v>400</v>
      </c>
      <c r="C247" s="12" t="s">
        <v>397</v>
      </c>
      <c r="D247" s="15" t="s">
        <v>609</v>
      </c>
      <c r="E247" s="85">
        <v>129049.416666667</v>
      </c>
      <c r="F247" s="15" t="s">
        <v>398</v>
      </c>
      <c r="G247" s="85">
        <v>131512.166666667</v>
      </c>
      <c r="H247" s="220">
        <f t="shared" si="69"/>
        <v>2462.74999999965</v>
      </c>
      <c r="I247" s="85">
        <v>10323.9533333333</v>
      </c>
      <c r="J247" s="85">
        <f t="shared" ref="J247:J249" si="70">G247*0.08</f>
        <v>10520.9733333333</v>
      </c>
      <c r="K247" s="85">
        <f t="shared" ref="K247:K249" si="71">J247-I247</f>
        <v>197.020000000033</v>
      </c>
      <c r="L247" s="85">
        <f t="shared" si="66"/>
        <v>126251.68</v>
      </c>
      <c r="M247" s="15" t="s">
        <v>398</v>
      </c>
      <c r="N247" s="85">
        <f>'[21] FGN 2024 MGT Monthly'!$K$33</f>
        <v>92926.5</v>
      </c>
      <c r="O247" s="911"/>
      <c r="P247" s="85"/>
      <c r="Q247" s="911">
        <f t="shared" si="67"/>
        <v>0</v>
      </c>
      <c r="R247" s="911">
        <f t="shared" si="68"/>
        <v>0</v>
      </c>
    </row>
    <row r="248" customHeight="1" spans="1:18">
      <c r="A248" s="27">
        <v>66</v>
      </c>
      <c r="B248" s="18" t="s">
        <v>401</v>
      </c>
      <c r="C248" s="12" t="s">
        <v>402</v>
      </c>
      <c r="D248" s="15" t="s">
        <v>391</v>
      </c>
      <c r="E248" s="85">
        <v>140634.666666667</v>
      </c>
      <c r="F248" s="15" t="s">
        <v>403</v>
      </c>
      <c r="G248" s="85">
        <v>143495.666666667</v>
      </c>
      <c r="H248" s="220">
        <f t="shared" si="69"/>
        <v>2860.99999999968</v>
      </c>
      <c r="I248" s="85">
        <v>11250.7733333333</v>
      </c>
      <c r="J248" s="85">
        <f t="shared" si="70"/>
        <v>11479.6533333333</v>
      </c>
      <c r="K248" s="85">
        <f t="shared" si="71"/>
        <v>228.880000000036</v>
      </c>
      <c r="L248" s="85">
        <f t="shared" si="66"/>
        <v>137755.84</v>
      </c>
      <c r="M248" s="15" t="s">
        <v>403</v>
      </c>
      <c r="N248" s="922">
        <v>99486.9166666667</v>
      </c>
      <c r="O248" s="911">
        <f>N248*0.025</f>
        <v>2487.17291666667</v>
      </c>
      <c r="P248" s="85">
        <f>2448.02</f>
        <v>2448.02</v>
      </c>
      <c r="Q248" s="911">
        <f t="shared" si="67"/>
        <v>39.1529166666678</v>
      </c>
      <c r="R248" s="911">
        <f t="shared" si="68"/>
        <v>29846.075</v>
      </c>
    </row>
    <row r="249" customHeight="1" spans="1:18">
      <c r="A249" s="27">
        <v>67</v>
      </c>
      <c r="B249" s="18" t="s">
        <v>404</v>
      </c>
      <c r="C249" s="12" t="s">
        <v>402</v>
      </c>
      <c r="D249" s="15" t="s">
        <v>391</v>
      </c>
      <c r="E249" s="85">
        <v>140634.666666667</v>
      </c>
      <c r="F249" s="15" t="s">
        <v>403</v>
      </c>
      <c r="G249" s="85">
        <v>143495.666666667</v>
      </c>
      <c r="H249" s="220">
        <f t="shared" si="69"/>
        <v>2860.99999999968</v>
      </c>
      <c r="I249" s="85">
        <v>11250.7733333333</v>
      </c>
      <c r="J249" s="85">
        <f t="shared" si="70"/>
        <v>11479.6533333333</v>
      </c>
      <c r="K249" s="85">
        <f t="shared" si="71"/>
        <v>228.880000000036</v>
      </c>
      <c r="L249" s="85">
        <f t="shared" si="66"/>
        <v>137755.84</v>
      </c>
      <c r="M249" s="15" t="s">
        <v>403</v>
      </c>
      <c r="N249" s="922">
        <v>99486.9166666667</v>
      </c>
      <c r="O249" s="911"/>
      <c r="P249" s="85"/>
      <c r="Q249" s="911">
        <f t="shared" si="67"/>
        <v>0</v>
      </c>
      <c r="R249" s="911">
        <f t="shared" si="68"/>
        <v>0</v>
      </c>
    </row>
    <row r="250" ht="30.75" customHeight="1" spans="1:18">
      <c r="A250" s="27"/>
      <c r="B250" s="8" t="s">
        <v>120</v>
      </c>
      <c r="C250" s="28" t="s">
        <v>610</v>
      </c>
      <c r="D250" s="29"/>
      <c r="E250" s="93">
        <f t="shared" ref="E250:L250" si="72">SUM(E183:E249)</f>
        <v>22570678.6666667</v>
      </c>
      <c r="F250" s="93"/>
      <c r="G250" s="93">
        <f t="shared" si="72"/>
        <v>23260400.9166667</v>
      </c>
      <c r="H250" s="93">
        <f t="shared" si="72"/>
        <v>682712.333333328</v>
      </c>
      <c r="I250" s="93">
        <f t="shared" si="72"/>
        <v>1780799.73333333</v>
      </c>
      <c r="J250" s="93">
        <f t="shared" si="72"/>
        <v>1837240.00666667</v>
      </c>
      <c r="K250" s="93">
        <f t="shared" si="72"/>
        <v>56440.2733333329</v>
      </c>
      <c r="L250" s="93">
        <f t="shared" ref="L250:R250" si="73">SUM(L183:L249)</f>
        <v>22046880.08</v>
      </c>
      <c r="M250" s="93">
        <f t="shared" si="73"/>
        <v>0</v>
      </c>
      <c r="N250" s="93">
        <f t="shared" si="73"/>
        <v>14772324.9166667</v>
      </c>
      <c r="O250" s="93">
        <f t="shared" si="73"/>
        <v>170278.020833333</v>
      </c>
      <c r="P250" s="93">
        <f t="shared" si="73"/>
        <v>166063.87625</v>
      </c>
      <c r="Q250" s="93">
        <f t="shared" si="73"/>
        <v>4214.1445833333</v>
      </c>
      <c r="R250" s="93">
        <f t="shared" si="73"/>
        <v>2043336.25</v>
      </c>
    </row>
    <row r="251" ht="30" customHeight="1" spans="1:18">
      <c r="A251" s="4"/>
      <c r="B251" s="30" t="s">
        <v>406</v>
      </c>
      <c r="C251" s="31">
        <f>C48+C58+C73+C78+C92+C106+C122+C132+C146+C165+C180+C250</f>
        <v>199</v>
      </c>
      <c r="D251" s="32"/>
      <c r="E251" s="227">
        <f t="shared" ref="E251:L251" si="74">E250+E180+E165+E157+E146+E132+E122+E106+E92+E78+E73+E58+E48</f>
        <v>99651523</v>
      </c>
      <c r="F251" s="227"/>
      <c r="G251" s="227">
        <f t="shared" si="74"/>
        <v>101760928.666667</v>
      </c>
      <c r="H251" s="1023">
        <f t="shared" si="74"/>
        <v>2102395.75</v>
      </c>
      <c r="I251" s="227">
        <f t="shared" si="74"/>
        <v>7723483.32</v>
      </c>
      <c r="J251" s="227">
        <f t="shared" si="74"/>
        <v>7849660.46666666</v>
      </c>
      <c r="K251" s="1023">
        <f t="shared" si="74"/>
        <v>126177.146666666</v>
      </c>
      <c r="L251" s="227">
        <f t="shared" ref="L251:R251" si="75">L250+L180+L165+L157+L146+L132+L122+L106+L92+L78+L73+L58+L48</f>
        <v>94195925.5999999</v>
      </c>
      <c r="M251" s="227">
        <f t="shared" si="75"/>
        <v>0</v>
      </c>
      <c r="N251" s="227">
        <f t="shared" si="75"/>
        <v>60639287.8333333</v>
      </c>
      <c r="O251" s="227">
        <f t="shared" si="75"/>
        <v>677813.76875</v>
      </c>
      <c r="P251" s="227">
        <f t="shared" si="75"/>
        <v>664098.969666667</v>
      </c>
      <c r="Q251" s="1023">
        <f t="shared" si="75"/>
        <v>13714.7990833333</v>
      </c>
      <c r="R251" s="227">
        <f t="shared" si="75"/>
        <v>8133765.225</v>
      </c>
    </row>
    <row r="252" customHeight="1" spans="1:18">
      <c r="P252" s="228"/>
    </row>
    <row r="253" customHeight="1" spans="1:18">
      <c r="P253" s="228"/>
    </row>
  </sheetData>
  <mergeCells count="1">
    <mergeCell ref="A1:G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9" max="7" man="1"/>
    <brk id="106" max="7" man="1"/>
    <brk id="158" max="7" man="1"/>
    <brk id="209" max="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139" activePane="bottomRight" state="frozen"/>
      <selection/>
      <selection pane="topRight"/>
      <selection pane="bottomLeft"/>
      <selection pane="bottomRight" activeCell="F191" sqref="F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611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612</v>
      </c>
      <c r="F4" s="906" t="s">
        <v>589</v>
      </c>
      <c r="G4" s="218" t="s">
        <v>613</v>
      </c>
      <c r="H4" s="218" t="s">
        <v>614</v>
      </c>
      <c r="I4" s="218" t="s">
        <v>615</v>
      </c>
      <c r="J4" s="907" t="s">
        <v>616</v>
      </c>
      <c r="K4" s="907" t="s">
        <v>617</v>
      </c>
      <c r="L4" s="907" t="s">
        <v>618</v>
      </c>
      <c r="M4" s="907" t="s">
        <v>619</v>
      </c>
      <c r="N4" s="907" t="s">
        <v>620</v>
      </c>
      <c r="O4" s="907" t="s">
        <v>598</v>
      </c>
      <c r="P4" s="907" t="s">
        <v>621</v>
      </c>
      <c r="Q4" s="907" t="s">
        <v>622</v>
      </c>
    </row>
    <row r="5" ht="17.25" customHeight="1" spans="1:17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</row>
    <row r="6" ht="17.25" customHeight="1" spans="1:17">
      <c r="A6" s="4"/>
      <c r="B6" s="4"/>
      <c r="C6" s="8"/>
      <c r="D6" s="8"/>
      <c r="E6" s="10" t="s">
        <v>623</v>
      </c>
      <c r="F6" s="909" t="s">
        <v>624</v>
      </c>
      <c r="G6" s="10" t="s">
        <v>625</v>
      </c>
      <c r="H6" s="10" t="s">
        <v>626</v>
      </c>
      <c r="I6" s="910" t="s">
        <v>627</v>
      </c>
      <c r="J6" s="910" t="s">
        <v>628</v>
      </c>
      <c r="K6" s="910" t="s">
        <v>629</v>
      </c>
      <c r="L6" s="910" t="s">
        <v>630</v>
      </c>
      <c r="M6" s="910" t="s">
        <v>631</v>
      </c>
      <c r="N6" s="910" t="s">
        <v>632</v>
      </c>
      <c r="O6" s="910" t="s">
        <v>633</v>
      </c>
      <c r="P6" s="910" t="s">
        <v>634</v>
      </c>
      <c r="Q6" s="910" t="s">
        <v>635</v>
      </c>
    </row>
    <row r="7" customHeight="1" spans="1:17">
      <c r="A7" s="9" t="s">
        <v>22</v>
      </c>
      <c r="B7" s="8" t="s">
        <v>23</v>
      </c>
      <c r="C7" s="8"/>
      <c r="D7" s="8"/>
      <c r="E7" s="10"/>
      <c r="F7" s="909"/>
      <c r="G7" s="10"/>
      <c r="H7" s="10" t="s">
        <v>636</v>
      </c>
      <c r="I7" s="10" t="s">
        <v>637</v>
      </c>
      <c r="J7" s="910" t="s">
        <v>638</v>
      </c>
      <c r="K7" s="910" t="s">
        <v>639</v>
      </c>
      <c r="L7" s="910" t="s">
        <v>640</v>
      </c>
      <c r="M7" s="910"/>
      <c r="N7" s="910" t="s">
        <v>641</v>
      </c>
      <c r="O7" s="910" t="s">
        <v>642</v>
      </c>
      <c r="P7" s="910" t="s">
        <v>642</v>
      </c>
      <c r="Q7" s="910" t="s">
        <v>642</v>
      </c>
    </row>
    <row r="8" customHeight="1" spans="1:1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2"/>
      <c r="K8" s="912"/>
      <c r="L8" s="912">
        <f t="shared" ref="L8:L38" si="2">K8-J8</f>
        <v>0</v>
      </c>
      <c r="M8" s="912"/>
      <c r="N8" s="912"/>
      <c r="O8" s="912">
        <f t="shared" ref="O8:O38" si="3">N8-M8</f>
        <v>0</v>
      </c>
      <c r="P8" s="912">
        <f t="shared" ref="P8:P38" si="4">K8*12</f>
        <v>0</v>
      </c>
      <c r="Q8" s="912">
        <f t="shared" ref="Q8:Q38" si="5">N8*12</f>
        <v>0</v>
      </c>
    </row>
    <row r="9" customHeight="1" spans="1:1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2">
        <v>60989.8533333333</v>
      </c>
      <c r="K9" s="912">
        <f t="shared" ref="K9:K38" si="6">H9*0.08</f>
        <v>72424.54</v>
      </c>
      <c r="L9" s="912">
        <f t="shared" si="2"/>
        <v>11434.6866666667</v>
      </c>
      <c r="M9" s="912"/>
      <c r="N9" s="912"/>
      <c r="O9" s="912">
        <f t="shared" si="3"/>
        <v>0</v>
      </c>
      <c r="P9" s="912">
        <f t="shared" si="4"/>
        <v>869094.48</v>
      </c>
      <c r="Q9" s="912">
        <f t="shared" si="5"/>
        <v>0</v>
      </c>
    </row>
    <row r="10" customHeight="1" spans="1:1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2"/>
      <c r="K10" s="912"/>
      <c r="L10" s="912">
        <f t="shared" si="2"/>
        <v>0</v>
      </c>
      <c r="M10" s="912"/>
      <c r="N10" s="912"/>
      <c r="O10" s="912">
        <f t="shared" si="3"/>
        <v>0</v>
      </c>
      <c r="P10" s="912">
        <f t="shared" si="4"/>
        <v>0</v>
      </c>
      <c r="Q10" s="912">
        <f t="shared" si="5"/>
        <v>0</v>
      </c>
    </row>
    <row r="11" customHeight="1" spans="1:1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2">
        <v>60989.8533333333</v>
      </c>
      <c r="K11" s="912">
        <f t="shared" si="6"/>
        <v>72424.54</v>
      </c>
      <c r="L11" s="912">
        <f t="shared" si="2"/>
        <v>11434.6866666667</v>
      </c>
      <c r="M11" s="912">
        <v>10293.3979166667</v>
      </c>
      <c r="N11" s="912">
        <f t="shared" ref="N11:N13" si="7">0.025*F11</f>
        <v>13866.7375</v>
      </c>
      <c r="O11" s="912">
        <f t="shared" si="3"/>
        <v>3573.3395833333</v>
      </c>
      <c r="P11" s="912">
        <f t="shared" si="4"/>
        <v>869094.48</v>
      </c>
      <c r="Q11" s="912">
        <f t="shared" si="5"/>
        <v>166400.85</v>
      </c>
    </row>
    <row r="12" customHeight="1" spans="1:17">
      <c r="A12" s="10">
        <v>5</v>
      </c>
      <c r="B12" s="11" t="s">
        <v>34</v>
      </c>
      <c r="C12" s="12" t="s">
        <v>35</v>
      </c>
      <c r="D12" s="15" t="s">
        <v>210</v>
      </c>
      <c r="E12" s="85">
        <v>716034</v>
      </c>
      <c r="F12" s="911">
        <f>'[19] FGN 2024 MGT Monthly'!$I$44</f>
        <v>539028</v>
      </c>
      <c r="G12" s="85">
        <f>'[19]Peculiar Allowance'!$I$44</f>
        <v>339980.916666667</v>
      </c>
      <c r="H12" s="220">
        <f t="shared" si="0"/>
        <v>879008.916666667</v>
      </c>
      <c r="I12" s="220">
        <f t="shared" si="1"/>
        <v>162974.916666667</v>
      </c>
      <c r="J12" s="912">
        <v>59136.2866666667</v>
      </c>
      <c r="K12" s="912">
        <f t="shared" si="6"/>
        <v>70320.7133333334</v>
      </c>
      <c r="L12" s="912">
        <f t="shared" si="2"/>
        <v>11184.4266666667</v>
      </c>
      <c r="M12" s="912">
        <v>10293.3979166667</v>
      </c>
      <c r="N12" s="912">
        <f t="shared" si="7"/>
        <v>13475.7</v>
      </c>
      <c r="O12" s="912">
        <f t="shared" si="3"/>
        <v>3182.3020833333</v>
      </c>
      <c r="P12" s="912">
        <f t="shared" si="4"/>
        <v>843848.56</v>
      </c>
      <c r="Q12" s="912">
        <f t="shared" si="5"/>
        <v>161708.4</v>
      </c>
    </row>
    <row r="13" customHeight="1" spans="1:17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2">
        <v>46569.4466666667</v>
      </c>
      <c r="K13" s="912">
        <f t="shared" si="6"/>
        <v>57807.64</v>
      </c>
      <c r="L13" s="912">
        <f t="shared" si="2"/>
        <v>11238.1933333333</v>
      </c>
      <c r="M13" s="912">
        <v>7859.63125</v>
      </c>
      <c r="N13" s="912">
        <f t="shared" si="7"/>
        <v>11149.8958333333</v>
      </c>
      <c r="O13" s="912">
        <f t="shared" si="3"/>
        <v>3290.26458333333</v>
      </c>
      <c r="P13" s="912">
        <f t="shared" si="4"/>
        <v>693691.68</v>
      </c>
      <c r="Q13" s="912">
        <f t="shared" si="5"/>
        <v>133798.75</v>
      </c>
    </row>
    <row r="14" customHeight="1" spans="1:17">
      <c r="A14" s="10">
        <v>7</v>
      </c>
      <c r="B14" s="11" t="s">
        <v>40</v>
      </c>
      <c r="C14" s="4" t="s">
        <v>643</v>
      </c>
      <c r="D14" s="15" t="s">
        <v>192</v>
      </c>
      <c r="E14" s="85">
        <v>484373.75</v>
      </c>
      <c r="F14" s="911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2">
        <v>38749.9</v>
      </c>
      <c r="K14" s="912">
        <f t="shared" si="6"/>
        <v>47172.56</v>
      </c>
      <c r="L14" s="912">
        <f t="shared" si="2"/>
        <v>8422.66</v>
      </c>
      <c r="M14" s="912"/>
      <c r="N14" s="912"/>
      <c r="O14" s="912">
        <f t="shared" si="3"/>
        <v>0</v>
      </c>
      <c r="P14" s="912">
        <f t="shared" si="4"/>
        <v>566070.72</v>
      </c>
      <c r="Q14" s="912">
        <f t="shared" si="5"/>
        <v>0</v>
      </c>
    </row>
    <row r="15" customHeight="1" spans="1:17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2">
        <v>46569.45</v>
      </c>
      <c r="K15" s="912">
        <f t="shared" si="6"/>
        <v>57807.64</v>
      </c>
      <c r="L15" s="912">
        <f t="shared" si="2"/>
        <v>11238.19</v>
      </c>
      <c r="M15" s="912"/>
      <c r="N15" s="912"/>
      <c r="O15" s="912">
        <f t="shared" si="3"/>
        <v>0</v>
      </c>
      <c r="P15" s="912">
        <f t="shared" si="4"/>
        <v>693691.68</v>
      </c>
      <c r="Q15" s="912">
        <f t="shared" si="5"/>
        <v>0</v>
      </c>
    </row>
    <row r="16" customHeight="1" spans="1:17">
      <c r="A16" s="10">
        <v>9</v>
      </c>
      <c r="B16" s="11" t="s">
        <v>45</v>
      </c>
      <c r="C16" s="4" t="s">
        <v>46</v>
      </c>
      <c r="D16" s="10" t="s">
        <v>214</v>
      </c>
      <c r="E16" s="85">
        <v>456622.25</v>
      </c>
      <c r="F16" s="911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2">
        <v>35419.72</v>
      </c>
      <c r="K16" s="912">
        <f t="shared" si="6"/>
        <v>44653.22</v>
      </c>
      <c r="L16" s="912">
        <f t="shared" si="2"/>
        <v>9233.5</v>
      </c>
      <c r="M16" s="912"/>
      <c r="N16" s="912"/>
      <c r="O16" s="912">
        <f t="shared" si="3"/>
        <v>0</v>
      </c>
      <c r="P16" s="912">
        <f t="shared" si="4"/>
        <v>535838.64</v>
      </c>
      <c r="Q16" s="912">
        <f t="shared" si="5"/>
        <v>0</v>
      </c>
    </row>
    <row r="17" customHeight="1" spans="1:17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2">
        <v>46569.45</v>
      </c>
      <c r="K17" s="912">
        <f t="shared" si="6"/>
        <v>56057.1133333333</v>
      </c>
      <c r="L17" s="912">
        <f t="shared" si="2"/>
        <v>9487.66333333329</v>
      </c>
      <c r="M17" s="912"/>
      <c r="N17" s="912"/>
      <c r="O17" s="912">
        <f t="shared" si="3"/>
        <v>0</v>
      </c>
      <c r="P17" s="912">
        <f t="shared" si="4"/>
        <v>672685.359999999</v>
      </c>
      <c r="Q17" s="912">
        <f t="shared" si="5"/>
        <v>0</v>
      </c>
    </row>
    <row r="18" customHeight="1" spans="1:17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2">
        <v>34313.2733333333</v>
      </c>
      <c r="K18" s="912">
        <f t="shared" si="6"/>
        <v>43308.1066666666</v>
      </c>
      <c r="L18" s="912">
        <f t="shared" si="2"/>
        <v>8994.83333333334</v>
      </c>
      <c r="M18" s="912"/>
      <c r="N18" s="912"/>
      <c r="O18" s="912">
        <f t="shared" si="3"/>
        <v>0</v>
      </c>
      <c r="P18" s="912">
        <f t="shared" si="4"/>
        <v>519697.28</v>
      </c>
      <c r="Q18" s="912">
        <f t="shared" si="5"/>
        <v>0</v>
      </c>
    </row>
    <row r="19" customHeight="1" spans="1:17">
      <c r="A19" s="10">
        <v>12</v>
      </c>
      <c r="B19" s="18" t="s">
        <v>54</v>
      </c>
      <c r="C19" s="4" t="s">
        <v>55</v>
      </c>
      <c r="D19" s="15" t="s">
        <v>644</v>
      </c>
      <c r="E19" s="85">
        <v>428915.916666667</v>
      </c>
      <c r="F19" s="911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2">
        <v>33282.1533333333</v>
      </c>
      <c r="K19" s="912">
        <f t="shared" si="6"/>
        <v>42138.0066666667</v>
      </c>
      <c r="L19" s="912">
        <f t="shared" si="2"/>
        <v>8855.85333333342</v>
      </c>
      <c r="M19" s="912">
        <v>5607.17708333333</v>
      </c>
      <c r="N19" s="912">
        <f t="shared" ref="N19:N23" si="8">0.025*F19</f>
        <v>8226.12291666667</v>
      </c>
      <c r="O19" s="912">
        <f t="shared" si="3"/>
        <v>2618.94583333334</v>
      </c>
      <c r="P19" s="912">
        <f t="shared" si="4"/>
        <v>505656.080000001</v>
      </c>
      <c r="Q19" s="912">
        <f t="shared" si="5"/>
        <v>98713.4750000001</v>
      </c>
    </row>
    <row r="20" customHeight="1" spans="1:17">
      <c r="A20" s="10">
        <v>13</v>
      </c>
      <c r="B20" s="18" t="s">
        <v>57</v>
      </c>
      <c r="C20" s="4" t="s">
        <v>58</v>
      </c>
      <c r="D20" s="15" t="s">
        <v>602</v>
      </c>
      <c r="E20" s="680">
        <v>403138</v>
      </c>
      <c r="F20" s="911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2">
        <v>31219.9133333334</v>
      </c>
      <c r="K20" s="912">
        <f t="shared" si="6"/>
        <v>39797.82</v>
      </c>
      <c r="L20" s="912">
        <f t="shared" si="2"/>
        <v>8577.9066666666</v>
      </c>
      <c r="M20" s="912">
        <v>5967.30625</v>
      </c>
      <c r="N20" s="912">
        <f t="shared" si="8"/>
        <v>7791.83125</v>
      </c>
      <c r="O20" s="912">
        <f t="shared" si="3"/>
        <v>1824.525</v>
      </c>
      <c r="P20" s="912">
        <f t="shared" si="4"/>
        <v>477573.84</v>
      </c>
      <c r="Q20" s="912">
        <f t="shared" si="5"/>
        <v>93501.975</v>
      </c>
    </row>
    <row r="21" customHeight="1" spans="1:17">
      <c r="A21" s="10">
        <v>14</v>
      </c>
      <c r="B21" s="18" t="s">
        <v>60</v>
      </c>
      <c r="C21" s="4" t="s">
        <v>61</v>
      </c>
      <c r="D21" s="15" t="s">
        <v>602</v>
      </c>
      <c r="E21" s="680">
        <v>403138</v>
      </c>
      <c r="F21" s="911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2">
        <v>31219.9133333334</v>
      </c>
      <c r="K21" s="912">
        <f t="shared" si="6"/>
        <v>39797.82</v>
      </c>
      <c r="L21" s="912">
        <f t="shared" si="2"/>
        <v>8577.9066666666</v>
      </c>
      <c r="M21" s="912"/>
      <c r="N21" s="912"/>
      <c r="O21" s="912">
        <f t="shared" si="3"/>
        <v>0</v>
      </c>
      <c r="P21" s="912">
        <f t="shared" si="4"/>
        <v>477573.84</v>
      </c>
      <c r="Q21" s="912">
        <f t="shared" si="5"/>
        <v>0</v>
      </c>
    </row>
    <row r="22" customHeight="1" spans="1:17">
      <c r="A22" s="10">
        <v>15</v>
      </c>
      <c r="B22" s="11" t="s">
        <v>62</v>
      </c>
      <c r="C22" s="12" t="s">
        <v>645</v>
      </c>
      <c r="D22" s="15" t="s">
        <v>261</v>
      </c>
      <c r="E22" s="85">
        <v>402278</v>
      </c>
      <c r="F22" s="911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2">
        <v>31206.92</v>
      </c>
      <c r="K22" s="912">
        <f t="shared" si="6"/>
        <v>39719.7733333333</v>
      </c>
      <c r="L22" s="912">
        <f t="shared" si="2"/>
        <v>8512.85333333334</v>
      </c>
      <c r="M22" s="912">
        <v>5257.5625</v>
      </c>
      <c r="N22" s="912">
        <f t="shared" si="8"/>
        <v>7777.36041666667</v>
      </c>
      <c r="O22" s="912">
        <f t="shared" si="3"/>
        <v>2519.79791666667</v>
      </c>
      <c r="P22" s="912">
        <f t="shared" si="4"/>
        <v>476637.28</v>
      </c>
      <c r="Q22" s="912">
        <f t="shared" si="5"/>
        <v>93328.325</v>
      </c>
    </row>
    <row r="23" ht="18.75" customHeight="1" spans="1:17">
      <c r="A23" s="10">
        <v>16</v>
      </c>
      <c r="B23" s="11" t="s">
        <v>65</v>
      </c>
      <c r="C23" s="12" t="s">
        <v>178</v>
      </c>
      <c r="D23" s="15" t="s">
        <v>173</v>
      </c>
      <c r="E23" s="85">
        <v>390086.5</v>
      </c>
      <c r="F23" s="911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2">
        <v>30231.6133333333</v>
      </c>
      <c r="K23" s="912">
        <f t="shared" si="6"/>
        <v>38613.0133333334</v>
      </c>
      <c r="L23" s="912">
        <f t="shared" si="2"/>
        <v>8381.40000000006</v>
      </c>
      <c r="M23" s="912"/>
      <c r="N23" s="912">
        <f t="shared" si="8"/>
        <v>7571.96666666667</v>
      </c>
      <c r="O23" s="912">
        <f t="shared" si="3"/>
        <v>7571.96666666667</v>
      </c>
      <c r="P23" s="912">
        <f t="shared" si="4"/>
        <v>463356.16</v>
      </c>
      <c r="Q23" s="912">
        <f t="shared" si="5"/>
        <v>90863.6000000001</v>
      </c>
    </row>
    <row r="24" customHeight="1" spans="1:17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2">
        <v>28281</v>
      </c>
      <c r="K24" s="912">
        <f t="shared" si="6"/>
        <v>36399.4866666666</v>
      </c>
      <c r="L24" s="912">
        <f t="shared" si="2"/>
        <v>8118.48666666664</v>
      </c>
      <c r="M24" s="912"/>
      <c r="N24" s="912"/>
      <c r="O24" s="912">
        <f t="shared" si="3"/>
        <v>0</v>
      </c>
      <c r="P24" s="912">
        <f t="shared" si="4"/>
        <v>436793.84</v>
      </c>
      <c r="Q24" s="912">
        <f t="shared" si="5"/>
        <v>0</v>
      </c>
    </row>
    <row r="25" ht="21.6" customHeight="1" spans="1:17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2">
        <v>28281</v>
      </c>
      <c r="K25" s="912">
        <f t="shared" si="6"/>
        <v>36399.4866666666</v>
      </c>
      <c r="L25" s="912">
        <f t="shared" si="2"/>
        <v>8118.48666666664</v>
      </c>
      <c r="M25" s="912"/>
      <c r="N25" s="912"/>
      <c r="O25" s="912">
        <f t="shared" si="3"/>
        <v>0</v>
      </c>
      <c r="P25" s="912">
        <f t="shared" si="4"/>
        <v>436793.84</v>
      </c>
      <c r="Q25" s="912">
        <f t="shared" si="5"/>
        <v>0</v>
      </c>
    </row>
    <row r="26" customHeight="1" spans="1:17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2">
        <v>23442.3733333333</v>
      </c>
      <c r="K26" s="912">
        <f t="shared" si="6"/>
        <v>30491.2533333333</v>
      </c>
      <c r="L26" s="912">
        <f t="shared" si="2"/>
        <v>7048.87999999998</v>
      </c>
      <c r="M26" s="912"/>
      <c r="N26" s="912"/>
      <c r="O26" s="912">
        <f t="shared" si="3"/>
        <v>0</v>
      </c>
      <c r="P26" s="912">
        <f t="shared" si="4"/>
        <v>365895.039999999</v>
      </c>
      <c r="Q26" s="912">
        <f t="shared" si="5"/>
        <v>0</v>
      </c>
    </row>
    <row r="27" customHeight="1" spans="1:17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2">
        <v>23442.3733333334</v>
      </c>
      <c r="K27" s="912">
        <f t="shared" si="6"/>
        <v>30491.2533333333</v>
      </c>
      <c r="L27" s="912">
        <f t="shared" si="2"/>
        <v>7048.87999999988</v>
      </c>
      <c r="M27" s="912"/>
      <c r="N27" s="912">
        <f t="shared" ref="N27:N29" si="9">0.025*F27</f>
        <v>6021.86458333332</v>
      </c>
      <c r="O27" s="912">
        <f t="shared" si="3"/>
        <v>6021.86458333332</v>
      </c>
      <c r="P27" s="912">
        <f t="shared" si="4"/>
        <v>365895.039999999</v>
      </c>
      <c r="Q27" s="912">
        <f t="shared" si="5"/>
        <v>72262.3749999999</v>
      </c>
    </row>
    <row r="28" ht="18.75" customHeight="1" spans="1:17">
      <c r="A28" s="10">
        <v>21</v>
      </c>
      <c r="B28" s="4" t="s">
        <v>478</v>
      </c>
      <c r="C28" s="4" t="s">
        <v>94</v>
      </c>
      <c r="D28" s="10" t="s">
        <v>156</v>
      </c>
      <c r="E28" s="85">
        <v>277798</v>
      </c>
      <c r="F28" s="911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2">
        <v>21638.5333333333</v>
      </c>
      <c r="K28" s="912">
        <f t="shared" si="6"/>
        <v>28425.6533333334</v>
      </c>
      <c r="L28" s="912">
        <f t="shared" si="2"/>
        <v>6787.12000000006</v>
      </c>
      <c r="M28" s="912"/>
      <c r="N28" s="912">
        <f t="shared" si="9"/>
        <v>5690.39375</v>
      </c>
      <c r="O28" s="912">
        <f t="shared" si="3"/>
        <v>5690.39375</v>
      </c>
      <c r="P28" s="912">
        <f t="shared" si="4"/>
        <v>341107.84</v>
      </c>
      <c r="Q28" s="912">
        <f t="shared" si="5"/>
        <v>68284.725</v>
      </c>
    </row>
    <row r="29" ht="18.75" customHeight="1" spans="1:17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2">
        <v>21638.5333333333</v>
      </c>
      <c r="K29" s="912">
        <f t="shared" si="6"/>
        <v>28425.6533333334</v>
      </c>
      <c r="L29" s="912">
        <f t="shared" si="2"/>
        <v>6787.12000000006</v>
      </c>
      <c r="M29" s="912"/>
      <c r="N29" s="912">
        <f t="shared" si="9"/>
        <v>5690.39375</v>
      </c>
      <c r="O29" s="912">
        <f t="shared" si="3"/>
        <v>5690.39375</v>
      </c>
      <c r="P29" s="912">
        <f t="shared" si="4"/>
        <v>341107.84</v>
      </c>
      <c r="Q29" s="912">
        <f t="shared" si="5"/>
        <v>68284.725</v>
      </c>
    </row>
    <row r="30" customHeight="1" spans="1:17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2">
        <v>21638.5333333333</v>
      </c>
      <c r="K30" s="912">
        <f t="shared" si="6"/>
        <v>28425.6533333334</v>
      </c>
      <c r="L30" s="912">
        <f t="shared" si="2"/>
        <v>6787.12000000006</v>
      </c>
      <c r="M30" s="912"/>
      <c r="N30" s="912"/>
      <c r="O30" s="912">
        <f t="shared" si="3"/>
        <v>0</v>
      </c>
      <c r="P30" s="912">
        <f t="shared" si="4"/>
        <v>341107.84</v>
      </c>
      <c r="Q30" s="912">
        <f t="shared" si="5"/>
        <v>0</v>
      </c>
    </row>
    <row r="31" ht="18.75" customHeight="1" spans="1:17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2">
        <v>21053.2266666667</v>
      </c>
      <c r="K31" s="912">
        <f t="shared" si="6"/>
        <v>27761.2933333333</v>
      </c>
      <c r="L31" s="912">
        <f t="shared" si="2"/>
        <v>6708.06666666658</v>
      </c>
      <c r="M31" s="912"/>
      <c r="N31" s="912"/>
      <c r="O31" s="912">
        <f t="shared" si="3"/>
        <v>0</v>
      </c>
      <c r="P31" s="912">
        <f t="shared" si="4"/>
        <v>333135.519999999</v>
      </c>
      <c r="Q31" s="912">
        <f t="shared" si="5"/>
        <v>0</v>
      </c>
    </row>
    <row r="32" ht="18.75" customHeight="1" spans="1:17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2">
        <v>20467.92</v>
      </c>
      <c r="K32" s="912">
        <f t="shared" si="6"/>
        <v>27096.9333333334</v>
      </c>
      <c r="L32" s="912">
        <f t="shared" si="2"/>
        <v>6629.01333333336</v>
      </c>
      <c r="M32" s="912"/>
      <c r="N32" s="912"/>
      <c r="O32" s="912">
        <f t="shared" si="3"/>
        <v>0</v>
      </c>
      <c r="P32" s="912">
        <f t="shared" si="4"/>
        <v>325163.2</v>
      </c>
      <c r="Q32" s="912">
        <f t="shared" si="5"/>
        <v>0</v>
      </c>
    </row>
    <row r="33" ht="18.75" customHeight="1" spans="1:17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2">
        <v>20467.92</v>
      </c>
      <c r="K33" s="912">
        <f t="shared" si="6"/>
        <v>27096.9333333334</v>
      </c>
      <c r="L33" s="912">
        <f t="shared" si="2"/>
        <v>6629.01333333336</v>
      </c>
      <c r="M33" s="912"/>
      <c r="N33" s="912"/>
      <c r="O33" s="912">
        <f t="shared" si="3"/>
        <v>0</v>
      </c>
      <c r="P33" s="912">
        <f t="shared" si="4"/>
        <v>325163.2</v>
      </c>
      <c r="Q33" s="912">
        <f t="shared" si="5"/>
        <v>0</v>
      </c>
    </row>
    <row r="34" ht="18.75" customHeight="1" spans="1:17">
      <c r="A34" s="10">
        <v>27</v>
      </c>
      <c r="B34" s="18" t="s">
        <v>91</v>
      </c>
      <c r="C34" s="17" t="s">
        <v>646</v>
      </c>
      <c r="D34" s="15" t="s">
        <v>156</v>
      </c>
      <c r="E34" s="85">
        <v>277798</v>
      </c>
      <c r="F34" s="911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2">
        <v>21638.5333333333</v>
      </c>
      <c r="K34" s="912">
        <f t="shared" si="6"/>
        <v>28425.6533333334</v>
      </c>
      <c r="L34" s="912">
        <f t="shared" si="2"/>
        <v>6787.12000000006</v>
      </c>
      <c r="M34" s="912">
        <v>3653.5</v>
      </c>
      <c r="N34" s="912">
        <f t="shared" ref="N34:N38" si="10">0.025*F34</f>
        <v>5690.39375</v>
      </c>
      <c r="O34" s="912">
        <f t="shared" si="3"/>
        <v>2036.89375</v>
      </c>
      <c r="P34" s="912">
        <f t="shared" si="4"/>
        <v>341107.84</v>
      </c>
      <c r="Q34" s="912">
        <f t="shared" si="5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2">
        <v>20467.92</v>
      </c>
      <c r="K35" s="912">
        <f t="shared" si="6"/>
        <v>27096.9333333334</v>
      </c>
      <c r="L35" s="912">
        <f t="shared" si="2"/>
        <v>6629.01333333336</v>
      </c>
      <c r="M35" s="912"/>
      <c r="N35" s="912"/>
      <c r="O35" s="912">
        <f t="shared" si="3"/>
        <v>0</v>
      </c>
      <c r="P35" s="912">
        <f t="shared" si="4"/>
        <v>325163.2</v>
      </c>
      <c r="Q35" s="912">
        <f t="shared" si="5"/>
        <v>0</v>
      </c>
    </row>
    <row r="36" ht="18.75" customHeight="1" spans="1:17">
      <c r="A36" s="10">
        <v>29</v>
      </c>
      <c r="B36" s="18" t="s">
        <v>95</v>
      </c>
      <c r="C36" s="4" t="s">
        <v>647</v>
      </c>
      <c r="D36" s="10" t="s">
        <v>99</v>
      </c>
      <c r="E36" s="85">
        <v>263165.333333333</v>
      </c>
      <c r="F36" s="911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2">
        <v>20467.92</v>
      </c>
      <c r="K36" s="912">
        <f t="shared" si="6"/>
        <v>27096.9333333334</v>
      </c>
      <c r="L36" s="912">
        <f t="shared" si="2"/>
        <v>6629.01333333336</v>
      </c>
      <c r="M36" s="912"/>
      <c r="N36" s="912"/>
      <c r="O36" s="912">
        <f t="shared" si="3"/>
        <v>0</v>
      </c>
      <c r="P36" s="912">
        <f t="shared" si="4"/>
        <v>325163.2</v>
      </c>
      <c r="Q36" s="912">
        <f t="shared" si="5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2">
        <v>17956.78</v>
      </c>
      <c r="K37" s="912">
        <f t="shared" si="6"/>
        <v>24152.86</v>
      </c>
      <c r="L37" s="912">
        <f t="shared" si="2"/>
        <v>6196.08</v>
      </c>
      <c r="M37" s="912"/>
      <c r="N37" s="912">
        <f t="shared" si="10"/>
        <v>4909.11041666668</v>
      </c>
      <c r="O37" s="912">
        <f t="shared" si="3"/>
        <v>4909.11041666668</v>
      </c>
      <c r="P37" s="912">
        <f t="shared" si="4"/>
        <v>289834.32</v>
      </c>
      <c r="Q37" s="912">
        <f t="shared" si="5"/>
        <v>58909.3250000001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2">
        <v>17463.0066666666</v>
      </c>
      <c r="K38" s="912">
        <f t="shared" si="6"/>
        <v>23592.0666666667</v>
      </c>
      <c r="L38" s="912">
        <f t="shared" si="2"/>
        <v>6129.06000000012</v>
      </c>
      <c r="M38" s="912"/>
      <c r="N38" s="912">
        <f t="shared" si="10"/>
        <v>4804.48541666668</v>
      </c>
      <c r="O38" s="912">
        <f t="shared" si="3"/>
        <v>4804.48541666668</v>
      </c>
      <c r="P38" s="912">
        <f t="shared" si="4"/>
        <v>283104.800000001</v>
      </c>
      <c r="Q38" s="912">
        <f t="shared" si="5"/>
        <v>57653.8250000001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11">SUM(E8:E38)</f>
        <v>14073003.667</v>
      </c>
      <c r="F39" s="913">
        <f t="shared" si="11"/>
        <v>10680273.5</v>
      </c>
      <c r="G39" s="221">
        <f t="shared" si="11"/>
        <v>6613927.25</v>
      </c>
      <c r="H39" s="221">
        <f t="shared" si="11"/>
        <v>17294200.75</v>
      </c>
      <c r="I39" s="221">
        <f t="shared" si="11"/>
        <v>3221197.083</v>
      </c>
      <c r="J39" s="221">
        <f t="shared" si="11"/>
        <v>914813.32</v>
      </c>
      <c r="K39" s="221">
        <f t="shared" si="11"/>
        <v>1153420.55333333</v>
      </c>
      <c r="L39" s="221">
        <f t="shared" si="11"/>
        <v>238607.233333334</v>
      </c>
      <c r="M39" s="221">
        <f t="shared" si="11"/>
        <v>48931.9729166667</v>
      </c>
      <c r="N39" s="221">
        <f t="shared" si="11"/>
        <v>102666.25625</v>
      </c>
      <c r="O39" s="221">
        <f t="shared" si="11"/>
        <v>53734.2833333333</v>
      </c>
      <c r="P39" s="221">
        <f t="shared" si="11"/>
        <v>13841046.64</v>
      </c>
      <c r="Q39" s="221">
        <f t="shared" si="11"/>
        <v>1231995.075</v>
      </c>
    </row>
    <row r="40" ht="18.75" customHeight="1" spans="1:17">
      <c r="A40" s="10"/>
      <c r="B40" s="22"/>
      <c r="C40" s="4"/>
      <c r="D40" s="15"/>
      <c r="E40" s="221"/>
      <c r="F40" s="913"/>
      <c r="G40" s="221"/>
      <c r="H40" s="220"/>
      <c r="I40" s="220"/>
      <c r="J40" s="912"/>
      <c r="K40" s="912"/>
      <c r="L40" s="912"/>
      <c r="M40" s="912"/>
      <c r="N40" s="912"/>
      <c r="O40" s="912"/>
      <c r="P40" s="912"/>
      <c r="Q40" s="912"/>
    </row>
    <row r="41" ht="18.75" customHeight="1" spans="1:17">
      <c r="A41" s="10"/>
      <c r="B41" s="20" t="s">
        <v>121</v>
      </c>
      <c r="C41" s="4"/>
      <c r="D41" s="15"/>
      <c r="E41" s="85"/>
      <c r="F41" s="911"/>
      <c r="G41" s="85"/>
      <c r="H41" s="220"/>
      <c r="I41" s="220"/>
      <c r="J41" s="912"/>
      <c r="K41" s="912"/>
      <c r="L41" s="912"/>
      <c r="M41" s="912"/>
      <c r="N41" s="912"/>
      <c r="O41" s="912"/>
      <c r="P41" s="912"/>
      <c r="Q41" s="912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220">
        <v>660329.333333333</v>
      </c>
      <c r="H42" s="914">
        <f t="shared" ref="H42:H45" si="12">F42+G42</f>
        <v>1747106.41666666</v>
      </c>
      <c r="I42" s="220">
        <f t="shared" ref="I42:I45" si="13">H42-E42</f>
        <v>311386.416666663</v>
      </c>
      <c r="J42" s="912">
        <v>114857.6</v>
      </c>
      <c r="K42" s="912">
        <f t="shared" ref="K42:K45" si="14">H42*0.08</f>
        <v>139768.513333333</v>
      </c>
      <c r="L42" s="912">
        <f t="shared" ref="L42:L45" si="15">K42-J42</f>
        <v>24910.913333333</v>
      </c>
      <c r="M42" s="912"/>
      <c r="N42" s="912"/>
      <c r="O42" s="912">
        <f t="shared" ref="O42:O45" si="16">N42-M42</f>
        <v>0</v>
      </c>
      <c r="P42" s="912">
        <f t="shared" ref="P42:P45" si="17">K42*12</f>
        <v>1677222.16</v>
      </c>
      <c r="Q42" s="912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220">
        <v>140266.083333333</v>
      </c>
      <c r="H43" s="914">
        <f t="shared" si="12"/>
        <v>381140.666666666</v>
      </c>
      <c r="I43" s="220">
        <f t="shared" si="13"/>
        <v>80175.083333333</v>
      </c>
      <c r="J43" s="912">
        <v>23442.3733333333</v>
      </c>
      <c r="K43" s="912">
        <f t="shared" si="14"/>
        <v>30491.2533333333</v>
      </c>
      <c r="L43" s="912">
        <f t="shared" si="15"/>
        <v>7048.87999999998</v>
      </c>
      <c r="M43" s="912"/>
      <c r="N43" s="912">
        <f>0.025*F43</f>
        <v>6021.86458333332</v>
      </c>
      <c r="O43" s="912">
        <f t="shared" si="16"/>
        <v>6021.86458333332</v>
      </c>
      <c r="P43" s="912">
        <f t="shared" si="17"/>
        <v>365895.039999999</v>
      </c>
      <c r="Q43" s="912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220">
        <v>143964.666666667</v>
      </c>
      <c r="H44" s="914">
        <f t="shared" si="12"/>
        <v>390135.833333334</v>
      </c>
      <c r="I44" s="220">
        <f t="shared" si="13"/>
        <v>81234.333333334</v>
      </c>
      <c r="J44" s="912">
        <v>24077.2466666667</v>
      </c>
      <c r="K44" s="912">
        <f t="shared" si="14"/>
        <v>31210.8666666667</v>
      </c>
      <c r="L44" s="912">
        <f t="shared" si="15"/>
        <v>7133.62000000002</v>
      </c>
      <c r="M44" s="912"/>
      <c r="N44" s="912"/>
      <c r="O44" s="912">
        <f t="shared" si="16"/>
        <v>0</v>
      </c>
      <c r="P44" s="912">
        <f t="shared" si="17"/>
        <v>374530.400000001</v>
      </c>
      <c r="Q44" s="912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220">
        <v>120978.25</v>
      </c>
      <c r="H45" s="914">
        <f t="shared" si="12"/>
        <v>338711.666666667</v>
      </c>
      <c r="I45" s="220">
        <f t="shared" si="13"/>
        <v>75546.333333334</v>
      </c>
      <c r="J45" s="912">
        <v>20467.92</v>
      </c>
      <c r="K45" s="912">
        <f t="shared" si="14"/>
        <v>27096.9333333334</v>
      </c>
      <c r="L45" s="912">
        <f t="shared" si="15"/>
        <v>6629.01333333336</v>
      </c>
      <c r="M45" s="912"/>
      <c r="N45" s="912">
        <f>0.025*F45</f>
        <v>5443.33541666668</v>
      </c>
      <c r="O45" s="912">
        <f t="shared" si="16"/>
        <v>5443.33541666668</v>
      </c>
      <c r="P45" s="912">
        <f t="shared" si="17"/>
        <v>325163.2</v>
      </c>
      <c r="Q45" s="912"/>
    </row>
    <row r="46" ht="19.5" customHeight="1" spans="1:17">
      <c r="A46" s="10"/>
      <c r="B46" s="14"/>
      <c r="C46" s="21">
        <v>4</v>
      </c>
      <c r="D46" s="10"/>
      <c r="E46" s="221">
        <f t="shared" ref="E46:Q46" si="18">SUM(E42:E45)</f>
        <v>2308752.41666667</v>
      </c>
      <c r="F46" s="913">
        <f t="shared" si="18"/>
        <v>1791556.25</v>
      </c>
      <c r="G46" s="221">
        <f t="shared" si="18"/>
        <v>1065538.33333333</v>
      </c>
      <c r="H46" s="221">
        <f t="shared" si="18"/>
        <v>2857094.58333333</v>
      </c>
      <c r="I46" s="221">
        <f t="shared" si="18"/>
        <v>548342.166666664</v>
      </c>
      <c r="J46" s="221">
        <f t="shared" si="18"/>
        <v>182845.14</v>
      </c>
      <c r="K46" s="221">
        <f t="shared" si="18"/>
        <v>228567.566666666</v>
      </c>
      <c r="L46" s="221">
        <f t="shared" si="18"/>
        <v>45722.4266666664</v>
      </c>
      <c r="M46" s="221">
        <f t="shared" si="18"/>
        <v>0</v>
      </c>
      <c r="N46" s="221">
        <f t="shared" si="18"/>
        <v>11465.2</v>
      </c>
      <c r="O46" s="221">
        <f t="shared" si="18"/>
        <v>11465.2</v>
      </c>
      <c r="P46" s="221">
        <f t="shared" si="18"/>
        <v>2742810.8</v>
      </c>
      <c r="Q46" s="221">
        <f t="shared" si="18"/>
        <v>0</v>
      </c>
    </row>
    <row r="47" customHeight="1" spans="1:17">
      <c r="A47" s="10"/>
      <c r="B47" s="14"/>
      <c r="C47" s="4"/>
      <c r="D47" s="10"/>
      <c r="E47" s="221"/>
      <c r="F47" s="913"/>
      <c r="G47" s="221"/>
      <c r="H47" s="220"/>
      <c r="I47" s="220"/>
      <c r="J47" s="912"/>
      <c r="K47" s="912"/>
      <c r="L47" s="912"/>
      <c r="M47" s="912"/>
      <c r="N47" s="912"/>
      <c r="O47" s="912"/>
      <c r="P47" s="912"/>
      <c r="Q47" s="912"/>
    </row>
    <row r="48" customHeight="1" spans="1:17">
      <c r="A48" s="10"/>
      <c r="B48" s="23" t="s">
        <v>137</v>
      </c>
      <c r="C48" s="5"/>
      <c r="D48" s="24"/>
      <c r="E48" s="221"/>
      <c r="F48" s="913"/>
      <c r="G48" s="221"/>
      <c r="H48" s="220"/>
      <c r="I48" s="220"/>
      <c r="J48" s="912"/>
      <c r="K48" s="912"/>
      <c r="L48" s="912"/>
      <c r="M48" s="912"/>
      <c r="N48" s="912"/>
      <c r="O48" s="912"/>
      <c r="P48" s="912"/>
      <c r="Q48" s="912"/>
    </row>
    <row r="49" customHeight="1" spans="1:17">
      <c r="A49" s="10">
        <v>1</v>
      </c>
      <c r="B49" s="11" t="s">
        <v>138</v>
      </c>
      <c r="C49" s="4" t="s">
        <v>648</v>
      </c>
      <c r="D49" s="10" t="s">
        <v>36</v>
      </c>
      <c r="E49" s="85">
        <v>762373.166666667</v>
      </c>
      <c r="F49" s="911">
        <v>554669.5</v>
      </c>
      <c r="G49" s="220">
        <v>350637.25</v>
      </c>
      <c r="H49" s="914">
        <f t="shared" ref="H49:H56" si="19">F49+G49</f>
        <v>905306.75</v>
      </c>
      <c r="I49" s="220">
        <f t="shared" ref="I49:I56" si="20">H49-E49</f>
        <v>142933.583333333</v>
      </c>
      <c r="J49" s="912">
        <v>59136.2866666667</v>
      </c>
      <c r="K49" s="912">
        <f t="shared" ref="K49:K56" si="21">H49*0.08</f>
        <v>72424.54</v>
      </c>
      <c r="L49" s="912">
        <f t="shared" ref="L49:L56" si="22">K49-J49</f>
        <v>13288.2533333333</v>
      </c>
      <c r="M49" s="912"/>
      <c r="N49" s="912"/>
      <c r="O49" s="912">
        <f t="shared" ref="O49:O56" si="23">N49-M49</f>
        <v>0</v>
      </c>
      <c r="P49" s="912">
        <f t="shared" ref="P49:P56" si="24">K49*12</f>
        <v>869094.48</v>
      </c>
      <c r="Q49" s="912"/>
    </row>
    <row r="50" customHeight="1" spans="1:17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220">
        <v>285466.5</v>
      </c>
      <c r="H50" s="914">
        <f t="shared" si="19"/>
        <v>744477</v>
      </c>
      <c r="I50" s="220">
        <f t="shared" si="20"/>
        <v>123801.416666667</v>
      </c>
      <c r="J50" s="912">
        <v>49654.0466666667</v>
      </c>
      <c r="K50" s="912">
        <f t="shared" si="21"/>
        <v>59558.16</v>
      </c>
      <c r="L50" s="912">
        <f t="shared" si="22"/>
        <v>9904.11333333331</v>
      </c>
      <c r="M50" s="912"/>
      <c r="N50" s="912"/>
      <c r="O50" s="912">
        <f t="shared" si="23"/>
        <v>0</v>
      </c>
      <c r="P50" s="912">
        <f t="shared" si="24"/>
        <v>714697.92</v>
      </c>
      <c r="Q50" s="912"/>
    </row>
    <row r="51" customHeight="1" spans="1:17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220">
        <v>285466.5</v>
      </c>
      <c r="H51" s="914">
        <f t="shared" si="19"/>
        <v>744477</v>
      </c>
      <c r="I51" s="220">
        <f t="shared" si="20"/>
        <v>123801.416666667</v>
      </c>
      <c r="J51" s="912">
        <v>49654.0466666667</v>
      </c>
      <c r="K51" s="912">
        <f t="shared" si="21"/>
        <v>59558.16</v>
      </c>
      <c r="L51" s="912">
        <f t="shared" si="22"/>
        <v>9904.11333333331</v>
      </c>
      <c r="M51" s="912">
        <v>8380.22708333333</v>
      </c>
      <c r="N51" s="912">
        <f>0.025*F51</f>
        <v>11475.2625</v>
      </c>
      <c r="O51" s="912">
        <f t="shared" si="23"/>
        <v>3095.03541666667</v>
      </c>
      <c r="P51" s="912">
        <f t="shared" si="24"/>
        <v>714697.92</v>
      </c>
      <c r="Q51" s="912">
        <f>N51*12</f>
        <v>137703.15</v>
      </c>
    </row>
    <row r="52" customHeight="1" spans="1:17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220">
        <v>276599.666666667</v>
      </c>
      <c r="H52" s="914">
        <f t="shared" si="19"/>
        <v>722595.5</v>
      </c>
      <c r="I52" s="220">
        <f t="shared" si="20"/>
        <v>121198.666666667</v>
      </c>
      <c r="J52" s="912">
        <v>46569.4466666667</v>
      </c>
      <c r="K52" s="912">
        <f t="shared" si="21"/>
        <v>57807.64</v>
      </c>
      <c r="L52" s="912">
        <f t="shared" si="22"/>
        <v>11238.1933333333</v>
      </c>
      <c r="M52" s="912"/>
      <c r="N52" s="912"/>
      <c r="O52" s="912">
        <f t="shared" si="23"/>
        <v>0</v>
      </c>
      <c r="P52" s="912">
        <f t="shared" si="24"/>
        <v>693691.68</v>
      </c>
      <c r="Q52" s="912"/>
    </row>
    <row r="53" customHeight="1" spans="1:17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220">
        <v>267732.833333333</v>
      </c>
      <c r="H53" s="914">
        <f t="shared" si="19"/>
        <v>700713.916666666</v>
      </c>
      <c r="I53" s="220">
        <f t="shared" si="20"/>
        <v>118595.833333333</v>
      </c>
      <c r="J53" s="912">
        <v>46569.45</v>
      </c>
      <c r="K53" s="912">
        <f t="shared" si="21"/>
        <v>56057.1133333333</v>
      </c>
      <c r="L53" s="912">
        <f t="shared" si="22"/>
        <v>9487.66333333329</v>
      </c>
      <c r="M53" s="912"/>
      <c r="N53" s="912"/>
      <c r="O53" s="912">
        <f t="shared" si="23"/>
        <v>0</v>
      </c>
      <c r="P53" s="912">
        <f t="shared" si="24"/>
        <v>672685.359999999</v>
      </c>
      <c r="Q53" s="912"/>
    </row>
    <row r="54" customHeight="1" spans="1:17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220">
        <v>143964.666666667</v>
      </c>
      <c r="H54" s="914">
        <f t="shared" si="19"/>
        <v>390135.833333334</v>
      </c>
      <c r="I54" s="220">
        <f t="shared" si="20"/>
        <v>81234.333333334</v>
      </c>
      <c r="J54" s="912">
        <v>24077.2466666667</v>
      </c>
      <c r="K54" s="912">
        <f t="shared" si="21"/>
        <v>31210.8666666667</v>
      </c>
      <c r="L54" s="912">
        <f t="shared" si="22"/>
        <v>7133.62000000002</v>
      </c>
      <c r="M54" s="912"/>
      <c r="N54" s="912"/>
      <c r="O54" s="912">
        <f t="shared" si="23"/>
        <v>0</v>
      </c>
      <c r="P54" s="912">
        <f t="shared" si="24"/>
        <v>374530.400000001</v>
      </c>
      <c r="Q54" s="912"/>
    </row>
    <row r="55" customHeight="1" spans="1:17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220">
        <v>124341.583333333</v>
      </c>
      <c r="H55" s="914">
        <f t="shared" si="19"/>
        <v>347016.166666666</v>
      </c>
      <c r="I55" s="220">
        <f t="shared" si="20"/>
        <v>76534.499999999</v>
      </c>
      <c r="J55" s="912">
        <v>21053.2266666667</v>
      </c>
      <c r="K55" s="912">
        <f t="shared" si="21"/>
        <v>27761.2933333333</v>
      </c>
      <c r="L55" s="912">
        <f t="shared" si="22"/>
        <v>6708.06666666658</v>
      </c>
      <c r="M55" s="912"/>
      <c r="N55" s="912"/>
      <c r="O55" s="912">
        <f t="shared" si="23"/>
        <v>0</v>
      </c>
      <c r="P55" s="912">
        <f t="shared" si="24"/>
        <v>333135.519999999</v>
      </c>
      <c r="Q55" s="912"/>
    </row>
    <row r="56" customHeight="1" spans="1:17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220">
        <v>124341.583333333</v>
      </c>
      <c r="H56" s="914">
        <f t="shared" si="19"/>
        <v>347016.166666666</v>
      </c>
      <c r="I56" s="220">
        <f t="shared" si="20"/>
        <v>76534.499999999</v>
      </c>
      <c r="J56" s="912">
        <v>21053.2266666667</v>
      </c>
      <c r="K56" s="912">
        <f t="shared" si="21"/>
        <v>27761.2933333333</v>
      </c>
      <c r="L56" s="912">
        <f t="shared" si="22"/>
        <v>6708.06666666658</v>
      </c>
      <c r="M56" s="912"/>
      <c r="N56" s="912"/>
      <c r="O56" s="912">
        <f t="shared" si="23"/>
        <v>0</v>
      </c>
      <c r="P56" s="912">
        <f t="shared" si="24"/>
        <v>333135.519999999</v>
      </c>
      <c r="Q56" s="912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25">SUM(E49:E56)</f>
        <v>4037104.08333333</v>
      </c>
      <c r="F57" s="915">
        <f t="shared" si="25"/>
        <v>3043187.75</v>
      </c>
      <c r="G57" s="93">
        <f t="shared" si="25"/>
        <v>1858550.58333333</v>
      </c>
      <c r="H57" s="93">
        <f t="shared" si="25"/>
        <v>4901738.33333333</v>
      </c>
      <c r="I57" s="93">
        <f t="shared" si="25"/>
        <v>864634.249999999</v>
      </c>
      <c r="J57" s="93">
        <f t="shared" si="25"/>
        <v>317766.976666667</v>
      </c>
      <c r="K57" s="93">
        <f t="shared" si="25"/>
        <v>392139.066666667</v>
      </c>
      <c r="L57" s="93">
        <f t="shared" si="25"/>
        <v>74372.0899999997</v>
      </c>
      <c r="M57" s="93">
        <f t="shared" si="25"/>
        <v>8380.22708333333</v>
      </c>
      <c r="N57" s="93">
        <f t="shared" si="25"/>
        <v>11475.2625</v>
      </c>
      <c r="O57" s="93">
        <f t="shared" si="25"/>
        <v>3095.03541666667</v>
      </c>
      <c r="P57" s="93">
        <f t="shared" si="25"/>
        <v>4705668.8</v>
      </c>
      <c r="Q57" s="93">
        <f t="shared" si="25"/>
        <v>137703.15</v>
      </c>
    </row>
    <row r="58" customHeight="1" spans="1:17">
      <c r="A58" s="10"/>
      <c r="B58" s="22"/>
      <c r="C58" s="21"/>
      <c r="D58" s="21"/>
      <c r="E58" s="156"/>
      <c r="F58" s="916"/>
      <c r="G58" s="156"/>
      <c r="H58" s="220"/>
      <c r="I58" s="220"/>
      <c r="J58" s="912"/>
      <c r="K58" s="912"/>
      <c r="L58" s="912"/>
      <c r="M58" s="912"/>
      <c r="N58" s="912"/>
      <c r="O58" s="912"/>
      <c r="P58" s="912"/>
      <c r="Q58" s="912"/>
    </row>
    <row r="59" customHeight="1" spans="1:17">
      <c r="A59" s="10"/>
      <c r="B59" s="20" t="s">
        <v>159</v>
      </c>
      <c r="C59" s="21"/>
      <c r="D59" s="21"/>
      <c r="E59" s="156"/>
      <c r="F59" s="916"/>
      <c r="G59" s="156"/>
      <c r="H59" s="220"/>
      <c r="I59" s="220"/>
      <c r="J59" s="912"/>
      <c r="K59" s="912"/>
      <c r="L59" s="912"/>
      <c r="M59" s="912"/>
      <c r="N59" s="912"/>
      <c r="O59" s="912"/>
      <c r="P59" s="912"/>
      <c r="Q59" s="912"/>
    </row>
    <row r="60" customHeight="1" spans="1:17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220">
        <v>660329.333333333</v>
      </c>
      <c r="H60" s="914">
        <f t="shared" ref="H60:H71" si="26">F60+G60</f>
        <v>1747106.41666666</v>
      </c>
      <c r="I60" s="220">
        <f t="shared" ref="I60:I71" si="27">H60-E60</f>
        <v>311386.416666663</v>
      </c>
      <c r="J60" s="912">
        <v>114857.6</v>
      </c>
      <c r="K60" s="912">
        <f t="shared" ref="K60:K71" si="28">H60*0.08</f>
        <v>139768.513333333</v>
      </c>
      <c r="L60" s="912">
        <f t="shared" ref="L60:L71" si="29">K60-J60</f>
        <v>24910.913333333</v>
      </c>
      <c r="M60" s="912"/>
      <c r="N60" s="912"/>
      <c r="O60" s="912">
        <f t="shared" ref="O60:O71" si="30">N60-M60</f>
        <v>0</v>
      </c>
      <c r="P60" s="912">
        <f t="shared" ref="P60:P71" si="31">K60*12</f>
        <v>1677222.16</v>
      </c>
      <c r="Q60" s="912"/>
    </row>
    <row r="61" customHeight="1" spans="1:17">
      <c r="A61" s="10">
        <v>2</v>
      </c>
      <c r="B61" s="11" t="s">
        <v>162</v>
      </c>
      <c r="C61" s="12" t="s">
        <v>485</v>
      </c>
      <c r="D61" s="15" t="s">
        <v>486</v>
      </c>
      <c r="E61" s="85">
        <v>620675.583333333</v>
      </c>
      <c r="F61" s="911">
        <v>459010.5</v>
      </c>
      <c r="G61" s="220">
        <v>285466.5</v>
      </c>
      <c r="H61" s="914">
        <f t="shared" si="26"/>
        <v>744477</v>
      </c>
      <c r="I61" s="220">
        <f t="shared" si="27"/>
        <v>123801.416666667</v>
      </c>
      <c r="J61" s="912">
        <v>49654.0466666667</v>
      </c>
      <c r="K61" s="912">
        <f t="shared" si="28"/>
        <v>59558.16</v>
      </c>
      <c r="L61" s="912">
        <f t="shared" si="29"/>
        <v>9904.11333333331</v>
      </c>
      <c r="M61" s="912"/>
      <c r="N61" s="912"/>
      <c r="O61" s="912">
        <f t="shared" si="30"/>
        <v>0</v>
      </c>
      <c r="P61" s="912">
        <f t="shared" si="31"/>
        <v>714697.92</v>
      </c>
      <c r="Q61" s="912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32">SUM(E60:E61)</f>
        <v>2056395.58333333</v>
      </c>
      <c r="F62" s="915">
        <f t="shared" si="32"/>
        <v>1545787.58333333</v>
      </c>
      <c r="G62" s="93">
        <f t="shared" si="32"/>
        <v>945795.833333333</v>
      </c>
      <c r="H62" s="93">
        <f t="shared" si="32"/>
        <v>2491583.41666666</v>
      </c>
      <c r="I62" s="93">
        <f t="shared" si="32"/>
        <v>435187.83333333</v>
      </c>
      <c r="J62" s="93">
        <f t="shared" si="32"/>
        <v>164511.646666667</v>
      </c>
      <c r="K62" s="93">
        <f t="shared" si="32"/>
        <v>199326.673333333</v>
      </c>
      <c r="L62" s="93">
        <f t="shared" si="32"/>
        <v>34815.0266666663</v>
      </c>
      <c r="M62" s="93">
        <f t="shared" si="32"/>
        <v>0</v>
      </c>
      <c r="N62" s="93">
        <f t="shared" si="32"/>
        <v>0</v>
      </c>
      <c r="O62" s="93">
        <f t="shared" si="32"/>
        <v>0</v>
      </c>
      <c r="P62" s="93">
        <f t="shared" si="32"/>
        <v>2391920.08</v>
      </c>
      <c r="Q62" s="93">
        <f t="shared" si="32"/>
        <v>0</v>
      </c>
    </row>
    <row r="63" customHeight="1" spans="1:17">
      <c r="A63" s="10"/>
      <c r="B63" s="20"/>
      <c r="C63" s="21"/>
      <c r="D63" s="21"/>
      <c r="E63" s="156"/>
      <c r="F63" s="916"/>
      <c r="G63" s="156"/>
      <c r="H63" s="220"/>
      <c r="I63" s="220"/>
      <c r="J63" s="912"/>
      <c r="K63" s="912"/>
      <c r="L63" s="912"/>
      <c r="M63" s="912"/>
      <c r="N63" s="912"/>
      <c r="O63" s="912"/>
      <c r="P63" s="912"/>
      <c r="Q63" s="912"/>
    </row>
    <row r="64" customHeight="1" spans="1:17">
      <c r="A64" s="10"/>
      <c r="B64" s="20" t="s">
        <v>164</v>
      </c>
      <c r="C64" s="21"/>
      <c r="D64" s="21"/>
      <c r="E64" s="156"/>
      <c r="F64" s="916"/>
      <c r="G64" s="156"/>
      <c r="H64" s="220"/>
      <c r="I64" s="220"/>
      <c r="J64" s="912"/>
      <c r="K64" s="912"/>
      <c r="L64" s="912"/>
      <c r="M64" s="912"/>
      <c r="N64" s="912"/>
      <c r="O64" s="912"/>
      <c r="P64" s="912"/>
      <c r="Q64" s="912"/>
    </row>
    <row r="65" customHeight="1" spans="1:17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85">
        <v>350637.25</v>
      </c>
      <c r="H65" s="220">
        <f t="shared" si="26"/>
        <v>905306.75</v>
      </c>
      <c r="I65" s="220">
        <f t="shared" si="27"/>
        <v>142933.583333333</v>
      </c>
      <c r="J65" s="912">
        <v>60989.8533333333</v>
      </c>
      <c r="K65" s="912">
        <f t="shared" si="28"/>
        <v>72424.54</v>
      </c>
      <c r="L65" s="912">
        <f t="shared" si="29"/>
        <v>11434.6866666667</v>
      </c>
      <c r="M65" s="912">
        <v>10293.3979166667</v>
      </c>
      <c r="N65" s="912">
        <f>0.025*F65</f>
        <v>13866.7375</v>
      </c>
      <c r="O65" s="912">
        <f t="shared" si="30"/>
        <v>3573.3395833333</v>
      </c>
      <c r="P65" s="912">
        <f t="shared" si="31"/>
        <v>869094.48</v>
      </c>
      <c r="Q65" s="912">
        <f>N65*12</f>
        <v>166400.85</v>
      </c>
    </row>
    <row r="66" customHeight="1" spans="1:17">
      <c r="A66" s="10">
        <v>2</v>
      </c>
      <c r="B66" s="11" t="s">
        <v>167</v>
      </c>
      <c r="C66" s="4" t="s">
        <v>52</v>
      </c>
      <c r="D66" s="10" t="s">
        <v>214</v>
      </c>
      <c r="E66" s="85">
        <v>456622.25</v>
      </c>
      <c r="F66" s="911">
        <v>347715.916666667</v>
      </c>
      <c r="G66" s="220">
        <v>210449.333333333</v>
      </c>
      <c r="H66" s="220">
        <f t="shared" si="26"/>
        <v>558165.25</v>
      </c>
      <c r="I66" s="220">
        <f t="shared" si="27"/>
        <v>101543</v>
      </c>
      <c r="J66" s="912">
        <v>35419.72</v>
      </c>
      <c r="K66" s="912">
        <f t="shared" si="28"/>
        <v>44653.22</v>
      </c>
      <c r="L66" s="912">
        <f t="shared" si="29"/>
        <v>9233.5</v>
      </c>
      <c r="M66" s="912"/>
      <c r="N66" s="912"/>
      <c r="O66" s="912">
        <f t="shared" si="30"/>
        <v>0</v>
      </c>
      <c r="P66" s="912">
        <f t="shared" si="31"/>
        <v>535838.64</v>
      </c>
      <c r="Q66" s="912"/>
    </row>
    <row r="67" customHeight="1" spans="1:17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220">
        <v>174165.25</v>
      </c>
      <c r="H67" s="220">
        <f t="shared" si="26"/>
        <v>468828.166666667</v>
      </c>
      <c r="I67" s="220">
        <f t="shared" si="27"/>
        <v>90933</v>
      </c>
      <c r="J67" s="912">
        <v>29256.3066666667</v>
      </c>
      <c r="K67" s="912">
        <f t="shared" si="28"/>
        <v>37506.2533333334</v>
      </c>
      <c r="L67" s="912">
        <f t="shared" si="29"/>
        <v>8249.94666666666</v>
      </c>
      <c r="M67" s="912"/>
      <c r="N67" s="912"/>
      <c r="O67" s="912">
        <f t="shared" si="30"/>
        <v>0</v>
      </c>
      <c r="P67" s="912">
        <f t="shared" si="31"/>
        <v>450075.04</v>
      </c>
      <c r="Q67" s="912"/>
    </row>
    <row r="68" customHeight="1" spans="1:17">
      <c r="A68" s="10">
        <v>4</v>
      </c>
      <c r="B68" s="11" t="s">
        <v>172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220">
        <v>174165.25</v>
      </c>
      <c r="H68" s="220">
        <f t="shared" si="26"/>
        <v>468828.166666667</v>
      </c>
      <c r="I68" s="220">
        <f t="shared" si="27"/>
        <v>90933</v>
      </c>
      <c r="J68" s="912">
        <v>29256.3066666667</v>
      </c>
      <c r="K68" s="912">
        <f t="shared" si="28"/>
        <v>37506.2533333334</v>
      </c>
      <c r="L68" s="912">
        <f t="shared" si="29"/>
        <v>8249.94666666666</v>
      </c>
      <c r="M68" s="912"/>
      <c r="N68" s="912"/>
      <c r="O68" s="912">
        <f t="shared" si="30"/>
        <v>0</v>
      </c>
      <c r="P68" s="912">
        <f t="shared" si="31"/>
        <v>450075.04</v>
      </c>
      <c r="Q68" s="912"/>
    </row>
    <row r="69" customHeight="1" spans="1:17">
      <c r="A69" s="10">
        <v>5</v>
      </c>
      <c r="B69" s="11" t="s">
        <v>174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220">
        <v>174165.25</v>
      </c>
      <c r="H69" s="220">
        <f t="shared" si="26"/>
        <v>468828.166666667</v>
      </c>
      <c r="I69" s="220">
        <f t="shared" si="27"/>
        <v>90933</v>
      </c>
      <c r="J69" s="912">
        <v>29256.3066666667</v>
      </c>
      <c r="K69" s="912">
        <f t="shared" si="28"/>
        <v>37506.2533333334</v>
      </c>
      <c r="L69" s="912">
        <f t="shared" si="29"/>
        <v>8249.94666666666</v>
      </c>
      <c r="M69" s="912"/>
      <c r="N69" s="912"/>
      <c r="O69" s="912">
        <f t="shared" si="30"/>
        <v>0</v>
      </c>
      <c r="P69" s="912">
        <f t="shared" si="31"/>
        <v>450075.04</v>
      </c>
      <c r="Q69" s="912"/>
    </row>
    <row r="70" customHeight="1" spans="1:17">
      <c r="A70" s="10">
        <v>6</v>
      </c>
      <c r="B70" s="11" t="s">
        <v>175</v>
      </c>
      <c r="C70" s="4" t="s">
        <v>649</v>
      </c>
      <c r="D70" s="10" t="s">
        <v>173</v>
      </c>
      <c r="E70" s="457">
        <v>390086.5</v>
      </c>
      <c r="F70" s="911">
        <v>302878.666666667</v>
      </c>
      <c r="G70" s="220">
        <v>179784</v>
      </c>
      <c r="H70" s="220">
        <f t="shared" si="26"/>
        <v>482662.666666667</v>
      </c>
      <c r="I70" s="220">
        <f t="shared" si="27"/>
        <v>92576.166666667</v>
      </c>
      <c r="J70" s="912">
        <v>30231.6133333333</v>
      </c>
      <c r="K70" s="912">
        <f t="shared" si="28"/>
        <v>38613.0133333334</v>
      </c>
      <c r="L70" s="912">
        <f t="shared" si="29"/>
        <v>8381.40000000006</v>
      </c>
      <c r="M70" s="912"/>
      <c r="N70" s="912"/>
      <c r="O70" s="912">
        <f t="shared" si="30"/>
        <v>0</v>
      </c>
      <c r="P70" s="912">
        <f t="shared" si="31"/>
        <v>463356.16</v>
      </c>
      <c r="Q70" s="912"/>
    </row>
    <row r="71" ht="21.6" customHeight="1" spans="1:17">
      <c r="A71" s="10">
        <v>7</v>
      </c>
      <c r="B71" s="11" t="s">
        <v>179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220">
        <v>143964.666666667</v>
      </c>
      <c r="H71" s="220">
        <f t="shared" si="26"/>
        <v>390135.833333334</v>
      </c>
      <c r="I71" s="220">
        <f t="shared" si="27"/>
        <v>81234.333333334</v>
      </c>
      <c r="J71" s="912">
        <v>24077.2466666667</v>
      </c>
      <c r="K71" s="912">
        <f t="shared" si="28"/>
        <v>31210.8666666667</v>
      </c>
      <c r="L71" s="912">
        <f t="shared" si="29"/>
        <v>7133.62000000002</v>
      </c>
      <c r="M71" s="912"/>
      <c r="N71" s="912">
        <f>0.025*F71</f>
        <v>6154.27916666668</v>
      </c>
      <c r="O71" s="912">
        <f t="shared" si="30"/>
        <v>6154.27916666668</v>
      </c>
      <c r="P71" s="912">
        <f t="shared" si="31"/>
        <v>374530.400000001</v>
      </c>
      <c r="Q71" s="912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33">SUM(E65:E71)</f>
        <v>3051668.91666667</v>
      </c>
      <c r="F72" s="915">
        <f t="shared" si="33"/>
        <v>2335424</v>
      </c>
      <c r="G72" s="93">
        <f t="shared" si="33"/>
        <v>1407331</v>
      </c>
      <c r="H72" s="93">
        <f t="shared" si="33"/>
        <v>3742755</v>
      </c>
      <c r="I72" s="93">
        <f t="shared" si="33"/>
        <v>691086.083333334</v>
      </c>
      <c r="J72" s="93">
        <f t="shared" si="33"/>
        <v>238487.353333333</v>
      </c>
      <c r="K72" s="93">
        <f t="shared" si="33"/>
        <v>299420.4</v>
      </c>
      <c r="L72" s="93">
        <f t="shared" si="33"/>
        <v>60933.0466666668</v>
      </c>
      <c r="M72" s="93">
        <f t="shared" si="33"/>
        <v>10293.3979166667</v>
      </c>
      <c r="N72" s="93">
        <f t="shared" si="33"/>
        <v>20021.0166666667</v>
      </c>
      <c r="O72" s="93">
        <f t="shared" si="33"/>
        <v>9727.61874999998</v>
      </c>
      <c r="P72" s="93">
        <f t="shared" si="33"/>
        <v>3593044.8</v>
      </c>
      <c r="Q72" s="93">
        <f t="shared" si="33"/>
        <v>166400.85</v>
      </c>
    </row>
    <row r="73" customHeight="1" spans="1:17">
      <c r="A73" s="10"/>
      <c r="B73" s="22"/>
      <c r="C73" s="21"/>
      <c r="D73" s="21"/>
      <c r="E73" s="156"/>
      <c r="F73" s="916"/>
      <c r="G73" s="156"/>
      <c r="H73" s="220"/>
      <c r="I73" s="220"/>
      <c r="J73" s="912"/>
      <c r="K73" s="912"/>
      <c r="L73" s="912"/>
      <c r="M73" s="912"/>
      <c r="N73" s="912"/>
      <c r="O73" s="912"/>
      <c r="P73" s="912"/>
      <c r="Q73" s="912"/>
    </row>
    <row r="74" customHeight="1" spans="1:17">
      <c r="A74" s="10"/>
      <c r="B74" s="20" t="s">
        <v>183</v>
      </c>
      <c r="C74" s="21"/>
      <c r="D74" s="21"/>
      <c r="E74" s="156"/>
      <c r="F74" s="916"/>
      <c r="G74" s="156"/>
      <c r="H74" s="220"/>
      <c r="I74" s="220"/>
      <c r="J74" s="912"/>
      <c r="K74" s="912"/>
      <c r="L74" s="912"/>
      <c r="M74" s="912"/>
      <c r="N74" s="912"/>
      <c r="O74" s="912"/>
      <c r="P74" s="912"/>
      <c r="Q74" s="912"/>
    </row>
    <row r="75" customHeight="1" spans="1:17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911">
        <v>1086777.08333333</v>
      </c>
      <c r="G75" s="220">
        <v>660329.333333333</v>
      </c>
      <c r="H75" s="914">
        <f t="shared" ref="H75:H80" si="34">F75+G75</f>
        <v>1747106.41666666</v>
      </c>
      <c r="I75" s="220">
        <f t="shared" ref="I75:I80" si="35">H75-E75</f>
        <v>311386.416666663</v>
      </c>
      <c r="J75" s="912">
        <v>114857.6</v>
      </c>
      <c r="K75" s="912">
        <f t="shared" ref="K75:K80" si="36">H75*0.08</f>
        <v>139768.513333333</v>
      </c>
      <c r="L75" s="912">
        <f t="shared" ref="L75:L80" si="37">K75-J75</f>
        <v>24910.913333333</v>
      </c>
      <c r="M75" s="912"/>
      <c r="N75" s="912"/>
      <c r="O75" s="912">
        <f t="shared" ref="O75:O80" si="38">N75-M75</f>
        <v>0</v>
      </c>
      <c r="P75" s="912">
        <f t="shared" ref="P75:P80" si="39">K75*12</f>
        <v>1677222.16</v>
      </c>
      <c r="Q75" s="912"/>
    </row>
    <row r="76" customHeight="1" spans="1:17">
      <c r="A76" s="10">
        <v>2</v>
      </c>
      <c r="B76" s="11" t="s">
        <v>188</v>
      </c>
      <c r="C76" s="4" t="s">
        <v>189</v>
      </c>
      <c r="D76" s="10" t="s">
        <v>42</v>
      </c>
      <c r="E76" s="85">
        <v>582118.083333333</v>
      </c>
      <c r="F76" s="911">
        <v>445995.833333333</v>
      </c>
      <c r="G76" s="220">
        <v>276599.666666667</v>
      </c>
      <c r="H76" s="914">
        <f t="shared" si="34"/>
        <v>722595.5</v>
      </c>
      <c r="I76" s="220">
        <f t="shared" si="35"/>
        <v>140477.416666667</v>
      </c>
      <c r="J76" s="912">
        <v>46569.4466666667</v>
      </c>
      <c r="K76" s="912">
        <f t="shared" si="36"/>
        <v>57807.64</v>
      </c>
      <c r="L76" s="912">
        <f t="shared" si="37"/>
        <v>11238.1933333333</v>
      </c>
      <c r="M76" s="912"/>
      <c r="N76" s="912"/>
      <c r="O76" s="912">
        <f t="shared" si="38"/>
        <v>0</v>
      </c>
      <c r="P76" s="912">
        <f t="shared" si="39"/>
        <v>693691.68</v>
      </c>
      <c r="Q76" s="912"/>
    </row>
    <row r="77" customHeight="1" spans="1:17">
      <c r="A77" s="10">
        <v>3</v>
      </c>
      <c r="B77" s="11" t="s">
        <v>190</v>
      </c>
      <c r="C77" s="4" t="s">
        <v>191</v>
      </c>
      <c r="D77" s="15" t="s">
        <v>47</v>
      </c>
      <c r="E77" s="85">
        <v>470498</v>
      </c>
      <c r="F77" s="911">
        <v>357066.666666667</v>
      </c>
      <c r="G77" s="220">
        <v>216844.416666667</v>
      </c>
      <c r="H77" s="914">
        <f t="shared" si="34"/>
        <v>573911.083333334</v>
      </c>
      <c r="I77" s="220">
        <f t="shared" si="35"/>
        <v>103413.083333334</v>
      </c>
      <c r="J77" s="912">
        <v>36529.78</v>
      </c>
      <c r="K77" s="912">
        <f t="shared" si="36"/>
        <v>45912.8866666667</v>
      </c>
      <c r="L77" s="912">
        <f t="shared" si="37"/>
        <v>9383.10666666672</v>
      </c>
      <c r="M77" s="912">
        <v>6154.32291666667</v>
      </c>
      <c r="N77" s="912">
        <f>0.025*F77</f>
        <v>8926.66666666668</v>
      </c>
      <c r="O77" s="912">
        <f t="shared" si="38"/>
        <v>2772.34375000001</v>
      </c>
      <c r="P77" s="912">
        <f t="shared" si="39"/>
        <v>550954.640000001</v>
      </c>
      <c r="Q77" s="912">
        <f>N77*12</f>
        <v>107120</v>
      </c>
    </row>
    <row r="78" customHeight="1" spans="1:17">
      <c r="A78" s="10">
        <v>4</v>
      </c>
      <c r="B78" s="11" t="s">
        <v>197</v>
      </c>
      <c r="C78" s="4" t="s">
        <v>198</v>
      </c>
      <c r="D78" s="10" t="s">
        <v>131</v>
      </c>
      <c r="E78" s="85">
        <v>365703.833333333</v>
      </c>
      <c r="F78" s="911">
        <v>286447.083333333</v>
      </c>
      <c r="G78" s="220">
        <v>168546.5</v>
      </c>
      <c r="H78" s="914">
        <f t="shared" si="34"/>
        <v>454993.583333333</v>
      </c>
      <c r="I78" s="220">
        <f t="shared" si="35"/>
        <v>89289.75</v>
      </c>
      <c r="J78" s="912">
        <v>28281</v>
      </c>
      <c r="K78" s="912">
        <f t="shared" si="36"/>
        <v>36399.4866666666</v>
      </c>
      <c r="L78" s="912">
        <f t="shared" si="37"/>
        <v>8118.48666666664</v>
      </c>
      <c r="M78" s="912"/>
      <c r="N78" s="912"/>
      <c r="O78" s="912">
        <f t="shared" si="38"/>
        <v>0</v>
      </c>
      <c r="P78" s="912">
        <f t="shared" si="39"/>
        <v>436793.84</v>
      </c>
      <c r="Q78" s="912"/>
    </row>
    <row r="79" customHeight="1" spans="1:17">
      <c r="A79" s="10">
        <v>5</v>
      </c>
      <c r="B79" s="11" t="s">
        <v>201</v>
      </c>
      <c r="C79" s="4" t="s">
        <v>182</v>
      </c>
      <c r="D79" s="10" t="s">
        <v>99</v>
      </c>
      <c r="E79" s="85">
        <v>263165.333333333</v>
      </c>
      <c r="F79" s="911">
        <v>222674.583333333</v>
      </c>
      <c r="G79" s="220">
        <v>124341.583333333</v>
      </c>
      <c r="H79" s="914">
        <f t="shared" si="34"/>
        <v>347016.166666666</v>
      </c>
      <c r="I79" s="220">
        <f t="shared" si="35"/>
        <v>83850.833333333</v>
      </c>
      <c r="J79" s="912">
        <v>21053.2266666667</v>
      </c>
      <c r="K79" s="912">
        <f t="shared" si="36"/>
        <v>27761.2933333333</v>
      </c>
      <c r="L79" s="912">
        <f t="shared" si="37"/>
        <v>6708.06666666658</v>
      </c>
      <c r="M79" s="912"/>
      <c r="N79" s="912">
        <f>0.025*F79</f>
        <v>5566.86458333332</v>
      </c>
      <c r="O79" s="912">
        <f t="shared" si="38"/>
        <v>5566.86458333332</v>
      </c>
      <c r="P79" s="912">
        <f t="shared" si="39"/>
        <v>333135.519999999</v>
      </c>
      <c r="Q79" s="912"/>
    </row>
    <row r="80" customHeight="1" spans="1:17">
      <c r="A80" s="10">
        <v>6</v>
      </c>
      <c r="B80" s="11" t="s">
        <v>203</v>
      </c>
      <c r="C80" s="4" t="s">
        <v>204</v>
      </c>
      <c r="D80" s="10" t="s">
        <v>108</v>
      </c>
      <c r="E80" s="85">
        <v>230631.916666667</v>
      </c>
      <c r="F80" s="911">
        <v>196364.416666667</v>
      </c>
      <c r="G80" s="220">
        <v>105546.333333333</v>
      </c>
      <c r="H80" s="914">
        <f t="shared" si="34"/>
        <v>301910.75</v>
      </c>
      <c r="I80" s="220">
        <f t="shared" si="35"/>
        <v>71278.833333333</v>
      </c>
      <c r="J80" s="912">
        <v>17956.78</v>
      </c>
      <c r="K80" s="912">
        <f t="shared" si="36"/>
        <v>24152.86</v>
      </c>
      <c r="L80" s="912">
        <f t="shared" si="37"/>
        <v>6196.08</v>
      </c>
      <c r="M80" s="912"/>
      <c r="N80" s="912"/>
      <c r="O80" s="912">
        <f t="shared" si="38"/>
        <v>0</v>
      </c>
      <c r="P80" s="912">
        <f t="shared" si="39"/>
        <v>289834.32</v>
      </c>
      <c r="Q80" s="912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40">SUM(E75:E80)</f>
        <v>3347837.16666667</v>
      </c>
      <c r="F81" s="915">
        <f t="shared" si="40"/>
        <v>2595325.66666666</v>
      </c>
      <c r="G81" s="93">
        <f t="shared" si="40"/>
        <v>1552207.83333333</v>
      </c>
      <c r="H81" s="93">
        <f t="shared" si="40"/>
        <v>4147533.5</v>
      </c>
      <c r="I81" s="93">
        <f t="shared" si="40"/>
        <v>799696.33333333</v>
      </c>
      <c r="J81" s="93">
        <f t="shared" si="40"/>
        <v>265247.833333333</v>
      </c>
      <c r="K81" s="93">
        <f t="shared" si="40"/>
        <v>331802.68</v>
      </c>
      <c r="L81" s="93">
        <f t="shared" si="40"/>
        <v>66554.8466666663</v>
      </c>
      <c r="M81" s="93">
        <f t="shared" si="40"/>
        <v>6154.32291666667</v>
      </c>
      <c r="N81" s="93">
        <f t="shared" si="40"/>
        <v>14493.53125</v>
      </c>
      <c r="O81" s="93">
        <f t="shared" si="40"/>
        <v>8339.20833333333</v>
      </c>
      <c r="P81" s="93">
        <f t="shared" si="40"/>
        <v>3981632.16</v>
      </c>
      <c r="Q81" s="93">
        <f t="shared" si="40"/>
        <v>107120</v>
      </c>
    </row>
    <row r="82" customHeight="1" spans="1:17">
      <c r="A82" s="10"/>
      <c r="B82" s="20"/>
      <c r="C82" s="21"/>
      <c r="D82" s="21"/>
      <c r="E82" s="156"/>
      <c r="F82" s="916"/>
      <c r="G82" s="156"/>
      <c r="H82" s="220"/>
      <c r="I82" s="220"/>
      <c r="J82" s="912"/>
      <c r="K82" s="912"/>
      <c r="L82" s="912"/>
      <c r="M82" s="912"/>
      <c r="N82" s="912"/>
      <c r="O82" s="912"/>
      <c r="P82" s="912"/>
      <c r="Q82" s="912"/>
    </row>
    <row r="83" customHeight="1" spans="1:17">
      <c r="A83" s="10"/>
      <c r="B83" s="20" t="s">
        <v>205</v>
      </c>
      <c r="C83" s="25"/>
      <c r="D83" s="21"/>
      <c r="E83" s="156"/>
      <c r="F83" s="916"/>
      <c r="G83" s="156"/>
      <c r="H83" s="220"/>
      <c r="I83" s="220"/>
      <c r="J83" s="912"/>
      <c r="K83" s="912"/>
      <c r="L83" s="912"/>
      <c r="M83" s="912"/>
      <c r="N83" s="912"/>
      <c r="O83" s="912"/>
      <c r="P83" s="912"/>
      <c r="Q83" s="912"/>
    </row>
    <row r="84" customHeight="1" spans="1:17">
      <c r="A84" s="10">
        <v>1</v>
      </c>
      <c r="B84" s="11" t="s">
        <v>206</v>
      </c>
      <c r="C84" s="4" t="s">
        <v>145</v>
      </c>
      <c r="D84" s="10" t="s">
        <v>304</v>
      </c>
      <c r="E84" s="85">
        <f>'[3]Annual &amp; Monthly'!$H$44</f>
        <v>1352042.66666667</v>
      </c>
      <c r="F84" s="911">
        <v>1025768.33333333</v>
      </c>
      <c r="G84" s="85">
        <v>621843.666666667</v>
      </c>
      <c r="H84" s="220">
        <f t="shared" ref="H84:H93" si="41">F84+G84</f>
        <v>1647612</v>
      </c>
      <c r="I84" s="220">
        <f t="shared" ref="I84:I93" si="42">H84-E84</f>
        <v>295569.333333333</v>
      </c>
      <c r="J84" s="912">
        <v>114857.6</v>
      </c>
      <c r="K84" s="912">
        <f t="shared" ref="K84:K93" si="43">H84*0.08</f>
        <v>131808.96</v>
      </c>
      <c r="L84" s="912">
        <f t="shared" ref="L84:L93" si="44">K84-J84</f>
        <v>16951.3599999998</v>
      </c>
      <c r="M84" s="912">
        <v>18254.975</v>
      </c>
      <c r="N84" s="912">
        <f>0.025*F84</f>
        <v>25644.2083333333</v>
      </c>
      <c r="O84" s="912">
        <f t="shared" ref="O84:O93" si="45">N84-M84</f>
        <v>7389.23333333325</v>
      </c>
      <c r="P84" s="912">
        <f t="shared" ref="P84:P93" si="46">12*K84</f>
        <v>1581707.52</v>
      </c>
      <c r="Q84" s="912">
        <f>N84*12</f>
        <v>307730.499999999</v>
      </c>
    </row>
    <row r="85" customHeight="1" spans="1:17">
      <c r="A85" s="10">
        <v>2</v>
      </c>
      <c r="B85" s="11" t="s">
        <v>208</v>
      </c>
      <c r="C85" s="4" t="s">
        <v>209</v>
      </c>
      <c r="D85" s="10" t="s">
        <v>143</v>
      </c>
      <c r="E85" s="85">
        <v>716034</v>
      </c>
      <c r="F85" s="911">
        <v>523386.5</v>
      </c>
      <c r="G85" s="85">
        <v>329324.583333333</v>
      </c>
      <c r="H85" s="220">
        <f t="shared" si="41"/>
        <v>852711.083333333</v>
      </c>
      <c r="I85" s="220">
        <f t="shared" si="42"/>
        <v>136677.083333333</v>
      </c>
      <c r="J85" s="912">
        <v>59136.2866666667</v>
      </c>
      <c r="K85" s="912">
        <f t="shared" si="43"/>
        <v>68216.8866666666</v>
      </c>
      <c r="L85" s="912">
        <f t="shared" si="44"/>
        <v>9080.59999999994</v>
      </c>
      <c r="M85" s="912"/>
      <c r="N85" s="912"/>
      <c r="O85" s="912">
        <f t="shared" si="45"/>
        <v>0</v>
      </c>
      <c r="P85" s="912">
        <f t="shared" si="46"/>
        <v>818602.64</v>
      </c>
      <c r="Q85" s="912"/>
    </row>
    <row r="86" customHeight="1" spans="1:17">
      <c r="A86" s="10">
        <v>3</v>
      </c>
      <c r="B86" s="11" t="s">
        <v>479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220">
        <v>276599.666666667</v>
      </c>
      <c r="H86" s="220">
        <f t="shared" si="41"/>
        <v>722595.5</v>
      </c>
      <c r="I86" s="220">
        <f t="shared" si="42"/>
        <v>121198.666666667</v>
      </c>
      <c r="J86" s="912">
        <v>46569.4466666667</v>
      </c>
      <c r="K86" s="912">
        <f t="shared" si="43"/>
        <v>57807.64</v>
      </c>
      <c r="L86" s="912">
        <f t="shared" si="44"/>
        <v>11238.1933333333</v>
      </c>
      <c r="M86" s="912"/>
      <c r="N86" s="912"/>
      <c r="O86" s="912">
        <f t="shared" si="45"/>
        <v>0</v>
      </c>
      <c r="P86" s="912">
        <f t="shared" si="46"/>
        <v>693691.68</v>
      </c>
      <c r="Q86" s="912"/>
    </row>
    <row r="87" ht="21.6" customHeight="1" spans="1:17">
      <c r="A87" s="10">
        <v>4</v>
      </c>
      <c r="B87" s="11" t="s">
        <v>211</v>
      </c>
      <c r="C87" s="4" t="s">
        <v>52</v>
      </c>
      <c r="D87" s="15" t="s">
        <v>214</v>
      </c>
      <c r="E87" s="85">
        <v>456622.25</v>
      </c>
      <c r="F87" s="911">
        <v>347715.916666667</v>
      </c>
      <c r="G87" s="220">
        <v>210449.333333333</v>
      </c>
      <c r="H87" s="220">
        <f t="shared" si="41"/>
        <v>558165.25</v>
      </c>
      <c r="I87" s="220">
        <f t="shared" si="42"/>
        <v>101543</v>
      </c>
      <c r="J87" s="912">
        <v>35344.3933333333</v>
      </c>
      <c r="K87" s="912">
        <f t="shared" si="43"/>
        <v>44653.22</v>
      </c>
      <c r="L87" s="912">
        <f t="shared" si="44"/>
        <v>9308.8266666667</v>
      </c>
      <c r="M87" s="912"/>
      <c r="N87" s="912"/>
      <c r="O87" s="912">
        <f t="shared" si="45"/>
        <v>0</v>
      </c>
      <c r="P87" s="912">
        <f t="shared" si="46"/>
        <v>535838.64</v>
      </c>
      <c r="Q87" s="912"/>
    </row>
    <row r="88" ht="21.6" customHeight="1" spans="1:17">
      <c r="A88" s="10">
        <v>5</v>
      </c>
      <c r="B88" s="11" t="s">
        <v>212</v>
      </c>
      <c r="C88" s="4" t="s">
        <v>52</v>
      </c>
      <c r="D88" s="15" t="s">
        <v>214</v>
      </c>
      <c r="E88" s="85">
        <v>456622.25</v>
      </c>
      <c r="F88" s="911">
        <v>347716.916666667</v>
      </c>
      <c r="G88" s="220">
        <v>210449.333333333</v>
      </c>
      <c r="H88" s="220">
        <f t="shared" si="41"/>
        <v>558166.25</v>
      </c>
      <c r="I88" s="220">
        <f t="shared" si="42"/>
        <v>101544</v>
      </c>
      <c r="J88" s="912">
        <v>35419.72</v>
      </c>
      <c r="K88" s="912">
        <f t="shared" si="43"/>
        <v>44653.3</v>
      </c>
      <c r="L88" s="912">
        <f t="shared" si="44"/>
        <v>9233.58</v>
      </c>
      <c r="M88" s="912"/>
      <c r="N88" s="912">
        <f t="shared" ref="N88:N93" si="47">0.025*F88</f>
        <v>8692.92291666668</v>
      </c>
      <c r="O88" s="912">
        <f t="shared" si="45"/>
        <v>8692.92291666668</v>
      </c>
      <c r="P88" s="912">
        <f t="shared" si="46"/>
        <v>535839.6</v>
      </c>
      <c r="Q88" s="912">
        <f>N88*12</f>
        <v>104315.075</v>
      </c>
    </row>
    <row r="89" ht="21.6" customHeight="1" spans="1:17">
      <c r="A89" s="10">
        <v>6</v>
      </c>
      <c r="B89" s="11" t="s">
        <v>213</v>
      </c>
      <c r="C89" s="12" t="s">
        <v>52</v>
      </c>
      <c r="D89" s="15" t="s">
        <v>53</v>
      </c>
      <c r="E89" s="85">
        <v>442746.5</v>
      </c>
      <c r="F89" s="911">
        <v>338365.25</v>
      </c>
      <c r="G89" s="220">
        <v>204054.25</v>
      </c>
      <c r="H89" s="220">
        <f t="shared" si="41"/>
        <v>542419.5</v>
      </c>
      <c r="I89" s="220">
        <f t="shared" si="42"/>
        <v>99673</v>
      </c>
      <c r="J89" s="912">
        <v>34309.66</v>
      </c>
      <c r="K89" s="912">
        <f t="shared" si="43"/>
        <v>43393.56</v>
      </c>
      <c r="L89" s="912">
        <f t="shared" si="44"/>
        <v>9083.89999999999</v>
      </c>
      <c r="M89" s="912"/>
      <c r="N89" s="912"/>
      <c r="O89" s="912">
        <f t="shared" si="45"/>
        <v>0</v>
      </c>
      <c r="P89" s="912">
        <f t="shared" si="46"/>
        <v>520722.72</v>
      </c>
      <c r="Q89" s="912"/>
    </row>
    <row r="90" ht="21.6" customHeight="1" spans="1:17">
      <c r="A90" s="10">
        <v>7</v>
      </c>
      <c r="B90" s="11" t="s">
        <v>215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220">
        <v>174165.25</v>
      </c>
      <c r="H90" s="220">
        <f t="shared" si="41"/>
        <v>468828.166666667</v>
      </c>
      <c r="I90" s="220">
        <f t="shared" si="42"/>
        <v>90933</v>
      </c>
      <c r="J90" s="912">
        <v>29256.3066666667</v>
      </c>
      <c r="K90" s="912">
        <f t="shared" si="43"/>
        <v>37506.2533333334</v>
      </c>
      <c r="L90" s="912">
        <f t="shared" si="44"/>
        <v>8249.94666666666</v>
      </c>
      <c r="M90" s="912"/>
      <c r="N90" s="912"/>
      <c r="O90" s="912">
        <f t="shared" si="45"/>
        <v>0</v>
      </c>
      <c r="P90" s="912">
        <f t="shared" si="46"/>
        <v>450075.04</v>
      </c>
      <c r="Q90" s="912"/>
    </row>
    <row r="91" ht="21.6" customHeight="1" spans="1:17">
      <c r="A91" s="10">
        <v>8</v>
      </c>
      <c r="B91" s="11" t="s">
        <v>216</v>
      </c>
      <c r="C91" s="17" t="s">
        <v>217</v>
      </c>
      <c r="D91" s="15" t="s">
        <v>64</v>
      </c>
      <c r="E91" s="85">
        <v>403137.916666667</v>
      </c>
      <c r="F91" s="911">
        <v>311673.25</v>
      </c>
      <c r="G91" s="220">
        <v>185799.5</v>
      </c>
      <c r="H91" s="220">
        <f t="shared" si="41"/>
        <v>497472.75</v>
      </c>
      <c r="I91" s="220">
        <f t="shared" si="42"/>
        <v>94334.833333333</v>
      </c>
      <c r="J91" s="912">
        <v>31219.9133333333</v>
      </c>
      <c r="K91" s="912">
        <f t="shared" si="43"/>
        <v>39797.82</v>
      </c>
      <c r="L91" s="912">
        <f t="shared" si="44"/>
        <v>8577.9066666667</v>
      </c>
      <c r="M91" s="912">
        <v>5259.74375</v>
      </c>
      <c r="N91" s="912">
        <f t="shared" si="47"/>
        <v>7791.83125</v>
      </c>
      <c r="O91" s="912">
        <f t="shared" si="45"/>
        <v>2532.0875</v>
      </c>
      <c r="P91" s="912">
        <f t="shared" si="46"/>
        <v>477573.84</v>
      </c>
      <c r="Q91" s="912">
        <f>N91*12</f>
        <v>93501.975</v>
      </c>
    </row>
    <row r="92" ht="21.6" customHeight="1" spans="1:17">
      <c r="A92" s="10">
        <v>9</v>
      </c>
      <c r="B92" s="11" t="s">
        <v>220</v>
      </c>
      <c r="C92" s="4" t="s">
        <v>221</v>
      </c>
      <c r="D92" s="10" t="s">
        <v>78</v>
      </c>
      <c r="E92" s="220">
        <v>308901.5</v>
      </c>
      <c r="F92" s="911">
        <v>246171.166666667</v>
      </c>
      <c r="G92" s="220">
        <v>143964.666666667</v>
      </c>
      <c r="H92" s="220">
        <f t="shared" si="41"/>
        <v>390135.833333334</v>
      </c>
      <c r="I92" s="220">
        <f t="shared" si="42"/>
        <v>81234.333333334</v>
      </c>
      <c r="J92" s="912">
        <v>24077.2466666667</v>
      </c>
      <c r="K92" s="912">
        <f t="shared" si="43"/>
        <v>31210.8666666667</v>
      </c>
      <c r="L92" s="912">
        <f t="shared" si="44"/>
        <v>7133.62000000002</v>
      </c>
      <c r="M92" s="912"/>
      <c r="N92" s="912"/>
      <c r="O92" s="912">
        <f t="shared" si="45"/>
        <v>0</v>
      </c>
      <c r="P92" s="912">
        <f t="shared" si="46"/>
        <v>374530.400000001</v>
      </c>
      <c r="Q92" s="912"/>
    </row>
    <row r="93" ht="21.6" customHeight="1" spans="1:17">
      <c r="A93" s="10">
        <v>10</v>
      </c>
      <c r="B93" s="11" t="s">
        <v>224</v>
      </c>
      <c r="C93" s="17" t="s">
        <v>505</v>
      </c>
      <c r="D93" s="15" t="s">
        <v>105</v>
      </c>
      <c r="E93" s="220">
        <v>236804.083333333</v>
      </c>
      <c r="F93" s="911">
        <v>200549.416666667</v>
      </c>
      <c r="G93" s="220">
        <v>108371.25</v>
      </c>
      <c r="H93" s="220">
        <f t="shared" si="41"/>
        <v>308920.666666667</v>
      </c>
      <c r="I93" s="220">
        <f t="shared" si="42"/>
        <v>72116.583333334</v>
      </c>
      <c r="J93" s="912">
        <v>18450.5533333333</v>
      </c>
      <c r="K93" s="912">
        <f t="shared" si="43"/>
        <v>24713.6533333334</v>
      </c>
      <c r="L93" s="912">
        <f t="shared" si="44"/>
        <v>6263.10000000006</v>
      </c>
      <c r="M93" s="912"/>
      <c r="N93" s="912">
        <f t="shared" si="47"/>
        <v>5013.73541666668</v>
      </c>
      <c r="O93" s="912">
        <f t="shared" si="45"/>
        <v>5013.73541666668</v>
      </c>
      <c r="P93" s="912">
        <f t="shared" si="46"/>
        <v>296563.84</v>
      </c>
      <c r="Q93" s="912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48">SUM(E84:E93)</f>
        <v>5352203.16666667</v>
      </c>
      <c r="F94" s="915">
        <f t="shared" si="48"/>
        <v>4082005.5</v>
      </c>
      <c r="G94" s="93">
        <f t="shared" si="48"/>
        <v>2465021.5</v>
      </c>
      <c r="H94" s="93">
        <f t="shared" si="48"/>
        <v>6547027</v>
      </c>
      <c r="I94" s="93">
        <f t="shared" si="48"/>
        <v>1194823.83333333</v>
      </c>
      <c r="J94" s="93">
        <f t="shared" si="48"/>
        <v>428641.126666667</v>
      </c>
      <c r="K94" s="93">
        <f t="shared" si="48"/>
        <v>523762.16</v>
      </c>
      <c r="L94" s="93">
        <f t="shared" si="48"/>
        <v>95121.0333333332</v>
      </c>
      <c r="M94" s="93">
        <f t="shared" si="48"/>
        <v>23514.71875</v>
      </c>
      <c r="N94" s="93">
        <f t="shared" si="48"/>
        <v>47142.6979166666</v>
      </c>
      <c r="O94" s="93">
        <f t="shared" si="48"/>
        <v>23627.9791666666</v>
      </c>
      <c r="P94" s="93">
        <f t="shared" si="48"/>
        <v>6285145.92</v>
      </c>
      <c r="Q94" s="93">
        <f t="shared" si="48"/>
        <v>505547.549999999</v>
      </c>
    </row>
    <row r="95" customHeight="1" spans="1:17">
      <c r="A95" s="10"/>
      <c r="B95" s="22"/>
      <c r="C95" s="21"/>
      <c r="D95" s="21"/>
      <c r="E95" s="156"/>
      <c r="F95" s="916"/>
      <c r="G95" s="156"/>
      <c r="H95" s="220"/>
      <c r="I95" s="220"/>
      <c r="J95" s="912"/>
      <c r="K95" s="912"/>
      <c r="L95" s="912"/>
      <c r="M95" s="912"/>
      <c r="N95" s="912"/>
      <c r="O95" s="912"/>
      <c r="P95" s="912"/>
      <c r="Q95" s="912"/>
    </row>
    <row r="96" customHeight="1" spans="1:17">
      <c r="A96" s="10"/>
      <c r="B96" s="20" t="s">
        <v>226</v>
      </c>
      <c r="C96" s="21"/>
      <c r="D96" s="21"/>
      <c r="E96" s="156"/>
      <c r="F96" s="916"/>
      <c r="G96" s="156"/>
      <c r="H96" s="220"/>
      <c r="I96" s="220"/>
      <c r="J96" s="912"/>
      <c r="K96" s="912"/>
      <c r="L96" s="912"/>
      <c r="M96" s="912"/>
      <c r="N96" s="912"/>
      <c r="O96" s="912"/>
      <c r="P96" s="912"/>
      <c r="Q96" s="912"/>
    </row>
    <row r="97" customHeight="1" spans="1:17">
      <c r="A97" s="10">
        <v>1</v>
      </c>
      <c r="B97" s="14" t="s">
        <v>227</v>
      </c>
      <c r="C97" s="4" t="s">
        <v>650</v>
      </c>
      <c r="D97" s="16" t="s">
        <v>140</v>
      </c>
      <c r="E97" s="85">
        <v>1393881.33333333</v>
      </c>
      <c r="F97" s="911">
        <v>1056272.83333333</v>
      </c>
      <c r="G97" s="220">
        <v>641086.5</v>
      </c>
      <c r="H97" s="914">
        <f t="shared" ref="H97:H101" si="49">F97+G97</f>
        <v>1697359.33333333</v>
      </c>
      <c r="I97" s="220">
        <f t="shared" ref="I97:I101" si="50">H97-E97</f>
        <v>303478</v>
      </c>
      <c r="J97" s="912">
        <v>114857.6</v>
      </c>
      <c r="K97" s="912">
        <f t="shared" ref="K97:K101" si="51">H97*0.08</f>
        <v>135788.746666666</v>
      </c>
      <c r="L97" s="912">
        <f t="shared" ref="L97:L101" si="52">K97-J97</f>
        <v>20931.1466666664</v>
      </c>
      <c r="M97" s="912">
        <v>18254.975</v>
      </c>
      <c r="N97" s="912">
        <f>0.025*F97</f>
        <v>26406.8208333333</v>
      </c>
      <c r="O97" s="912">
        <f t="shared" ref="O97:O101" si="53">N97-M97</f>
        <v>8151.84583333325</v>
      </c>
      <c r="P97" s="912">
        <f t="shared" ref="P97:P101" si="54">12*K97</f>
        <v>1629464.96</v>
      </c>
      <c r="Q97" s="912">
        <f t="shared" ref="Q97:Q101" si="55">N97*12</f>
        <v>316881.849999999</v>
      </c>
    </row>
    <row r="98" customHeight="1" spans="1:17">
      <c r="A98" s="10">
        <v>2</v>
      </c>
      <c r="B98" s="11" t="s">
        <v>229</v>
      </c>
      <c r="C98" s="4" t="s">
        <v>230</v>
      </c>
      <c r="D98" s="15" t="s">
        <v>47</v>
      </c>
      <c r="E98" s="85">
        <v>470498</v>
      </c>
      <c r="F98" s="911">
        <v>357066.666666667</v>
      </c>
      <c r="G98" s="220">
        <v>216844.416666667</v>
      </c>
      <c r="H98" s="914">
        <f t="shared" si="49"/>
        <v>573911.083333334</v>
      </c>
      <c r="I98" s="220">
        <f t="shared" si="50"/>
        <v>103413.083333334</v>
      </c>
      <c r="J98" s="912">
        <v>36529.78</v>
      </c>
      <c r="K98" s="912">
        <f t="shared" si="51"/>
        <v>45912.8866666667</v>
      </c>
      <c r="L98" s="912">
        <f t="shared" si="52"/>
        <v>9383.10666666672</v>
      </c>
      <c r="M98" s="912"/>
      <c r="N98" s="912"/>
      <c r="O98" s="912">
        <f t="shared" si="53"/>
        <v>0</v>
      </c>
      <c r="P98" s="912">
        <f t="shared" si="54"/>
        <v>550954.640000001</v>
      </c>
      <c r="Q98" s="912">
        <f t="shared" si="55"/>
        <v>0</v>
      </c>
    </row>
    <row r="99" customHeight="1" spans="1:17">
      <c r="A99" s="10">
        <v>3</v>
      </c>
      <c r="B99" s="11" t="s">
        <v>231</v>
      </c>
      <c r="C99" s="12" t="s">
        <v>232</v>
      </c>
      <c r="D99" s="15" t="s">
        <v>64</v>
      </c>
      <c r="E99" s="85">
        <v>403137.916666667</v>
      </c>
      <c r="F99" s="911">
        <v>311673.25</v>
      </c>
      <c r="G99" s="220">
        <v>185799.5</v>
      </c>
      <c r="H99" s="914">
        <f t="shared" si="49"/>
        <v>497472.75</v>
      </c>
      <c r="I99" s="220">
        <f t="shared" si="50"/>
        <v>94334.833333333</v>
      </c>
      <c r="J99" s="912">
        <v>31219.91</v>
      </c>
      <c r="K99" s="912">
        <f t="shared" si="51"/>
        <v>39797.82</v>
      </c>
      <c r="L99" s="912">
        <f t="shared" si="52"/>
        <v>8577.91</v>
      </c>
      <c r="M99" s="912">
        <v>5967.30625</v>
      </c>
      <c r="N99" s="912">
        <f>0.025*F99</f>
        <v>7791.83125</v>
      </c>
      <c r="O99" s="912">
        <f t="shared" si="53"/>
        <v>1824.525</v>
      </c>
      <c r="P99" s="912">
        <f t="shared" si="54"/>
        <v>477573.84</v>
      </c>
      <c r="Q99" s="912">
        <f t="shared" si="55"/>
        <v>93501.975</v>
      </c>
    </row>
    <row r="100" customHeight="1" spans="1:17">
      <c r="A100" s="10">
        <v>4</v>
      </c>
      <c r="B100" s="11" t="s">
        <v>235</v>
      </c>
      <c r="C100" s="4" t="s">
        <v>651</v>
      </c>
      <c r="D100" s="15" t="s">
        <v>173</v>
      </c>
      <c r="E100" s="85">
        <v>390086.5</v>
      </c>
      <c r="F100" s="911">
        <v>302878.666666667</v>
      </c>
      <c r="G100" s="220">
        <v>179784</v>
      </c>
      <c r="H100" s="914">
        <f t="shared" si="49"/>
        <v>482662.666666667</v>
      </c>
      <c r="I100" s="220">
        <f t="shared" si="50"/>
        <v>92576.166666667</v>
      </c>
      <c r="J100" s="912">
        <v>30231.6133333333</v>
      </c>
      <c r="K100" s="912">
        <f t="shared" si="51"/>
        <v>38613.0133333334</v>
      </c>
      <c r="L100" s="912">
        <f t="shared" si="52"/>
        <v>8381.40000000006</v>
      </c>
      <c r="M100" s="912"/>
      <c r="N100" s="912"/>
      <c r="O100" s="912">
        <f t="shared" si="53"/>
        <v>0</v>
      </c>
      <c r="P100" s="912">
        <f t="shared" si="54"/>
        <v>463356.16</v>
      </c>
      <c r="Q100" s="912">
        <f t="shared" si="55"/>
        <v>0</v>
      </c>
    </row>
    <row r="101" customHeight="1" spans="1:17">
      <c r="A101" s="10">
        <v>5</v>
      </c>
      <c r="B101" s="11" t="s">
        <v>236</v>
      </c>
      <c r="C101" s="4" t="s">
        <v>200</v>
      </c>
      <c r="D101" s="15" t="s">
        <v>78</v>
      </c>
      <c r="E101" s="220">
        <v>308901.5</v>
      </c>
      <c r="F101" s="911">
        <v>246171.166666667</v>
      </c>
      <c r="G101" s="220">
        <v>143964.666666667</v>
      </c>
      <c r="H101" s="914">
        <f t="shared" si="49"/>
        <v>390135.833333334</v>
      </c>
      <c r="I101" s="220">
        <f t="shared" si="50"/>
        <v>81234.333333334</v>
      </c>
      <c r="J101" s="912">
        <v>24077.2466666667</v>
      </c>
      <c r="K101" s="912">
        <f t="shared" si="51"/>
        <v>31210.8666666667</v>
      </c>
      <c r="L101" s="912">
        <f t="shared" si="52"/>
        <v>7133.62000000002</v>
      </c>
      <c r="M101" s="912"/>
      <c r="N101" s="912"/>
      <c r="O101" s="912">
        <f t="shared" si="53"/>
        <v>0</v>
      </c>
      <c r="P101" s="912">
        <f t="shared" si="54"/>
        <v>374530.400000001</v>
      </c>
      <c r="Q101" s="912">
        <f t="shared" si="55"/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56">SUM(E97:E101)</f>
        <v>2966505.25</v>
      </c>
      <c r="F102" s="915">
        <f t="shared" si="56"/>
        <v>2274062.58333333</v>
      </c>
      <c r="G102" s="93">
        <f t="shared" si="56"/>
        <v>1367479.08333333</v>
      </c>
      <c r="H102" s="93">
        <f t="shared" si="56"/>
        <v>3641541.66666667</v>
      </c>
      <c r="I102" s="93">
        <f t="shared" si="56"/>
        <v>675036.416666668</v>
      </c>
      <c r="J102" s="93">
        <f t="shared" si="56"/>
        <v>236916.15</v>
      </c>
      <c r="K102" s="93">
        <f t="shared" si="56"/>
        <v>291323.333333333</v>
      </c>
      <c r="L102" s="93">
        <f t="shared" si="56"/>
        <v>54407.1833333332</v>
      </c>
      <c r="M102" s="93">
        <f t="shared" si="56"/>
        <v>24222.28125</v>
      </c>
      <c r="N102" s="93">
        <f t="shared" si="56"/>
        <v>34198.6520833333</v>
      </c>
      <c r="O102" s="93">
        <f t="shared" si="56"/>
        <v>9976.37083333325</v>
      </c>
      <c r="P102" s="93">
        <f t="shared" si="56"/>
        <v>3495880</v>
      </c>
      <c r="Q102" s="93">
        <f t="shared" si="56"/>
        <v>410383.824999999</v>
      </c>
    </row>
    <row r="103" customHeight="1" spans="1:17">
      <c r="A103" s="4"/>
      <c r="B103" s="22"/>
      <c r="C103" s="21"/>
      <c r="D103" s="26"/>
      <c r="E103" s="156"/>
      <c r="F103" s="916"/>
      <c r="G103" s="156"/>
      <c r="H103" s="220"/>
      <c r="I103" s="220"/>
      <c r="J103" s="912"/>
      <c r="K103" s="912"/>
      <c r="L103" s="912"/>
      <c r="M103" s="912"/>
      <c r="N103" s="912"/>
      <c r="O103" s="912"/>
      <c r="P103" s="912"/>
      <c r="Q103" s="912"/>
    </row>
    <row r="104" customHeight="1" spans="1:17">
      <c r="A104" s="4"/>
      <c r="B104" s="20" t="s">
        <v>239</v>
      </c>
      <c r="C104" s="4"/>
      <c r="D104" s="4"/>
      <c r="E104" s="4"/>
      <c r="F104" s="917"/>
      <c r="G104" s="4"/>
      <c r="H104" s="220"/>
      <c r="I104" s="220"/>
      <c r="J104" s="912"/>
      <c r="K104" s="912"/>
      <c r="L104" s="912"/>
      <c r="M104" s="912"/>
      <c r="N104" s="912"/>
      <c r="O104" s="912"/>
      <c r="P104" s="912"/>
      <c r="Q104" s="912"/>
    </row>
    <row r="105" customHeight="1" spans="1:17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911">
        <v>1086777.08333333</v>
      </c>
      <c r="G105" s="220">
        <v>660329.333333333</v>
      </c>
      <c r="H105" s="914">
        <f t="shared" ref="H105:H111" si="57">F105+G105</f>
        <v>1747106.41666666</v>
      </c>
      <c r="I105" s="220">
        <f t="shared" ref="I105:I111" si="58">H105-E105</f>
        <v>311386.416666663</v>
      </c>
      <c r="J105" s="912">
        <v>114857.6</v>
      </c>
      <c r="K105" s="912">
        <f t="shared" ref="K105:K111" si="59">H105*0.08</f>
        <v>139768.513333333</v>
      </c>
      <c r="L105" s="912">
        <f t="shared" ref="L105:L111" si="60">K105-J105</f>
        <v>24910.913333333</v>
      </c>
      <c r="M105" s="912">
        <v>0</v>
      </c>
      <c r="N105" s="912"/>
      <c r="O105" s="912">
        <f t="shared" ref="O105:O111" si="61">N105-M105</f>
        <v>0</v>
      </c>
      <c r="P105" s="912">
        <f t="shared" ref="P105:P111" si="62">K105*12</f>
        <v>1677222.16</v>
      </c>
      <c r="Q105" s="912"/>
    </row>
    <row r="106" customHeight="1" spans="1:17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911">
        <v>554669.5</v>
      </c>
      <c r="G106" s="220">
        <v>350637.25</v>
      </c>
      <c r="H106" s="914">
        <f t="shared" si="57"/>
        <v>905306.75</v>
      </c>
      <c r="I106" s="220">
        <f t="shared" si="58"/>
        <v>142933.583333333</v>
      </c>
      <c r="J106" s="912">
        <v>60989.8533333333</v>
      </c>
      <c r="K106" s="912">
        <f t="shared" si="59"/>
        <v>72424.54</v>
      </c>
      <c r="L106" s="912">
        <f t="shared" si="60"/>
        <v>11434.6866666667</v>
      </c>
      <c r="M106" s="912">
        <v>10293.3979166667</v>
      </c>
      <c r="N106" s="912">
        <f t="shared" ref="N106:N111" si="63">0.025*F106</f>
        <v>13866.7375</v>
      </c>
      <c r="O106" s="912">
        <f t="shared" si="61"/>
        <v>3573.3395833333</v>
      </c>
      <c r="P106" s="912">
        <f t="shared" si="62"/>
        <v>869094.48</v>
      </c>
      <c r="Q106" s="912">
        <f>N106*12</f>
        <v>166400.85</v>
      </c>
    </row>
    <row r="107" customHeight="1" spans="1:17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911">
        <v>337730.833333333</v>
      </c>
      <c r="G107" s="220">
        <v>203620.5</v>
      </c>
      <c r="H107" s="914">
        <f t="shared" si="57"/>
        <v>541351.333333333</v>
      </c>
      <c r="I107" s="220">
        <f t="shared" si="58"/>
        <v>99546.416666666</v>
      </c>
      <c r="J107" s="912">
        <v>35344.3933333333</v>
      </c>
      <c r="K107" s="912">
        <f t="shared" si="59"/>
        <v>43308.1066666666</v>
      </c>
      <c r="L107" s="912">
        <f t="shared" si="60"/>
        <v>7963.71333333335</v>
      </c>
      <c r="M107" s="912">
        <v>5954.61041666667</v>
      </c>
      <c r="N107" s="912">
        <f t="shared" si="63"/>
        <v>8443.27083333333</v>
      </c>
      <c r="O107" s="912">
        <f t="shared" si="61"/>
        <v>2488.66041666666</v>
      </c>
      <c r="P107" s="912">
        <f t="shared" si="62"/>
        <v>519697.28</v>
      </c>
      <c r="Q107" s="912">
        <f>N107*12</f>
        <v>101319.25</v>
      </c>
    </row>
    <row r="108" customHeight="1" spans="1:17">
      <c r="A108" s="4">
        <v>4</v>
      </c>
      <c r="B108" s="11" t="s">
        <v>246</v>
      </c>
      <c r="C108" s="4" t="s">
        <v>653</v>
      </c>
      <c r="D108" s="10" t="s">
        <v>600</v>
      </c>
      <c r="E108" s="85">
        <v>441804.916666667</v>
      </c>
      <c r="F108" s="911">
        <v>338365.25</v>
      </c>
      <c r="G108" s="220">
        <v>204054.25</v>
      </c>
      <c r="H108" s="914">
        <f t="shared" si="57"/>
        <v>542419.5</v>
      </c>
      <c r="I108" s="220">
        <f t="shared" si="58"/>
        <v>100614.583333333</v>
      </c>
      <c r="J108" s="912">
        <v>35344.3933333333</v>
      </c>
      <c r="K108" s="912">
        <f t="shared" si="59"/>
        <v>43393.56</v>
      </c>
      <c r="L108" s="912">
        <f t="shared" si="60"/>
        <v>8049.1666666667</v>
      </c>
      <c r="M108" s="912"/>
      <c r="N108" s="912"/>
      <c r="O108" s="912">
        <f t="shared" si="61"/>
        <v>0</v>
      </c>
      <c r="P108" s="912">
        <f t="shared" si="62"/>
        <v>520722.72</v>
      </c>
      <c r="Q108" s="912"/>
    </row>
    <row r="109" customHeight="1" spans="1:17">
      <c r="A109" s="4">
        <v>5</v>
      </c>
      <c r="B109" s="11" t="s">
        <v>249</v>
      </c>
      <c r="C109" s="4" t="s">
        <v>250</v>
      </c>
      <c r="D109" s="15" t="s">
        <v>603</v>
      </c>
      <c r="E109" s="220">
        <v>255320.583333333</v>
      </c>
      <c r="F109" s="911">
        <v>213104.416666667</v>
      </c>
      <c r="G109" s="220">
        <v>116846</v>
      </c>
      <c r="H109" s="914">
        <f t="shared" si="57"/>
        <v>329950.416666667</v>
      </c>
      <c r="I109" s="220">
        <f t="shared" si="58"/>
        <v>74629.833333334</v>
      </c>
      <c r="J109" s="912">
        <v>19931.8733333333</v>
      </c>
      <c r="K109" s="912">
        <f t="shared" si="59"/>
        <v>26396.0333333334</v>
      </c>
      <c r="L109" s="912">
        <f t="shared" si="60"/>
        <v>6464.16000000006</v>
      </c>
      <c r="M109" s="912"/>
      <c r="N109" s="912"/>
      <c r="O109" s="912">
        <f t="shared" si="61"/>
        <v>0</v>
      </c>
      <c r="P109" s="912">
        <f t="shared" si="62"/>
        <v>316752.4</v>
      </c>
      <c r="Q109" s="912"/>
    </row>
    <row r="110" customHeight="1" spans="1:17">
      <c r="A110" s="4">
        <v>6</v>
      </c>
      <c r="B110" s="18" t="s">
        <v>252</v>
      </c>
      <c r="C110" s="4" t="s">
        <v>250</v>
      </c>
      <c r="D110" s="10" t="s">
        <v>225</v>
      </c>
      <c r="E110" s="220">
        <v>255849</v>
      </c>
      <c r="F110" s="911">
        <v>212792.166666667</v>
      </c>
      <c r="G110" s="220">
        <v>117614.916666667</v>
      </c>
      <c r="H110" s="914">
        <f t="shared" si="57"/>
        <v>330407.083333334</v>
      </c>
      <c r="I110" s="220">
        <f t="shared" si="58"/>
        <v>74558.083333334</v>
      </c>
      <c r="J110" s="912">
        <v>21053.2266666667</v>
      </c>
      <c r="K110" s="912">
        <f t="shared" si="59"/>
        <v>26432.5666666667</v>
      </c>
      <c r="L110" s="912">
        <f t="shared" si="60"/>
        <v>5379.34000000002</v>
      </c>
      <c r="M110" s="912"/>
      <c r="N110" s="912"/>
      <c r="O110" s="912">
        <f t="shared" si="61"/>
        <v>0</v>
      </c>
      <c r="P110" s="912">
        <f t="shared" si="62"/>
        <v>317190.800000001</v>
      </c>
      <c r="Q110" s="912"/>
    </row>
    <row r="111" customHeight="1" spans="1:17">
      <c r="A111" s="4">
        <v>7</v>
      </c>
      <c r="B111" s="18" t="s">
        <v>253</v>
      </c>
      <c r="C111" s="4" t="s">
        <v>250</v>
      </c>
      <c r="D111" s="15" t="s">
        <v>105</v>
      </c>
      <c r="E111" s="220">
        <v>236804.083333333</v>
      </c>
      <c r="F111" s="911">
        <v>200549.416666667</v>
      </c>
      <c r="G111" s="220">
        <v>108371.25</v>
      </c>
      <c r="H111" s="914">
        <f t="shared" si="57"/>
        <v>308920.666666667</v>
      </c>
      <c r="I111" s="220">
        <f t="shared" si="58"/>
        <v>72116.583333334</v>
      </c>
      <c r="J111" s="912">
        <v>18450.5533333333</v>
      </c>
      <c r="K111" s="912">
        <f t="shared" si="59"/>
        <v>24713.6533333334</v>
      </c>
      <c r="L111" s="912">
        <f t="shared" si="60"/>
        <v>6263.10000000006</v>
      </c>
      <c r="M111" s="912"/>
      <c r="N111" s="912">
        <f t="shared" si="63"/>
        <v>5013.73541666668</v>
      </c>
      <c r="O111" s="912">
        <f t="shared" si="61"/>
        <v>5013.73541666668</v>
      </c>
      <c r="P111" s="912">
        <f t="shared" si="62"/>
        <v>296563.84</v>
      </c>
      <c r="Q111" s="912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64">SUM(E105:E111)</f>
        <v>3829676.66666667</v>
      </c>
      <c r="F112" s="918">
        <f t="shared" si="64"/>
        <v>2943988.66666666</v>
      </c>
      <c r="G112" s="223">
        <f t="shared" si="64"/>
        <v>1761473.5</v>
      </c>
      <c r="H112" s="223">
        <f t="shared" si="64"/>
        <v>4705462.16666666</v>
      </c>
      <c r="I112" s="223">
        <f t="shared" si="64"/>
        <v>875785.499999997</v>
      </c>
      <c r="J112" s="223">
        <f t="shared" si="64"/>
        <v>305971.893333333</v>
      </c>
      <c r="K112" s="223">
        <f t="shared" si="64"/>
        <v>376436.973333333</v>
      </c>
      <c r="L112" s="223">
        <f t="shared" si="64"/>
        <v>70465.0799999999</v>
      </c>
      <c r="M112" s="223">
        <f t="shared" si="64"/>
        <v>16248.0083333334</v>
      </c>
      <c r="N112" s="223">
        <f t="shared" si="64"/>
        <v>27323.74375</v>
      </c>
      <c r="O112" s="223">
        <f t="shared" si="64"/>
        <v>11075.7354166666</v>
      </c>
      <c r="P112" s="223">
        <f t="shared" si="64"/>
        <v>4517243.68</v>
      </c>
      <c r="Q112" s="223">
        <f t="shared" si="64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21"/>
      <c r="I113" s="220"/>
      <c r="J113" s="912"/>
      <c r="K113" s="912"/>
      <c r="L113" s="912"/>
      <c r="M113" s="912"/>
      <c r="N113" s="912"/>
      <c r="O113" s="912"/>
      <c r="P113" s="912"/>
      <c r="Q113" s="912"/>
    </row>
    <row r="114" customHeight="1" spans="1:17">
      <c r="A114" s="10"/>
      <c r="B114" s="20" t="s">
        <v>257</v>
      </c>
      <c r="C114" s="21"/>
      <c r="D114" s="21"/>
      <c r="E114" s="156"/>
      <c r="F114" s="916"/>
      <c r="G114" s="156"/>
      <c r="H114" s="220"/>
      <c r="I114" s="220"/>
      <c r="J114" s="912"/>
      <c r="K114" s="912"/>
      <c r="L114" s="912"/>
      <c r="M114" s="912"/>
      <c r="N114" s="912"/>
      <c r="O114" s="912"/>
      <c r="P114" s="912"/>
      <c r="Q114" s="912"/>
    </row>
    <row r="115" ht="18.75" customHeight="1" spans="1:17">
      <c r="A115" s="10">
        <v>1</v>
      </c>
      <c r="B115" s="11" t="s">
        <v>259</v>
      </c>
      <c r="C115" s="4" t="s">
        <v>260</v>
      </c>
      <c r="D115" s="15" t="s">
        <v>173</v>
      </c>
      <c r="E115" s="85">
        <v>390086.5</v>
      </c>
      <c r="F115" s="911">
        <v>302878.666666667</v>
      </c>
      <c r="G115" s="220">
        <v>179784</v>
      </c>
      <c r="H115" s="914">
        <f t="shared" ref="H115:H117" si="65">F115+G115</f>
        <v>482662.666666667</v>
      </c>
      <c r="I115" s="220">
        <f t="shared" ref="I115:I117" si="66">H115-E115</f>
        <v>92576.166666667</v>
      </c>
      <c r="J115" s="912">
        <v>30231.6133333333</v>
      </c>
      <c r="K115" s="912">
        <f t="shared" ref="K115:K117" si="67">H115*0.08</f>
        <v>38613.0133333334</v>
      </c>
      <c r="L115" s="912">
        <f t="shared" ref="L115:L117" si="68">K115-J115</f>
        <v>8381.40000000006</v>
      </c>
      <c r="M115" s="912"/>
      <c r="N115" s="912"/>
      <c r="O115" s="912">
        <f t="shared" ref="O115:O117" si="69">N115-M115</f>
        <v>0</v>
      </c>
      <c r="P115" s="912">
        <f t="shared" ref="P115:P117" si="70">12*K115</f>
        <v>463356.16</v>
      </c>
      <c r="Q115" s="912"/>
    </row>
    <row r="116" ht="18.75" customHeight="1" spans="1:17">
      <c r="A116" s="10">
        <v>2</v>
      </c>
      <c r="B116" s="11" t="s">
        <v>480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220">
        <v>174165.25</v>
      </c>
      <c r="H116" s="914">
        <f t="shared" si="65"/>
        <v>468828.166666667</v>
      </c>
      <c r="I116" s="220">
        <f t="shared" si="66"/>
        <v>90933</v>
      </c>
      <c r="J116" s="912">
        <v>30231.6133333333</v>
      </c>
      <c r="K116" s="912">
        <f t="shared" si="67"/>
        <v>37506.2533333334</v>
      </c>
      <c r="L116" s="912">
        <f t="shared" si="68"/>
        <v>7274.64000000006</v>
      </c>
      <c r="M116" s="912"/>
      <c r="N116" s="912"/>
      <c r="O116" s="912">
        <f t="shared" si="69"/>
        <v>0</v>
      </c>
      <c r="P116" s="912">
        <f t="shared" si="70"/>
        <v>450075.04</v>
      </c>
      <c r="Q116" s="912"/>
    </row>
    <row r="117" customHeight="1" spans="1:17">
      <c r="A117" s="10">
        <v>3</v>
      </c>
      <c r="B117" s="11" t="s">
        <v>193</v>
      </c>
      <c r="C117" s="12" t="s">
        <v>194</v>
      </c>
      <c r="D117" s="15" t="s">
        <v>67</v>
      </c>
      <c r="E117" s="85">
        <v>390248.916666667</v>
      </c>
      <c r="F117" s="911">
        <v>302987.416666667</v>
      </c>
      <c r="G117" s="220">
        <v>179859.166666667</v>
      </c>
      <c r="H117" s="914">
        <f t="shared" si="65"/>
        <v>482846.583333334</v>
      </c>
      <c r="I117" s="220">
        <f t="shared" si="66"/>
        <v>92597.666666667</v>
      </c>
      <c r="J117" s="912">
        <v>31219.91</v>
      </c>
      <c r="K117" s="912">
        <f t="shared" si="67"/>
        <v>38627.7266666667</v>
      </c>
      <c r="L117" s="912">
        <f t="shared" si="68"/>
        <v>7407.81666666672</v>
      </c>
      <c r="M117" s="912">
        <v>5967.30625</v>
      </c>
      <c r="N117" s="912">
        <f>0.025*F117</f>
        <v>7574.68541666667</v>
      </c>
      <c r="O117" s="912">
        <f t="shared" si="69"/>
        <v>1607.37916666667</v>
      </c>
      <c r="P117" s="912">
        <f t="shared" si="70"/>
        <v>463532.720000001</v>
      </c>
      <c r="Q117" s="912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71">SUM(E115:E117)</f>
        <v>1158230.58333333</v>
      </c>
      <c r="F118" s="915">
        <f t="shared" si="71"/>
        <v>900529.000000001</v>
      </c>
      <c r="G118" s="93">
        <f t="shared" si="71"/>
        <v>533808.416666667</v>
      </c>
      <c r="H118" s="93">
        <f t="shared" si="71"/>
        <v>1434337.41666667</v>
      </c>
      <c r="I118" s="93">
        <f t="shared" si="71"/>
        <v>276106.833333334</v>
      </c>
      <c r="J118" s="93">
        <f t="shared" si="71"/>
        <v>91683.1366666666</v>
      </c>
      <c r="K118" s="93">
        <f t="shared" si="71"/>
        <v>114746.993333333</v>
      </c>
      <c r="L118" s="93">
        <f t="shared" si="71"/>
        <v>23063.8566666668</v>
      </c>
      <c r="M118" s="93">
        <f t="shared" si="71"/>
        <v>5967.30625</v>
      </c>
      <c r="N118" s="93">
        <f t="shared" si="71"/>
        <v>7574.68541666667</v>
      </c>
      <c r="O118" s="93">
        <f t="shared" si="71"/>
        <v>1607.37916666667</v>
      </c>
      <c r="P118" s="93">
        <f t="shared" si="71"/>
        <v>1376963.92</v>
      </c>
      <c r="Q118" s="93">
        <f t="shared" si="71"/>
        <v>90896.2250000001</v>
      </c>
    </row>
    <row r="119" ht="24.75" customHeight="1" spans="1:17">
      <c r="A119" s="4"/>
      <c r="B119" s="20"/>
      <c r="C119" s="21"/>
      <c r="D119" s="26"/>
      <c r="E119" s="93"/>
      <c r="F119" s="915"/>
      <c r="G119" s="93"/>
      <c r="H119" s="93"/>
      <c r="I119" s="220"/>
      <c r="J119" s="912"/>
      <c r="K119" s="912"/>
      <c r="L119" s="912"/>
      <c r="M119" s="912"/>
      <c r="N119" s="912"/>
      <c r="O119" s="912"/>
      <c r="P119" s="912"/>
      <c r="Q119" s="912"/>
    </row>
    <row r="120" ht="24.75" customHeight="1" spans="1:17">
      <c r="A120" s="10"/>
      <c r="B120" s="20" t="s">
        <v>268</v>
      </c>
      <c r="C120" s="21"/>
      <c r="D120" s="21"/>
      <c r="E120" s="156"/>
      <c r="F120" s="916"/>
      <c r="G120" s="156"/>
      <c r="H120" s="220"/>
      <c r="I120" s="220"/>
      <c r="J120" s="912"/>
      <c r="K120" s="912"/>
      <c r="L120" s="912"/>
      <c r="M120" s="912"/>
      <c r="N120" s="912"/>
      <c r="O120" s="912"/>
      <c r="P120" s="912"/>
      <c r="Q120" s="912"/>
    </row>
    <row r="121" ht="24.75" customHeight="1" spans="1:17">
      <c r="A121" s="10">
        <v>2</v>
      </c>
      <c r="B121" s="11" t="s">
        <v>271</v>
      </c>
      <c r="C121" s="4" t="s">
        <v>272</v>
      </c>
      <c r="D121" s="10" t="s">
        <v>275</v>
      </c>
      <c r="E121" s="85">
        <v>218287.583333333</v>
      </c>
      <c r="F121" s="911">
        <v>187994.416666667</v>
      </c>
      <c r="G121" s="220">
        <v>99896.5</v>
      </c>
      <c r="H121" s="914">
        <f t="shared" ref="H121:H135" si="72">F121+G121</f>
        <v>287890.916666667</v>
      </c>
      <c r="I121" s="220">
        <f t="shared" ref="I121:I135" si="73">H121-E121</f>
        <v>69603.333333334</v>
      </c>
      <c r="J121" s="912">
        <v>17463.0066666666</v>
      </c>
      <c r="K121" s="912">
        <f t="shared" ref="K121:K135" si="74">H121*0.08</f>
        <v>23031.2733333334</v>
      </c>
      <c r="L121" s="912">
        <f t="shared" ref="L121:L135" si="75">K121-J121</f>
        <v>5568.26666666676</v>
      </c>
      <c r="M121" s="912"/>
      <c r="N121" s="912"/>
      <c r="O121" s="912">
        <f t="shared" ref="O121:O135" si="76">N121-M121</f>
        <v>0</v>
      </c>
      <c r="P121" s="912">
        <f t="shared" ref="P121:P135" si="77">12*K121</f>
        <v>276375.28</v>
      </c>
      <c r="Q121" s="912"/>
    </row>
    <row r="122" ht="24.75" customHeight="1" spans="1:17">
      <c r="A122" s="10">
        <v>3</v>
      </c>
      <c r="B122" s="11" t="s">
        <v>276</v>
      </c>
      <c r="C122" s="4" t="s">
        <v>277</v>
      </c>
      <c r="D122" s="10" t="s">
        <v>275</v>
      </c>
      <c r="E122" s="85">
        <v>218287.583333333</v>
      </c>
      <c r="F122" s="911">
        <v>187994.416666667</v>
      </c>
      <c r="G122" s="220">
        <v>99896.5</v>
      </c>
      <c r="H122" s="914">
        <f t="shared" si="72"/>
        <v>287890.916666667</v>
      </c>
      <c r="I122" s="220">
        <f t="shared" si="73"/>
        <v>69603.333333334</v>
      </c>
      <c r="J122" s="912">
        <v>17463.0066666666</v>
      </c>
      <c r="K122" s="912">
        <f t="shared" si="74"/>
        <v>23031.2733333334</v>
      </c>
      <c r="L122" s="912">
        <f t="shared" si="75"/>
        <v>5568.26666666676</v>
      </c>
      <c r="M122" s="912"/>
      <c r="N122" s="912"/>
      <c r="O122" s="912">
        <f t="shared" si="76"/>
        <v>0</v>
      </c>
      <c r="P122" s="912">
        <f t="shared" si="77"/>
        <v>276375.28</v>
      </c>
      <c r="Q122" s="912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78">SUM(E121:E122)</f>
        <v>436575.166666666</v>
      </c>
      <c r="F123" s="915">
        <f t="shared" si="78"/>
        <v>375988.833333334</v>
      </c>
      <c r="G123" s="93">
        <f t="shared" si="78"/>
        <v>199793</v>
      </c>
      <c r="H123" s="93">
        <f t="shared" si="78"/>
        <v>575781.833333334</v>
      </c>
      <c r="I123" s="93">
        <f t="shared" si="78"/>
        <v>139206.666666668</v>
      </c>
      <c r="J123" s="93">
        <f t="shared" si="78"/>
        <v>34926.0133333332</v>
      </c>
      <c r="K123" s="93">
        <f t="shared" si="78"/>
        <v>46062.5466666667</v>
      </c>
      <c r="L123" s="93">
        <f t="shared" si="78"/>
        <v>11136.5333333335</v>
      </c>
      <c r="M123" s="93">
        <f t="shared" si="78"/>
        <v>0</v>
      </c>
      <c r="N123" s="93">
        <f t="shared" si="78"/>
        <v>0</v>
      </c>
      <c r="O123" s="93">
        <f t="shared" si="78"/>
        <v>0</v>
      </c>
      <c r="P123" s="93">
        <f t="shared" si="78"/>
        <v>552750.560000001</v>
      </c>
      <c r="Q123" s="93">
        <f t="shared" si="78"/>
        <v>0</v>
      </c>
    </row>
    <row r="124" customHeight="1" spans="1:17">
      <c r="A124" s="4"/>
      <c r="B124" s="20"/>
      <c r="C124" s="21"/>
      <c r="D124" s="26"/>
      <c r="E124" s="93"/>
      <c r="F124" s="915"/>
      <c r="G124" s="93"/>
      <c r="H124" s="93"/>
      <c r="I124" s="220"/>
      <c r="J124" s="912"/>
      <c r="K124" s="912"/>
      <c r="L124" s="912"/>
      <c r="M124" s="912"/>
      <c r="N124" s="912"/>
      <c r="O124" s="912"/>
      <c r="P124" s="912"/>
      <c r="Q124" s="912"/>
    </row>
    <row r="125" customHeight="1" spans="1:17">
      <c r="A125" s="4"/>
      <c r="B125" s="20" t="s">
        <v>278</v>
      </c>
      <c r="C125" s="21"/>
      <c r="D125" s="21"/>
      <c r="E125" s="156"/>
      <c r="F125" s="916"/>
      <c r="G125" s="156"/>
      <c r="H125" s="220"/>
      <c r="I125" s="220"/>
      <c r="J125" s="912"/>
      <c r="K125" s="912"/>
      <c r="L125" s="912"/>
      <c r="M125" s="912"/>
      <c r="N125" s="912"/>
      <c r="O125" s="912"/>
      <c r="P125" s="912"/>
      <c r="Q125" s="912"/>
    </row>
    <row r="126" customHeight="1" spans="1:17">
      <c r="A126" s="4">
        <v>1</v>
      </c>
      <c r="B126" s="11" t="s">
        <v>279</v>
      </c>
      <c r="C126" s="12" t="s">
        <v>280</v>
      </c>
      <c r="D126" s="15" t="s">
        <v>124</v>
      </c>
      <c r="E126" s="85">
        <v>1435720</v>
      </c>
      <c r="F126" s="911">
        <v>1086777.08333333</v>
      </c>
      <c r="G126" s="220">
        <v>660329.333333333</v>
      </c>
      <c r="H126" s="914">
        <f t="shared" si="72"/>
        <v>1747106.41666666</v>
      </c>
      <c r="I126" s="220">
        <f t="shared" si="73"/>
        <v>311386.416666663</v>
      </c>
      <c r="J126" s="912">
        <v>114857.6</v>
      </c>
      <c r="K126" s="912">
        <f t="shared" si="74"/>
        <v>139768.513333333</v>
      </c>
      <c r="L126" s="912">
        <f t="shared" si="75"/>
        <v>24910.913333333</v>
      </c>
      <c r="M126" s="912">
        <v>19384.7666666667</v>
      </c>
      <c r="N126" s="912">
        <f t="shared" ref="N126:N128" si="79">0.025*F126</f>
        <v>27169.4270833333</v>
      </c>
      <c r="O126" s="912">
        <f t="shared" si="76"/>
        <v>7784.66041666655</v>
      </c>
      <c r="P126" s="912">
        <f t="shared" si="77"/>
        <v>1677222.16</v>
      </c>
      <c r="Q126" s="912">
        <f t="shared" ref="Q126:Q135" si="80">N126*12</f>
        <v>326033.124999999</v>
      </c>
    </row>
    <row r="127" customHeight="1" spans="1:17">
      <c r="A127" s="4">
        <v>2</v>
      </c>
      <c r="B127" s="11" t="s">
        <v>281</v>
      </c>
      <c r="C127" s="12" t="s">
        <v>654</v>
      </c>
      <c r="D127" s="15" t="s">
        <v>36</v>
      </c>
      <c r="E127" s="85">
        <v>762373.166666667</v>
      </c>
      <c r="F127" s="911">
        <v>554669.5</v>
      </c>
      <c r="G127" s="220">
        <v>350637.25</v>
      </c>
      <c r="H127" s="914">
        <f t="shared" si="72"/>
        <v>905306.75</v>
      </c>
      <c r="I127" s="220">
        <f t="shared" si="73"/>
        <v>142933.583333333</v>
      </c>
      <c r="J127" s="912">
        <v>59136.2866666667</v>
      </c>
      <c r="K127" s="912">
        <f t="shared" si="74"/>
        <v>72424.54</v>
      </c>
      <c r="L127" s="912">
        <f t="shared" si="75"/>
        <v>13288.2533333333</v>
      </c>
      <c r="M127" s="912">
        <v>9980.56666666667</v>
      </c>
      <c r="N127" s="912">
        <f t="shared" si="79"/>
        <v>13866.7375</v>
      </c>
      <c r="O127" s="912">
        <f t="shared" si="76"/>
        <v>3886.17083333333</v>
      </c>
      <c r="P127" s="912">
        <f t="shared" si="77"/>
        <v>869094.48</v>
      </c>
      <c r="Q127" s="912">
        <f t="shared" si="80"/>
        <v>166400.85</v>
      </c>
    </row>
    <row r="128" customHeight="1" spans="1:17">
      <c r="A128" s="4">
        <v>3</v>
      </c>
      <c r="B128" s="14" t="s">
        <v>283</v>
      </c>
      <c r="C128" s="12" t="s">
        <v>655</v>
      </c>
      <c r="D128" s="15" t="s">
        <v>143</v>
      </c>
      <c r="E128" s="85">
        <v>716034</v>
      </c>
      <c r="F128" s="911">
        <v>523386.5</v>
      </c>
      <c r="G128" s="220">
        <v>329324.583333333</v>
      </c>
      <c r="H128" s="914">
        <f t="shared" si="72"/>
        <v>852711.083333333</v>
      </c>
      <c r="I128" s="220">
        <f t="shared" si="73"/>
        <v>136677.083333333</v>
      </c>
      <c r="J128" s="912">
        <v>59136.2866666667</v>
      </c>
      <c r="K128" s="912">
        <f t="shared" si="74"/>
        <v>68216.8866666666</v>
      </c>
      <c r="L128" s="912">
        <f t="shared" si="75"/>
        <v>9080.59999999994</v>
      </c>
      <c r="M128" s="912">
        <v>9980.56666666667</v>
      </c>
      <c r="N128" s="912">
        <f t="shared" si="79"/>
        <v>13084.6625</v>
      </c>
      <c r="O128" s="912">
        <f t="shared" si="76"/>
        <v>3104.09583333333</v>
      </c>
      <c r="P128" s="912">
        <f t="shared" si="77"/>
        <v>818602.64</v>
      </c>
      <c r="Q128" s="912">
        <f t="shared" si="80"/>
        <v>157015.95</v>
      </c>
    </row>
    <row r="129" customHeight="1" spans="1:17">
      <c r="A129" s="4">
        <v>4</v>
      </c>
      <c r="B129" s="11" t="s">
        <v>286</v>
      </c>
      <c r="C129" s="12" t="s">
        <v>288</v>
      </c>
      <c r="D129" s="15" t="s">
        <v>192</v>
      </c>
      <c r="E129" s="85">
        <v>484373.75</v>
      </c>
      <c r="F129" s="911">
        <v>366417.5</v>
      </c>
      <c r="G129" s="220">
        <v>223239.5</v>
      </c>
      <c r="H129" s="914">
        <f t="shared" si="72"/>
        <v>589657</v>
      </c>
      <c r="I129" s="220">
        <f t="shared" si="73"/>
        <v>105283.25</v>
      </c>
      <c r="J129" s="912">
        <v>37639.84</v>
      </c>
      <c r="K129" s="912">
        <f t="shared" si="74"/>
        <v>47172.56</v>
      </c>
      <c r="L129" s="912">
        <f t="shared" si="75"/>
        <v>9532.72</v>
      </c>
      <c r="M129" s="912">
        <v>0</v>
      </c>
      <c r="N129" s="912"/>
      <c r="O129" s="912">
        <f t="shared" si="76"/>
        <v>0</v>
      </c>
      <c r="P129" s="912">
        <f t="shared" si="77"/>
        <v>566070.72</v>
      </c>
      <c r="Q129" s="912">
        <f t="shared" si="80"/>
        <v>0</v>
      </c>
    </row>
    <row r="130" customHeight="1" spans="1:17">
      <c r="A130" s="4">
        <v>5</v>
      </c>
      <c r="B130" s="11" t="s">
        <v>287</v>
      </c>
      <c r="C130" s="12" t="s">
        <v>656</v>
      </c>
      <c r="D130" s="15" t="s">
        <v>214</v>
      </c>
      <c r="E130" s="85">
        <v>456622.25</v>
      </c>
      <c r="F130" s="911">
        <v>347715.916666667</v>
      </c>
      <c r="G130" s="220">
        <v>210449.333333333</v>
      </c>
      <c r="H130" s="914">
        <f t="shared" si="72"/>
        <v>558165.25</v>
      </c>
      <c r="I130" s="220">
        <f t="shared" si="73"/>
        <v>101543</v>
      </c>
      <c r="J130" s="912">
        <v>35419.72</v>
      </c>
      <c r="K130" s="912">
        <f t="shared" si="74"/>
        <v>44653.22</v>
      </c>
      <c r="L130" s="912">
        <f t="shared" si="75"/>
        <v>9233.5</v>
      </c>
      <c r="M130" s="912">
        <v>5967.30625</v>
      </c>
      <c r="N130" s="912">
        <f t="shared" ref="N130:N135" si="81">0.025*F130</f>
        <v>8692.89791666667</v>
      </c>
      <c r="O130" s="912">
        <f t="shared" si="76"/>
        <v>2725.59166666667</v>
      </c>
      <c r="P130" s="912">
        <f t="shared" si="77"/>
        <v>535838.64</v>
      </c>
      <c r="Q130" s="912">
        <f t="shared" si="80"/>
        <v>104314.775</v>
      </c>
    </row>
    <row r="131" customHeight="1" spans="1:17">
      <c r="A131" s="4">
        <v>6</v>
      </c>
      <c r="B131" s="11" t="s">
        <v>289</v>
      </c>
      <c r="C131" s="12" t="s">
        <v>288</v>
      </c>
      <c r="D131" s="15" t="s">
        <v>47</v>
      </c>
      <c r="E131" s="85">
        <v>470498</v>
      </c>
      <c r="F131" s="911">
        <v>357066.666666667</v>
      </c>
      <c r="G131" s="220">
        <v>216844.416666667</v>
      </c>
      <c r="H131" s="914">
        <f t="shared" si="72"/>
        <v>573911.083333334</v>
      </c>
      <c r="I131" s="220">
        <f t="shared" si="73"/>
        <v>103413.083333334</v>
      </c>
      <c r="J131" s="912">
        <v>36529.78</v>
      </c>
      <c r="K131" s="912">
        <f t="shared" si="74"/>
        <v>45912.8866666667</v>
      </c>
      <c r="L131" s="912">
        <f t="shared" si="75"/>
        <v>9383.10666666672</v>
      </c>
      <c r="M131" s="912">
        <v>6154.32291666667</v>
      </c>
      <c r="N131" s="912">
        <f t="shared" si="81"/>
        <v>8926.66666666668</v>
      </c>
      <c r="O131" s="912">
        <f t="shared" si="76"/>
        <v>2772.34375000001</v>
      </c>
      <c r="P131" s="912">
        <f t="shared" si="77"/>
        <v>550954.640000001</v>
      </c>
      <c r="Q131" s="912">
        <f t="shared" si="80"/>
        <v>107120</v>
      </c>
    </row>
    <row r="132" customHeight="1" spans="1:17">
      <c r="A132" s="4">
        <v>7</v>
      </c>
      <c r="B132" s="11" t="s">
        <v>292</v>
      </c>
      <c r="C132" s="12" t="s">
        <v>657</v>
      </c>
      <c r="D132" s="10" t="s">
        <v>156</v>
      </c>
      <c r="E132" s="85">
        <v>277798</v>
      </c>
      <c r="F132" s="911">
        <v>227615.75</v>
      </c>
      <c r="G132" s="220">
        <v>127704.916666667</v>
      </c>
      <c r="H132" s="914">
        <f t="shared" si="72"/>
        <v>355320.666666667</v>
      </c>
      <c r="I132" s="220">
        <f t="shared" si="73"/>
        <v>77522.666666667</v>
      </c>
      <c r="J132" s="912">
        <v>21638.5333333333</v>
      </c>
      <c r="K132" s="912">
        <f t="shared" si="74"/>
        <v>28425.6533333334</v>
      </c>
      <c r="L132" s="912">
        <f t="shared" si="75"/>
        <v>6787.12000000006</v>
      </c>
      <c r="M132" s="912"/>
      <c r="N132" s="912"/>
      <c r="O132" s="912">
        <f t="shared" si="76"/>
        <v>0</v>
      </c>
      <c r="P132" s="912">
        <f t="shared" si="77"/>
        <v>341107.84</v>
      </c>
      <c r="Q132" s="912">
        <f t="shared" si="80"/>
        <v>0</v>
      </c>
    </row>
    <row r="133" customHeight="1" spans="1:17">
      <c r="A133" s="4">
        <v>8</v>
      </c>
      <c r="B133" s="18" t="s">
        <v>294</v>
      </c>
      <c r="C133" s="12" t="s">
        <v>295</v>
      </c>
      <c r="D133" s="15" t="s">
        <v>108</v>
      </c>
      <c r="E133" s="85">
        <v>230631.916666667</v>
      </c>
      <c r="F133" s="911">
        <v>196364.416666667</v>
      </c>
      <c r="G133" s="220">
        <v>105546.333333333</v>
      </c>
      <c r="H133" s="914">
        <f t="shared" si="72"/>
        <v>301910.75</v>
      </c>
      <c r="I133" s="220">
        <f t="shared" si="73"/>
        <v>71278.833333333</v>
      </c>
      <c r="J133" s="912">
        <v>17956.78</v>
      </c>
      <c r="K133" s="912">
        <f t="shared" si="74"/>
        <v>24152.86</v>
      </c>
      <c r="L133" s="912">
        <f t="shared" si="75"/>
        <v>6196.08</v>
      </c>
      <c r="M133" s="912">
        <v>0</v>
      </c>
      <c r="N133" s="912">
        <f t="shared" si="81"/>
        <v>4909.11041666668</v>
      </c>
      <c r="O133" s="912">
        <f t="shared" si="76"/>
        <v>4909.11041666668</v>
      </c>
      <c r="P133" s="912">
        <f t="shared" si="77"/>
        <v>289834.32</v>
      </c>
      <c r="Q133" s="912">
        <f t="shared" si="80"/>
        <v>58909.3250000001</v>
      </c>
    </row>
    <row r="134" customHeight="1" spans="1:17">
      <c r="A134" s="4">
        <v>9</v>
      </c>
      <c r="B134" s="18" t="s">
        <v>296</v>
      </c>
      <c r="C134" s="12" t="s">
        <v>291</v>
      </c>
      <c r="D134" s="15" t="s">
        <v>108</v>
      </c>
      <c r="E134" s="85">
        <v>230631.916666667</v>
      </c>
      <c r="F134" s="911">
        <v>196364.416666667</v>
      </c>
      <c r="G134" s="220">
        <v>105546.333333333</v>
      </c>
      <c r="H134" s="914">
        <f t="shared" si="72"/>
        <v>301910.75</v>
      </c>
      <c r="I134" s="220">
        <f t="shared" si="73"/>
        <v>71278.833333333</v>
      </c>
      <c r="J134" s="912">
        <v>17956.78</v>
      </c>
      <c r="K134" s="912">
        <f t="shared" si="74"/>
        <v>24152.86</v>
      </c>
      <c r="L134" s="912">
        <f t="shared" si="75"/>
        <v>6196.08</v>
      </c>
      <c r="M134" s="912">
        <v>0</v>
      </c>
      <c r="N134" s="912">
        <f t="shared" si="81"/>
        <v>4909.11041666668</v>
      </c>
      <c r="O134" s="912">
        <f t="shared" si="76"/>
        <v>4909.11041666668</v>
      </c>
      <c r="P134" s="912">
        <f t="shared" si="77"/>
        <v>289834.32</v>
      </c>
      <c r="Q134" s="912">
        <f t="shared" si="80"/>
        <v>58909.3250000001</v>
      </c>
    </row>
    <row r="135" customHeight="1" spans="1:17">
      <c r="A135" s="4">
        <v>10</v>
      </c>
      <c r="B135" s="18" t="s">
        <v>297</v>
      </c>
      <c r="C135" s="12" t="s">
        <v>295</v>
      </c>
      <c r="D135" s="15" t="s">
        <v>111</v>
      </c>
      <c r="E135" s="85">
        <v>224459.75</v>
      </c>
      <c r="F135" s="911">
        <v>192179.416666667</v>
      </c>
      <c r="G135" s="919">
        <v>102721.416666667</v>
      </c>
      <c r="H135" s="920">
        <f t="shared" si="72"/>
        <v>294900.833333334</v>
      </c>
      <c r="I135" s="919">
        <f t="shared" si="73"/>
        <v>70441.083333334</v>
      </c>
      <c r="J135" s="921">
        <v>17463.0066666666</v>
      </c>
      <c r="K135" s="912">
        <f t="shared" si="74"/>
        <v>23592.0666666667</v>
      </c>
      <c r="L135" s="912">
        <f t="shared" si="75"/>
        <v>6129.06000000012</v>
      </c>
      <c r="M135" s="912"/>
      <c r="N135" s="912">
        <f t="shared" si="81"/>
        <v>4804.48541666668</v>
      </c>
      <c r="O135" s="912">
        <f t="shared" si="76"/>
        <v>4804.48541666668</v>
      </c>
      <c r="P135" s="912">
        <f t="shared" si="77"/>
        <v>283104.800000001</v>
      </c>
      <c r="Q135" s="912">
        <f t="shared" si="80"/>
        <v>57653.8250000001</v>
      </c>
    </row>
    <row r="136" ht="28.5" customHeight="1" spans="1:17">
      <c r="A136" s="4"/>
      <c r="B136" s="20" t="s">
        <v>120</v>
      </c>
      <c r="C136" s="26" t="s">
        <v>658</v>
      </c>
      <c r="D136" s="15"/>
      <c r="E136" s="156">
        <f t="shared" ref="E136:Q136" si="82">SUM(E126:E135)</f>
        <v>5289142.75</v>
      </c>
      <c r="F136" s="916">
        <f t="shared" si="82"/>
        <v>4048557.16666667</v>
      </c>
      <c r="G136" s="221">
        <f t="shared" si="82"/>
        <v>2432343.41666667</v>
      </c>
      <c r="H136" s="221">
        <f t="shared" si="82"/>
        <v>6480900.58333333</v>
      </c>
      <c r="I136" s="221">
        <f t="shared" si="82"/>
        <v>1191757.83333333</v>
      </c>
      <c r="J136" s="221">
        <f t="shared" si="82"/>
        <v>417734.613333333</v>
      </c>
      <c r="K136" s="221">
        <f t="shared" si="82"/>
        <v>518472.046666667</v>
      </c>
      <c r="L136" s="221">
        <f t="shared" si="82"/>
        <v>100737.433333333</v>
      </c>
      <c r="M136" s="221">
        <f t="shared" si="82"/>
        <v>51467.5291666667</v>
      </c>
      <c r="N136" s="221">
        <f t="shared" si="82"/>
        <v>86363.0979166666</v>
      </c>
      <c r="O136" s="221">
        <f t="shared" si="82"/>
        <v>34895.5687499999</v>
      </c>
      <c r="P136" s="221">
        <f t="shared" si="82"/>
        <v>6221664.56</v>
      </c>
      <c r="Q136" s="221">
        <f t="shared" si="82"/>
        <v>1036357.175</v>
      </c>
    </row>
    <row r="137" customHeight="1" spans="1:17">
      <c r="A137" s="4"/>
      <c r="B137" s="22"/>
      <c r="C137" s="26"/>
      <c r="D137" s="15"/>
      <c r="E137" s="156"/>
      <c r="F137" s="916"/>
      <c r="G137" s="156"/>
      <c r="H137" s="220"/>
      <c r="I137" s="220"/>
      <c r="J137" s="912"/>
      <c r="K137" s="912"/>
      <c r="L137" s="912"/>
      <c r="M137" s="912"/>
      <c r="N137" s="912"/>
      <c r="O137" s="912"/>
      <c r="P137" s="912"/>
      <c r="Q137" s="912"/>
    </row>
    <row r="138" customHeight="1" spans="1:17">
      <c r="A138" s="4"/>
      <c r="B138" s="20" t="s">
        <v>299</v>
      </c>
      <c r="C138" s="12"/>
      <c r="D138" s="15"/>
      <c r="E138" s="85"/>
      <c r="F138" s="911"/>
      <c r="G138" s="85"/>
      <c r="H138" s="220"/>
      <c r="I138" s="220"/>
      <c r="J138" s="912"/>
      <c r="K138" s="912"/>
      <c r="L138" s="912"/>
      <c r="M138" s="912"/>
      <c r="N138" s="912"/>
      <c r="O138" s="912"/>
      <c r="P138" s="912"/>
      <c r="Q138" s="912"/>
    </row>
    <row r="139" customHeight="1" spans="1:17">
      <c r="A139" s="27">
        <v>1</v>
      </c>
      <c r="B139" s="14" t="s">
        <v>300</v>
      </c>
      <c r="C139" s="4" t="s">
        <v>301</v>
      </c>
      <c r="D139" s="10" t="s">
        <v>511</v>
      </c>
      <c r="E139" s="85">
        <f>'[3]Annual &amp; Monthly'!$H$44</f>
        <v>1352042.66666667</v>
      </c>
      <c r="F139" s="911">
        <v>1025768.33333333</v>
      </c>
      <c r="G139" s="85">
        <v>621843.666666667</v>
      </c>
      <c r="H139" s="220">
        <f t="shared" ref="H139:H198" si="83">F139+G139</f>
        <v>1647612</v>
      </c>
      <c r="I139" s="220">
        <f t="shared" ref="I139:I198" si="84">H139-E139</f>
        <v>295569.333333333</v>
      </c>
      <c r="J139" s="912">
        <v>114857.6</v>
      </c>
      <c r="K139" s="912">
        <f t="shared" ref="K139:K198" si="85">H139*0.08</f>
        <v>131808.96</v>
      </c>
      <c r="L139" s="912">
        <f t="shared" ref="L139:L198" si="86">K139-J139</f>
        <v>16951.3599999998</v>
      </c>
      <c r="M139" s="912">
        <v>18254.975</v>
      </c>
      <c r="N139" s="912">
        <f t="shared" ref="N139:N143" si="87">0.025*F139</f>
        <v>25644.2083333333</v>
      </c>
      <c r="O139" s="912">
        <f t="shared" ref="O139:O198" si="88">N139-M139</f>
        <v>7389.23333333325</v>
      </c>
      <c r="P139" s="912">
        <f t="shared" ref="P139:P198" si="89">12*K139</f>
        <v>1581707.52</v>
      </c>
      <c r="Q139" s="912">
        <f t="shared" ref="Q139:Q198" si="90">N139*12</f>
        <v>307730.499999999</v>
      </c>
    </row>
    <row r="140" customHeight="1" spans="1:17">
      <c r="A140" s="27">
        <v>2</v>
      </c>
      <c r="B140" s="14" t="s">
        <v>302</v>
      </c>
      <c r="C140" s="4" t="s">
        <v>488</v>
      </c>
      <c r="D140" s="16" t="s">
        <v>36</v>
      </c>
      <c r="E140" s="85">
        <v>762373.166666667</v>
      </c>
      <c r="F140" s="911">
        <v>554669.5</v>
      </c>
      <c r="G140" s="220">
        <v>350637.25</v>
      </c>
      <c r="H140" s="220">
        <f t="shared" si="83"/>
        <v>905306.75</v>
      </c>
      <c r="I140" s="220">
        <f t="shared" si="84"/>
        <v>142933.583333333</v>
      </c>
      <c r="J140" s="912">
        <v>60989.8533333333</v>
      </c>
      <c r="K140" s="912">
        <f t="shared" si="85"/>
        <v>72424.54</v>
      </c>
      <c r="L140" s="912">
        <f t="shared" si="86"/>
        <v>11434.6866666667</v>
      </c>
      <c r="M140" s="912">
        <v>10293.3979166667</v>
      </c>
      <c r="N140" s="912">
        <f t="shared" si="87"/>
        <v>13866.7375</v>
      </c>
      <c r="O140" s="912">
        <f t="shared" si="88"/>
        <v>3573.3395833333</v>
      </c>
      <c r="P140" s="912">
        <f t="shared" si="89"/>
        <v>869094.48</v>
      </c>
      <c r="Q140" s="912">
        <f t="shared" si="90"/>
        <v>166400.85</v>
      </c>
    </row>
    <row r="141" customHeight="1" spans="1:17">
      <c r="A141" s="27">
        <v>3</v>
      </c>
      <c r="B141" s="11" t="s">
        <v>305</v>
      </c>
      <c r="C141" s="12" t="s">
        <v>306</v>
      </c>
      <c r="D141" s="15" t="s">
        <v>42</v>
      </c>
      <c r="E141" s="85">
        <v>582118.083333333</v>
      </c>
      <c r="F141" s="911">
        <v>432981.083333333</v>
      </c>
      <c r="G141" s="220">
        <v>267732.833333333</v>
      </c>
      <c r="H141" s="220">
        <f t="shared" si="83"/>
        <v>700713.916666666</v>
      </c>
      <c r="I141" s="220">
        <f t="shared" si="84"/>
        <v>118595.833333333</v>
      </c>
      <c r="J141" s="912">
        <v>46569.45</v>
      </c>
      <c r="K141" s="912">
        <f t="shared" si="85"/>
        <v>56057.1133333333</v>
      </c>
      <c r="L141" s="912">
        <f t="shared" si="86"/>
        <v>9487.66333333329</v>
      </c>
      <c r="M141" s="912">
        <v>8380.22708333333</v>
      </c>
      <c r="N141" s="912">
        <f t="shared" si="87"/>
        <v>10824.5270833333</v>
      </c>
      <c r="O141" s="912">
        <f t="shared" si="88"/>
        <v>2444.3</v>
      </c>
      <c r="P141" s="912">
        <f t="shared" si="89"/>
        <v>672685.359999999</v>
      </c>
      <c r="Q141" s="912">
        <f t="shared" si="90"/>
        <v>129894.325</v>
      </c>
    </row>
    <row r="142" customHeight="1" spans="1:17">
      <c r="A142" s="27">
        <v>4</v>
      </c>
      <c r="B142" s="11" t="s">
        <v>307</v>
      </c>
      <c r="C142" s="4" t="s">
        <v>489</v>
      </c>
      <c r="D142" s="15" t="s">
        <v>42</v>
      </c>
      <c r="E142" s="85">
        <v>582119.083333333</v>
      </c>
      <c r="F142" s="911">
        <v>432981.083333333</v>
      </c>
      <c r="G142" s="220">
        <v>267732.833333333</v>
      </c>
      <c r="H142" s="220">
        <f t="shared" si="83"/>
        <v>700713.916666666</v>
      </c>
      <c r="I142" s="220">
        <f t="shared" si="84"/>
        <v>118594.833333333</v>
      </c>
      <c r="J142" s="912">
        <v>46569.45</v>
      </c>
      <c r="K142" s="912">
        <f t="shared" si="85"/>
        <v>56057.1133333333</v>
      </c>
      <c r="L142" s="912">
        <f t="shared" si="86"/>
        <v>9487.66333333329</v>
      </c>
      <c r="M142" s="912">
        <v>8381.22708333333</v>
      </c>
      <c r="N142" s="912">
        <f t="shared" si="87"/>
        <v>10824.5270833333</v>
      </c>
      <c r="O142" s="912">
        <f t="shared" si="88"/>
        <v>2443.3</v>
      </c>
      <c r="P142" s="912">
        <f t="shared" si="89"/>
        <v>672685.359999999</v>
      </c>
      <c r="Q142" s="912">
        <f t="shared" si="90"/>
        <v>129894.325</v>
      </c>
    </row>
    <row r="143" customHeight="1" spans="1:17">
      <c r="A143" s="27">
        <v>5</v>
      </c>
      <c r="B143" s="11" t="s">
        <v>309</v>
      </c>
      <c r="C143" s="4" t="s">
        <v>489</v>
      </c>
      <c r="D143" s="15" t="s">
        <v>42</v>
      </c>
      <c r="E143" s="85">
        <v>582120.083333333</v>
      </c>
      <c r="F143" s="911">
        <v>432981.083333333</v>
      </c>
      <c r="G143" s="220">
        <v>267732.833333333</v>
      </c>
      <c r="H143" s="220">
        <f t="shared" si="83"/>
        <v>700713.916666666</v>
      </c>
      <c r="I143" s="220">
        <f t="shared" si="84"/>
        <v>118593.833333333</v>
      </c>
      <c r="J143" s="912">
        <v>46569.45</v>
      </c>
      <c r="K143" s="912">
        <f t="shared" si="85"/>
        <v>56057.1133333333</v>
      </c>
      <c r="L143" s="912">
        <f t="shared" si="86"/>
        <v>9487.66333333329</v>
      </c>
      <c r="M143" s="912">
        <v>8382.22708333333</v>
      </c>
      <c r="N143" s="912">
        <f t="shared" si="87"/>
        <v>10824.5270833333</v>
      </c>
      <c r="O143" s="912">
        <f t="shared" si="88"/>
        <v>2442.3</v>
      </c>
      <c r="P143" s="912">
        <f t="shared" si="89"/>
        <v>672685.359999999</v>
      </c>
      <c r="Q143" s="912">
        <f t="shared" si="90"/>
        <v>129894.325</v>
      </c>
    </row>
    <row r="144" customHeight="1" spans="1:17">
      <c r="A144" s="27">
        <v>6</v>
      </c>
      <c r="B144" s="11" t="s">
        <v>312</v>
      </c>
      <c r="C144" s="12" t="s">
        <v>232</v>
      </c>
      <c r="D144" s="15" t="s">
        <v>67</v>
      </c>
      <c r="E144" s="85">
        <v>390248.916666667</v>
      </c>
      <c r="F144" s="911">
        <v>302987.416666667</v>
      </c>
      <c r="G144" s="220">
        <v>179859.166666667</v>
      </c>
      <c r="H144" s="220">
        <f t="shared" si="83"/>
        <v>482846.583333334</v>
      </c>
      <c r="I144" s="220">
        <f t="shared" si="84"/>
        <v>92597.666666667</v>
      </c>
      <c r="J144" s="912">
        <v>31219.91</v>
      </c>
      <c r="K144" s="912">
        <f t="shared" si="85"/>
        <v>38627.7266666667</v>
      </c>
      <c r="L144" s="912">
        <f t="shared" si="86"/>
        <v>7407.81666666672</v>
      </c>
      <c r="M144" s="912">
        <v>0</v>
      </c>
      <c r="N144" s="912"/>
      <c r="O144" s="912">
        <f t="shared" si="88"/>
        <v>0</v>
      </c>
      <c r="P144" s="912">
        <f t="shared" si="89"/>
        <v>463532.720000001</v>
      </c>
      <c r="Q144" s="912">
        <f t="shared" si="90"/>
        <v>0</v>
      </c>
    </row>
    <row r="145" customHeight="1" spans="1:17">
      <c r="A145" s="27">
        <v>7</v>
      </c>
      <c r="B145" s="11" t="s">
        <v>313</v>
      </c>
      <c r="C145" s="4" t="s">
        <v>659</v>
      </c>
      <c r="D145" s="15" t="s">
        <v>67</v>
      </c>
      <c r="E145" s="85">
        <v>390248.916666667</v>
      </c>
      <c r="F145" s="911">
        <v>302987.416666667</v>
      </c>
      <c r="G145" s="220">
        <v>179859.166666667</v>
      </c>
      <c r="H145" s="220">
        <f t="shared" si="83"/>
        <v>482846.583333334</v>
      </c>
      <c r="I145" s="220">
        <f t="shared" si="84"/>
        <v>92597.666666667</v>
      </c>
      <c r="J145" s="912">
        <v>31219.91</v>
      </c>
      <c r="K145" s="912">
        <f t="shared" si="85"/>
        <v>38627.7266666667</v>
      </c>
      <c r="L145" s="912">
        <f t="shared" si="86"/>
        <v>7407.81666666672</v>
      </c>
      <c r="M145" s="912">
        <v>0</v>
      </c>
      <c r="N145" s="912"/>
      <c r="O145" s="912">
        <f t="shared" si="88"/>
        <v>0</v>
      </c>
      <c r="P145" s="912">
        <f t="shared" si="89"/>
        <v>463532.720000001</v>
      </c>
      <c r="Q145" s="912">
        <f t="shared" si="90"/>
        <v>0</v>
      </c>
    </row>
    <row r="146" customHeight="1" spans="1:17">
      <c r="A146" s="27">
        <v>8</v>
      </c>
      <c r="B146" s="11" t="s">
        <v>315</v>
      </c>
      <c r="C146" s="12" t="s">
        <v>660</v>
      </c>
      <c r="D146" s="15" t="s">
        <v>173</v>
      </c>
      <c r="E146" s="85">
        <v>390086.5</v>
      </c>
      <c r="F146" s="911">
        <v>302878.666666667</v>
      </c>
      <c r="G146" s="220">
        <v>179784</v>
      </c>
      <c r="H146" s="220">
        <f t="shared" si="83"/>
        <v>482662.666666667</v>
      </c>
      <c r="I146" s="220">
        <f t="shared" si="84"/>
        <v>92576.166666667</v>
      </c>
      <c r="J146" s="912">
        <v>30231.6133333333</v>
      </c>
      <c r="K146" s="912">
        <f t="shared" si="85"/>
        <v>38613.0133333334</v>
      </c>
      <c r="L146" s="912">
        <f t="shared" si="86"/>
        <v>8381.40000000006</v>
      </c>
      <c r="M146" s="912">
        <v>0</v>
      </c>
      <c r="N146" s="912"/>
      <c r="O146" s="912">
        <f t="shared" si="88"/>
        <v>0</v>
      </c>
      <c r="P146" s="912">
        <f t="shared" si="89"/>
        <v>463356.16</v>
      </c>
      <c r="Q146" s="912">
        <f t="shared" si="90"/>
        <v>0</v>
      </c>
    </row>
    <row r="147" customHeight="1" spans="1:17">
      <c r="A147" s="27">
        <v>9</v>
      </c>
      <c r="B147" s="11" t="s">
        <v>317</v>
      </c>
      <c r="C147" s="12" t="s">
        <v>318</v>
      </c>
      <c r="D147" s="15" t="s">
        <v>70</v>
      </c>
      <c r="E147" s="85">
        <v>377895.166666667</v>
      </c>
      <c r="F147" s="911">
        <v>294662.916666667</v>
      </c>
      <c r="G147" s="220">
        <v>174165.25</v>
      </c>
      <c r="H147" s="220">
        <f t="shared" si="83"/>
        <v>468828.166666667</v>
      </c>
      <c r="I147" s="220">
        <f t="shared" si="84"/>
        <v>90933</v>
      </c>
      <c r="J147" s="912">
        <v>29256.3066666667</v>
      </c>
      <c r="K147" s="912">
        <f t="shared" si="85"/>
        <v>37506.2533333334</v>
      </c>
      <c r="L147" s="912">
        <f t="shared" si="86"/>
        <v>8249.94666666666</v>
      </c>
      <c r="M147" s="912">
        <v>4928.93333333333</v>
      </c>
      <c r="N147" s="912">
        <f t="shared" ref="N147:N150" si="91">0.025*F147</f>
        <v>7366.57291666668</v>
      </c>
      <c r="O147" s="912">
        <f t="shared" si="88"/>
        <v>2437.63958333335</v>
      </c>
      <c r="P147" s="912">
        <f t="shared" si="89"/>
        <v>450075.04</v>
      </c>
      <c r="Q147" s="912">
        <f t="shared" si="90"/>
        <v>88398.8750000001</v>
      </c>
    </row>
    <row r="148" customHeight="1" spans="1:17">
      <c r="A148" s="27">
        <v>10</v>
      </c>
      <c r="B148" s="18" t="s">
        <v>319</v>
      </c>
      <c r="C148" s="4" t="s">
        <v>320</v>
      </c>
      <c r="D148" s="15" t="s">
        <v>131</v>
      </c>
      <c r="E148" s="220">
        <v>365703.833333333</v>
      </c>
      <c r="F148" s="911">
        <v>286447.083333333</v>
      </c>
      <c r="G148" s="220">
        <v>168546.5</v>
      </c>
      <c r="H148" s="220">
        <f t="shared" si="83"/>
        <v>454993.583333333</v>
      </c>
      <c r="I148" s="220">
        <f t="shared" si="84"/>
        <v>89289.75</v>
      </c>
      <c r="J148" s="912">
        <v>28281</v>
      </c>
      <c r="K148" s="912">
        <f t="shared" si="85"/>
        <v>36399.4866666666</v>
      </c>
      <c r="L148" s="912">
        <f t="shared" si="86"/>
        <v>8118.48666666664</v>
      </c>
      <c r="M148" s="912">
        <v>0</v>
      </c>
      <c r="N148" s="912">
        <f t="shared" si="91"/>
        <v>7161.17708333333</v>
      </c>
      <c r="O148" s="912">
        <f t="shared" si="88"/>
        <v>7161.17708333333</v>
      </c>
      <c r="P148" s="912">
        <f t="shared" si="89"/>
        <v>436793.84</v>
      </c>
      <c r="Q148" s="912">
        <f t="shared" si="90"/>
        <v>85934.1249999999</v>
      </c>
    </row>
    <row r="149" customHeight="1" spans="1:17">
      <c r="A149" s="27">
        <v>11</v>
      </c>
      <c r="B149" s="11" t="s">
        <v>321</v>
      </c>
      <c r="C149" s="4" t="s">
        <v>320</v>
      </c>
      <c r="D149" s="15" t="s">
        <v>180</v>
      </c>
      <c r="E149" s="220">
        <v>353512.5</v>
      </c>
      <c r="F149" s="911">
        <v>278231.25</v>
      </c>
      <c r="G149" s="220">
        <v>162927.75</v>
      </c>
      <c r="H149" s="220">
        <f t="shared" si="83"/>
        <v>441159</v>
      </c>
      <c r="I149" s="220">
        <f t="shared" si="84"/>
        <v>87646.5</v>
      </c>
      <c r="J149" s="912">
        <v>28281</v>
      </c>
      <c r="K149" s="912">
        <f t="shared" si="85"/>
        <v>35292.72</v>
      </c>
      <c r="L149" s="912">
        <f t="shared" si="86"/>
        <v>7011.72</v>
      </c>
      <c r="M149" s="912">
        <v>0</v>
      </c>
      <c r="N149" s="912"/>
      <c r="O149" s="912">
        <f t="shared" si="88"/>
        <v>0</v>
      </c>
      <c r="P149" s="912">
        <f t="shared" si="89"/>
        <v>423512.64</v>
      </c>
      <c r="Q149" s="912">
        <f t="shared" si="90"/>
        <v>0</v>
      </c>
    </row>
    <row r="150" customHeight="1" spans="1:17">
      <c r="A150" s="27">
        <v>12</v>
      </c>
      <c r="B150" s="11" t="s">
        <v>322</v>
      </c>
      <c r="C150" s="4" t="s">
        <v>320</v>
      </c>
      <c r="D150" s="15" t="s">
        <v>180</v>
      </c>
      <c r="E150" s="220">
        <v>353512.5</v>
      </c>
      <c r="F150" s="911">
        <v>278231.25</v>
      </c>
      <c r="G150" s="220">
        <v>162927.75</v>
      </c>
      <c r="H150" s="220">
        <f t="shared" si="83"/>
        <v>441159</v>
      </c>
      <c r="I150" s="220">
        <f t="shared" si="84"/>
        <v>87646.5</v>
      </c>
      <c r="J150" s="912">
        <v>28281</v>
      </c>
      <c r="K150" s="912">
        <f t="shared" si="85"/>
        <v>35292.72</v>
      </c>
      <c r="L150" s="912">
        <f t="shared" si="86"/>
        <v>7011.72</v>
      </c>
      <c r="M150" s="912">
        <v>4928.93333333333</v>
      </c>
      <c r="N150" s="912">
        <f t="shared" si="91"/>
        <v>6955.78125</v>
      </c>
      <c r="O150" s="912">
        <f t="shared" si="88"/>
        <v>2026.84791666667</v>
      </c>
      <c r="P150" s="912">
        <f t="shared" si="89"/>
        <v>423512.64</v>
      </c>
      <c r="Q150" s="912">
        <f t="shared" si="90"/>
        <v>83469.375</v>
      </c>
    </row>
    <row r="151" customHeight="1" spans="1:17">
      <c r="A151" s="27">
        <v>13</v>
      </c>
      <c r="B151" s="11" t="s">
        <v>324</v>
      </c>
      <c r="C151" s="4" t="s">
        <v>320</v>
      </c>
      <c r="D151" s="15" t="s">
        <v>131</v>
      </c>
      <c r="E151" s="220">
        <v>365703.833333333</v>
      </c>
      <c r="F151" s="911">
        <v>286447.083333333</v>
      </c>
      <c r="G151" s="220">
        <v>168546.5</v>
      </c>
      <c r="H151" s="220">
        <f t="shared" si="83"/>
        <v>454993.583333333</v>
      </c>
      <c r="I151" s="220">
        <f t="shared" si="84"/>
        <v>89289.75</v>
      </c>
      <c r="J151" s="912">
        <v>28281</v>
      </c>
      <c r="K151" s="912">
        <f t="shared" si="85"/>
        <v>36399.4866666666</v>
      </c>
      <c r="L151" s="912">
        <f t="shared" si="86"/>
        <v>8118.48666666664</v>
      </c>
      <c r="M151" s="912">
        <v>0</v>
      </c>
      <c r="N151" s="912"/>
      <c r="O151" s="912">
        <f t="shared" si="88"/>
        <v>0</v>
      </c>
      <c r="P151" s="912">
        <f t="shared" si="89"/>
        <v>436793.84</v>
      </c>
      <c r="Q151" s="912">
        <f t="shared" si="90"/>
        <v>0</v>
      </c>
    </row>
    <row r="152" customHeight="1" spans="1:17">
      <c r="A152" s="27">
        <v>14</v>
      </c>
      <c r="B152" s="11" t="s">
        <v>325</v>
      </c>
      <c r="C152" s="12" t="s">
        <v>326</v>
      </c>
      <c r="D152" s="15" t="s">
        <v>78</v>
      </c>
      <c r="E152" s="220">
        <v>308901.5</v>
      </c>
      <c r="F152" s="911">
        <v>246171.166666667</v>
      </c>
      <c r="G152" s="220">
        <v>143964.666666667</v>
      </c>
      <c r="H152" s="220">
        <f t="shared" si="83"/>
        <v>390135.833333334</v>
      </c>
      <c r="I152" s="220">
        <f t="shared" si="84"/>
        <v>81234.333333334</v>
      </c>
      <c r="J152" s="912">
        <v>24077.2466666667</v>
      </c>
      <c r="K152" s="912">
        <f t="shared" si="85"/>
        <v>31210.8666666667</v>
      </c>
      <c r="L152" s="912">
        <f t="shared" si="86"/>
        <v>7133.62000000002</v>
      </c>
      <c r="M152" s="912">
        <v>0</v>
      </c>
      <c r="N152" s="912">
        <f t="shared" ref="N152:N156" si="92">0.025*F152</f>
        <v>6154.27916666668</v>
      </c>
      <c r="O152" s="912">
        <f t="shared" si="88"/>
        <v>6154.27916666668</v>
      </c>
      <c r="P152" s="912">
        <f t="shared" si="89"/>
        <v>374530.400000001</v>
      </c>
      <c r="Q152" s="912">
        <f t="shared" si="90"/>
        <v>73851.3500000001</v>
      </c>
    </row>
    <row r="153" customHeight="1" spans="1:17">
      <c r="A153" s="27">
        <v>15</v>
      </c>
      <c r="B153" s="11" t="s">
        <v>327</v>
      </c>
      <c r="C153" s="12" t="s">
        <v>328</v>
      </c>
      <c r="D153" s="10" t="s">
        <v>86</v>
      </c>
      <c r="E153" s="85">
        <v>270481.666666667</v>
      </c>
      <c r="F153" s="911">
        <v>222674.583333333</v>
      </c>
      <c r="G153" s="220">
        <v>124341.583333333</v>
      </c>
      <c r="H153" s="220">
        <f t="shared" si="83"/>
        <v>347016.166666666</v>
      </c>
      <c r="I153" s="220">
        <f t="shared" si="84"/>
        <v>76534.499999999</v>
      </c>
      <c r="J153" s="912">
        <v>21053.2266666667</v>
      </c>
      <c r="K153" s="912">
        <f t="shared" si="85"/>
        <v>27761.2933333333</v>
      </c>
      <c r="L153" s="912">
        <f t="shared" si="86"/>
        <v>6708.06666666658</v>
      </c>
      <c r="M153" s="912">
        <v>0</v>
      </c>
      <c r="N153" s="912">
        <f t="shared" si="92"/>
        <v>5566.86458333332</v>
      </c>
      <c r="O153" s="912">
        <f t="shared" si="88"/>
        <v>5566.86458333332</v>
      </c>
      <c r="P153" s="912">
        <f t="shared" si="89"/>
        <v>333135.519999999</v>
      </c>
      <c r="Q153" s="912">
        <f t="shared" si="90"/>
        <v>66802.3749999999</v>
      </c>
    </row>
    <row r="154" customHeight="1" spans="1:17">
      <c r="A154" s="27">
        <v>16</v>
      </c>
      <c r="B154" s="11" t="s">
        <v>329</v>
      </c>
      <c r="C154" s="12" t="s">
        <v>661</v>
      </c>
      <c r="D154" s="15" t="s">
        <v>153</v>
      </c>
      <c r="E154" s="220">
        <v>316837.416666667</v>
      </c>
      <c r="F154" s="911">
        <v>251467.916666667</v>
      </c>
      <c r="G154" s="220">
        <v>147663.25</v>
      </c>
      <c r="H154" s="220">
        <f t="shared" si="83"/>
        <v>399131.166666667</v>
      </c>
      <c r="I154" s="220">
        <f t="shared" si="84"/>
        <v>82293.75</v>
      </c>
      <c r="J154" s="912">
        <v>24712.12</v>
      </c>
      <c r="K154" s="912">
        <f t="shared" si="85"/>
        <v>31930.4933333334</v>
      </c>
      <c r="L154" s="912">
        <f t="shared" si="86"/>
        <v>7218.37333333336</v>
      </c>
      <c r="M154" s="912">
        <v>0</v>
      </c>
      <c r="N154" s="912"/>
      <c r="O154" s="912">
        <f t="shared" si="88"/>
        <v>0</v>
      </c>
      <c r="P154" s="912">
        <f t="shared" si="89"/>
        <v>383165.92</v>
      </c>
      <c r="Q154" s="912">
        <f t="shared" si="90"/>
        <v>0</v>
      </c>
    </row>
    <row r="155" customHeight="1" spans="1:17">
      <c r="A155" s="27">
        <v>17</v>
      </c>
      <c r="B155" s="11" t="s">
        <v>331</v>
      </c>
      <c r="C155" s="12" t="s">
        <v>662</v>
      </c>
      <c r="D155" s="15" t="s">
        <v>156</v>
      </c>
      <c r="E155" s="220">
        <v>277798</v>
      </c>
      <c r="F155" s="911">
        <v>227615.75</v>
      </c>
      <c r="G155" s="220">
        <v>127704.916666667</v>
      </c>
      <c r="H155" s="220">
        <f t="shared" si="83"/>
        <v>355320.666666667</v>
      </c>
      <c r="I155" s="220">
        <f t="shared" si="84"/>
        <v>77522.666666667</v>
      </c>
      <c r="J155" s="912">
        <v>21638.5333333333</v>
      </c>
      <c r="K155" s="912">
        <f t="shared" si="85"/>
        <v>28425.6533333334</v>
      </c>
      <c r="L155" s="912">
        <f t="shared" si="86"/>
        <v>6787.12000000006</v>
      </c>
      <c r="M155" s="912">
        <v>0</v>
      </c>
      <c r="N155" s="912">
        <f t="shared" si="92"/>
        <v>5690.39375</v>
      </c>
      <c r="O155" s="912">
        <f t="shared" si="88"/>
        <v>5690.39375</v>
      </c>
      <c r="P155" s="912">
        <f t="shared" si="89"/>
        <v>341107.84</v>
      </c>
      <c r="Q155" s="912">
        <f t="shared" si="90"/>
        <v>68284.725</v>
      </c>
    </row>
    <row r="156" customHeight="1" spans="1:17">
      <c r="A156" s="27">
        <v>18</v>
      </c>
      <c r="B156" s="11" t="s">
        <v>333</v>
      </c>
      <c r="C156" s="12" t="s">
        <v>663</v>
      </c>
      <c r="D156" s="15" t="s">
        <v>153</v>
      </c>
      <c r="E156" s="220">
        <v>316837.416666667</v>
      </c>
      <c r="F156" s="911">
        <v>251467.916666667</v>
      </c>
      <c r="G156" s="220">
        <v>147663.25</v>
      </c>
      <c r="H156" s="220">
        <f t="shared" si="83"/>
        <v>399131.166666667</v>
      </c>
      <c r="I156" s="220">
        <f t="shared" si="84"/>
        <v>82293.75</v>
      </c>
      <c r="J156" s="912">
        <v>24712.12</v>
      </c>
      <c r="K156" s="912">
        <f t="shared" si="85"/>
        <v>31930.4933333334</v>
      </c>
      <c r="L156" s="912">
        <f t="shared" si="86"/>
        <v>7218.37333333336</v>
      </c>
      <c r="M156" s="912">
        <v>4123.42083333333</v>
      </c>
      <c r="N156" s="912">
        <f t="shared" si="92"/>
        <v>6286.69791666668</v>
      </c>
      <c r="O156" s="912">
        <f t="shared" si="88"/>
        <v>2163.27708333335</v>
      </c>
      <c r="P156" s="912">
        <f t="shared" si="89"/>
        <v>383165.92</v>
      </c>
      <c r="Q156" s="912">
        <f t="shared" si="90"/>
        <v>75440.3750000001</v>
      </c>
    </row>
    <row r="157" customHeight="1" spans="1:17">
      <c r="A157" s="27">
        <v>19</v>
      </c>
      <c r="B157" s="11" t="s">
        <v>334</v>
      </c>
      <c r="C157" s="12" t="s">
        <v>664</v>
      </c>
      <c r="D157" s="15" t="s">
        <v>156</v>
      </c>
      <c r="E157" s="220">
        <v>277798</v>
      </c>
      <c r="F157" s="911">
        <v>227615.75</v>
      </c>
      <c r="G157" s="220">
        <v>127704.916666667</v>
      </c>
      <c r="H157" s="220">
        <f t="shared" si="83"/>
        <v>355320.666666667</v>
      </c>
      <c r="I157" s="220">
        <f t="shared" si="84"/>
        <v>77522.666666667</v>
      </c>
      <c r="J157" s="912">
        <v>21638.5333333333</v>
      </c>
      <c r="K157" s="912">
        <f t="shared" si="85"/>
        <v>28425.6533333334</v>
      </c>
      <c r="L157" s="912">
        <f t="shared" si="86"/>
        <v>6787.12000000006</v>
      </c>
      <c r="M157" s="912">
        <v>0</v>
      </c>
      <c r="N157" s="912"/>
      <c r="O157" s="912">
        <f t="shared" si="88"/>
        <v>0</v>
      </c>
      <c r="P157" s="912">
        <f t="shared" si="89"/>
        <v>341107.84</v>
      </c>
      <c r="Q157" s="912">
        <f t="shared" si="90"/>
        <v>0</v>
      </c>
    </row>
    <row r="158" customHeight="1" spans="1:17">
      <c r="A158" s="27">
        <v>20</v>
      </c>
      <c r="B158" s="18" t="s">
        <v>336</v>
      </c>
      <c r="C158" s="12" t="s">
        <v>337</v>
      </c>
      <c r="D158" s="15" t="s">
        <v>99</v>
      </c>
      <c r="E158" s="220">
        <v>263165.333333333</v>
      </c>
      <c r="F158" s="911">
        <v>217733.416666667</v>
      </c>
      <c r="G158" s="220">
        <v>120978.25</v>
      </c>
      <c r="H158" s="220">
        <f t="shared" si="83"/>
        <v>338711.666666667</v>
      </c>
      <c r="I158" s="220">
        <f t="shared" si="84"/>
        <v>75546.333333334</v>
      </c>
      <c r="J158" s="912">
        <v>20467.92</v>
      </c>
      <c r="K158" s="912">
        <f t="shared" si="85"/>
        <v>27096.9333333334</v>
      </c>
      <c r="L158" s="912">
        <f t="shared" si="86"/>
        <v>6629.01333333336</v>
      </c>
      <c r="M158" s="912">
        <v>0</v>
      </c>
      <c r="N158" s="912">
        <f t="shared" ref="N158:N164" si="93">0.025*F158</f>
        <v>5443.33541666668</v>
      </c>
      <c r="O158" s="912">
        <f t="shared" si="88"/>
        <v>5443.33541666668</v>
      </c>
      <c r="P158" s="912">
        <f t="shared" si="89"/>
        <v>325163.2</v>
      </c>
      <c r="Q158" s="912">
        <f t="shared" si="90"/>
        <v>65320.0250000001</v>
      </c>
    </row>
    <row r="159" customHeight="1" spans="1:17">
      <c r="A159" s="27">
        <v>21</v>
      </c>
      <c r="B159" s="18" t="s">
        <v>338</v>
      </c>
      <c r="C159" s="12" t="s">
        <v>337</v>
      </c>
      <c r="D159" s="15" t="s">
        <v>99</v>
      </c>
      <c r="E159" s="220">
        <v>263165.333333333</v>
      </c>
      <c r="F159" s="911">
        <v>217733.416666667</v>
      </c>
      <c r="G159" s="220">
        <v>120978.25</v>
      </c>
      <c r="H159" s="220">
        <f t="shared" si="83"/>
        <v>338711.666666667</v>
      </c>
      <c r="I159" s="220">
        <f t="shared" si="84"/>
        <v>75546.333333334</v>
      </c>
      <c r="J159" s="912">
        <v>20467.92</v>
      </c>
      <c r="K159" s="912">
        <f t="shared" si="85"/>
        <v>27096.9333333334</v>
      </c>
      <c r="L159" s="912">
        <f t="shared" si="86"/>
        <v>6629.01333333336</v>
      </c>
      <c r="M159" s="912">
        <v>0</v>
      </c>
      <c r="N159" s="912"/>
      <c r="O159" s="912">
        <f t="shared" si="88"/>
        <v>0</v>
      </c>
      <c r="P159" s="912">
        <f t="shared" si="89"/>
        <v>325163.2</v>
      </c>
      <c r="Q159" s="912">
        <f t="shared" si="90"/>
        <v>0</v>
      </c>
    </row>
    <row r="160" customHeight="1" spans="1:17">
      <c r="A160" s="27">
        <v>22</v>
      </c>
      <c r="B160" s="18" t="s">
        <v>343</v>
      </c>
      <c r="C160" s="12" t="s">
        <v>344</v>
      </c>
      <c r="D160" s="15" t="s">
        <v>108</v>
      </c>
      <c r="E160" s="85">
        <v>230631.916666667</v>
      </c>
      <c r="F160" s="911">
        <v>196364.416666667</v>
      </c>
      <c r="G160" s="220">
        <v>105546.333333333</v>
      </c>
      <c r="H160" s="220">
        <f t="shared" si="83"/>
        <v>301910.75</v>
      </c>
      <c r="I160" s="220">
        <f t="shared" si="84"/>
        <v>71278.833333333</v>
      </c>
      <c r="J160" s="912">
        <v>17956.78</v>
      </c>
      <c r="K160" s="912">
        <f t="shared" si="85"/>
        <v>24152.86</v>
      </c>
      <c r="L160" s="912">
        <f t="shared" si="86"/>
        <v>6196.08</v>
      </c>
      <c r="M160" s="912">
        <v>0</v>
      </c>
      <c r="N160" s="912"/>
      <c r="O160" s="912">
        <f t="shared" si="88"/>
        <v>0</v>
      </c>
      <c r="P160" s="912">
        <f t="shared" si="89"/>
        <v>289834.32</v>
      </c>
      <c r="Q160" s="912">
        <f t="shared" si="90"/>
        <v>0</v>
      </c>
    </row>
    <row r="161" customHeight="1" spans="1:17">
      <c r="A161" s="27">
        <v>23</v>
      </c>
      <c r="B161" s="18" t="s">
        <v>345</v>
      </c>
      <c r="C161" s="12" t="s">
        <v>346</v>
      </c>
      <c r="D161" s="15" t="s">
        <v>108</v>
      </c>
      <c r="E161" s="85">
        <v>230631.916666667</v>
      </c>
      <c r="F161" s="911">
        <v>196364.416666667</v>
      </c>
      <c r="G161" s="220">
        <v>105546.333333333</v>
      </c>
      <c r="H161" s="220">
        <f t="shared" si="83"/>
        <v>301910.75</v>
      </c>
      <c r="I161" s="220">
        <f t="shared" si="84"/>
        <v>71278.833333333</v>
      </c>
      <c r="J161" s="912">
        <v>17956.78</v>
      </c>
      <c r="K161" s="912">
        <f t="shared" si="85"/>
        <v>24152.86</v>
      </c>
      <c r="L161" s="912">
        <f t="shared" si="86"/>
        <v>6196.08</v>
      </c>
      <c r="M161" s="912">
        <v>0</v>
      </c>
      <c r="N161" s="912">
        <f t="shared" si="93"/>
        <v>4909.11041666668</v>
      </c>
      <c r="O161" s="912">
        <f t="shared" si="88"/>
        <v>4909.11041666668</v>
      </c>
      <c r="P161" s="912">
        <f t="shared" si="89"/>
        <v>289834.32</v>
      </c>
      <c r="Q161" s="912">
        <f t="shared" si="90"/>
        <v>58909.3250000001</v>
      </c>
    </row>
    <row r="162" customHeight="1" spans="1:17">
      <c r="A162" s="27">
        <v>24</v>
      </c>
      <c r="B162" s="18" t="s">
        <v>347</v>
      </c>
      <c r="C162" s="12" t="s">
        <v>348</v>
      </c>
      <c r="D162" s="15" t="s">
        <v>108</v>
      </c>
      <c r="E162" s="85">
        <v>230631.916666667</v>
      </c>
      <c r="F162" s="911">
        <v>196364.416666667</v>
      </c>
      <c r="G162" s="220">
        <v>105546.333333333</v>
      </c>
      <c r="H162" s="220">
        <f t="shared" si="83"/>
        <v>301910.75</v>
      </c>
      <c r="I162" s="220">
        <f t="shared" si="84"/>
        <v>71278.833333333</v>
      </c>
      <c r="J162" s="912">
        <v>17956.78</v>
      </c>
      <c r="K162" s="912">
        <f t="shared" si="85"/>
        <v>24152.86</v>
      </c>
      <c r="L162" s="912">
        <f t="shared" si="86"/>
        <v>6196.08</v>
      </c>
      <c r="M162" s="912">
        <v>0</v>
      </c>
      <c r="N162" s="912">
        <f t="shared" si="93"/>
        <v>4909.11041666668</v>
      </c>
      <c r="O162" s="912">
        <f t="shared" si="88"/>
        <v>4909.11041666668</v>
      </c>
      <c r="P162" s="912">
        <f t="shared" si="89"/>
        <v>289834.32</v>
      </c>
      <c r="Q162" s="912">
        <f t="shared" si="90"/>
        <v>58909.3250000001</v>
      </c>
    </row>
    <row r="163" customHeight="1" spans="1:17">
      <c r="A163" s="27">
        <v>25</v>
      </c>
      <c r="B163" s="18" t="s">
        <v>349</v>
      </c>
      <c r="C163" s="12" t="s">
        <v>665</v>
      </c>
      <c r="D163" s="15" t="s">
        <v>105</v>
      </c>
      <c r="E163" s="85">
        <v>236804.083333333</v>
      </c>
      <c r="F163" s="911">
        <v>200549.416666667</v>
      </c>
      <c r="G163" s="220">
        <v>108371.25</v>
      </c>
      <c r="H163" s="220">
        <f t="shared" si="83"/>
        <v>308920.666666667</v>
      </c>
      <c r="I163" s="220">
        <f t="shared" si="84"/>
        <v>72116.583333334</v>
      </c>
      <c r="J163" s="912">
        <v>18450.5533333333</v>
      </c>
      <c r="K163" s="912">
        <f t="shared" si="85"/>
        <v>24713.6533333334</v>
      </c>
      <c r="L163" s="912">
        <f t="shared" si="86"/>
        <v>6263.10000000006</v>
      </c>
      <c r="M163" s="912">
        <v>0</v>
      </c>
      <c r="N163" s="912">
        <f t="shared" si="93"/>
        <v>5013.73541666668</v>
      </c>
      <c r="O163" s="912">
        <f t="shared" si="88"/>
        <v>5013.73541666668</v>
      </c>
      <c r="P163" s="912">
        <f t="shared" si="89"/>
        <v>296563.84</v>
      </c>
      <c r="Q163" s="912">
        <f t="shared" si="90"/>
        <v>60164.8250000001</v>
      </c>
    </row>
    <row r="164" customHeight="1" spans="1:17">
      <c r="A164" s="27">
        <v>26</v>
      </c>
      <c r="B164" s="18" t="s">
        <v>350</v>
      </c>
      <c r="C164" s="12" t="s">
        <v>346</v>
      </c>
      <c r="D164" s="15" t="s">
        <v>108</v>
      </c>
      <c r="E164" s="85">
        <v>230631.916666667</v>
      </c>
      <c r="F164" s="911">
        <v>196364.416666667</v>
      </c>
      <c r="G164" s="220">
        <v>105546.333333333</v>
      </c>
      <c r="H164" s="220">
        <f t="shared" si="83"/>
        <v>301910.75</v>
      </c>
      <c r="I164" s="220">
        <f t="shared" si="84"/>
        <v>71278.833333333</v>
      </c>
      <c r="J164" s="912">
        <v>17956.78</v>
      </c>
      <c r="K164" s="912">
        <f t="shared" si="85"/>
        <v>24152.86</v>
      </c>
      <c r="L164" s="912">
        <f t="shared" si="86"/>
        <v>6196.08</v>
      </c>
      <c r="M164" s="912">
        <v>0</v>
      </c>
      <c r="N164" s="912">
        <f t="shared" si="93"/>
        <v>4909.11041666668</v>
      </c>
      <c r="O164" s="912">
        <f t="shared" si="88"/>
        <v>4909.11041666668</v>
      </c>
      <c r="P164" s="912">
        <f t="shared" si="89"/>
        <v>289834.32</v>
      </c>
      <c r="Q164" s="912">
        <f t="shared" si="90"/>
        <v>58909.3250000001</v>
      </c>
    </row>
    <row r="165" customHeight="1" spans="1:17">
      <c r="A165" s="27">
        <v>27</v>
      </c>
      <c r="B165" s="18" t="s">
        <v>351</v>
      </c>
      <c r="C165" s="12" t="s">
        <v>352</v>
      </c>
      <c r="D165" s="15" t="s">
        <v>111</v>
      </c>
      <c r="E165" s="680">
        <v>224459.75</v>
      </c>
      <c r="F165" s="911">
        <v>192179.416666667</v>
      </c>
      <c r="G165" s="220">
        <v>102721.416666667</v>
      </c>
      <c r="H165" s="220">
        <f t="shared" si="83"/>
        <v>294900.833333334</v>
      </c>
      <c r="I165" s="220">
        <f t="shared" si="84"/>
        <v>70441.083333334</v>
      </c>
      <c r="J165" s="912">
        <v>17463.0066666666</v>
      </c>
      <c r="K165" s="912">
        <f t="shared" si="85"/>
        <v>23592.0666666667</v>
      </c>
      <c r="L165" s="912">
        <f t="shared" si="86"/>
        <v>6129.06000000012</v>
      </c>
      <c r="M165" s="912"/>
      <c r="N165" s="912"/>
      <c r="O165" s="912">
        <f t="shared" si="88"/>
        <v>0</v>
      </c>
      <c r="P165" s="912">
        <f t="shared" si="89"/>
        <v>283104.800000001</v>
      </c>
      <c r="Q165" s="912">
        <f t="shared" si="90"/>
        <v>0</v>
      </c>
    </row>
    <row r="166" customHeight="1" spans="1:17">
      <c r="A166" s="27">
        <v>28</v>
      </c>
      <c r="B166" s="18" t="s">
        <v>353</v>
      </c>
      <c r="C166" s="12" t="s">
        <v>352</v>
      </c>
      <c r="D166" s="15" t="s">
        <v>111</v>
      </c>
      <c r="E166" s="680">
        <v>224459.75</v>
      </c>
      <c r="F166" s="911">
        <v>192179.416666667</v>
      </c>
      <c r="G166" s="220">
        <v>102721.416666667</v>
      </c>
      <c r="H166" s="220">
        <f t="shared" si="83"/>
        <v>294900.833333334</v>
      </c>
      <c r="I166" s="220">
        <f t="shared" si="84"/>
        <v>70441.083333334</v>
      </c>
      <c r="J166" s="912">
        <v>17463.0066666666</v>
      </c>
      <c r="K166" s="912">
        <f t="shared" si="85"/>
        <v>23592.0666666667</v>
      </c>
      <c r="L166" s="912">
        <f t="shared" si="86"/>
        <v>6129.06000000012</v>
      </c>
      <c r="M166" s="912"/>
      <c r="N166" s="912"/>
      <c r="O166" s="912">
        <f t="shared" si="88"/>
        <v>0</v>
      </c>
      <c r="P166" s="912">
        <f t="shared" si="89"/>
        <v>283104.800000001</v>
      </c>
      <c r="Q166" s="912">
        <f t="shared" si="90"/>
        <v>0</v>
      </c>
    </row>
    <row r="167" customHeight="1" spans="1:17">
      <c r="A167" s="27">
        <v>29</v>
      </c>
      <c r="B167" s="11" t="s">
        <v>359</v>
      </c>
      <c r="C167" s="12" t="s">
        <v>512</v>
      </c>
      <c r="D167" s="15" t="s">
        <v>372</v>
      </c>
      <c r="E167" s="226">
        <v>173859.5</v>
      </c>
      <c r="F167" s="922">
        <v>159288.583333333</v>
      </c>
      <c r="G167" s="220">
        <v>78428.5833333333</v>
      </c>
      <c r="H167" s="220">
        <f t="shared" si="83"/>
        <v>237717.166666666</v>
      </c>
      <c r="I167" s="220">
        <f t="shared" si="84"/>
        <v>63857.6666666663</v>
      </c>
      <c r="J167" s="912">
        <v>13487.8533333333</v>
      </c>
      <c r="K167" s="912">
        <f t="shared" si="85"/>
        <v>19017.3733333333</v>
      </c>
      <c r="L167" s="912">
        <f t="shared" si="86"/>
        <v>5529.52</v>
      </c>
      <c r="M167" s="912">
        <v>2313.575</v>
      </c>
      <c r="N167" s="912">
        <f>0.025*F167</f>
        <v>3982.21458333333</v>
      </c>
      <c r="O167" s="912">
        <f t="shared" si="88"/>
        <v>1668.63958333333</v>
      </c>
      <c r="P167" s="912">
        <f t="shared" si="89"/>
        <v>228208.48</v>
      </c>
      <c r="Q167" s="912">
        <f t="shared" si="90"/>
        <v>47786.5749999999</v>
      </c>
    </row>
    <row r="168" customHeight="1" spans="1:17">
      <c r="A168" s="27">
        <v>30</v>
      </c>
      <c r="B168" s="11" t="s">
        <v>362</v>
      </c>
      <c r="C168" s="12" t="s">
        <v>512</v>
      </c>
      <c r="D168" s="15" t="s">
        <v>372</v>
      </c>
      <c r="E168" s="226">
        <v>173859.5</v>
      </c>
      <c r="F168" s="922">
        <v>159288.583333333</v>
      </c>
      <c r="G168" s="220">
        <v>78428.5833333333</v>
      </c>
      <c r="H168" s="220">
        <f t="shared" si="83"/>
        <v>237717.166666666</v>
      </c>
      <c r="I168" s="220">
        <f t="shared" si="84"/>
        <v>63857.6666666663</v>
      </c>
      <c r="J168" s="912">
        <v>13487.8533333333</v>
      </c>
      <c r="K168" s="912">
        <f t="shared" si="85"/>
        <v>19017.3733333333</v>
      </c>
      <c r="L168" s="912">
        <f t="shared" si="86"/>
        <v>5529.52</v>
      </c>
      <c r="M168" s="912">
        <v>0</v>
      </c>
      <c r="N168" s="912"/>
      <c r="O168" s="912">
        <f t="shared" si="88"/>
        <v>0</v>
      </c>
      <c r="P168" s="912">
        <f t="shared" si="89"/>
        <v>228208.48</v>
      </c>
      <c r="Q168" s="912">
        <f t="shared" si="90"/>
        <v>0</v>
      </c>
    </row>
    <row r="169" customHeight="1" spans="1:17">
      <c r="A169" s="27">
        <v>31</v>
      </c>
      <c r="B169" s="11" t="s">
        <v>666</v>
      </c>
      <c r="C169" s="12" t="s">
        <v>512</v>
      </c>
      <c r="D169" s="15" t="s">
        <v>372</v>
      </c>
      <c r="E169" s="226">
        <v>173859.5</v>
      </c>
      <c r="F169" s="922">
        <v>159288.583333333</v>
      </c>
      <c r="G169" s="220">
        <v>78428.5833333333</v>
      </c>
      <c r="H169" s="220">
        <f t="shared" si="83"/>
        <v>237717.166666666</v>
      </c>
      <c r="I169" s="220">
        <f t="shared" si="84"/>
        <v>63857.6666666663</v>
      </c>
      <c r="J169" s="912">
        <v>13487.8533333333</v>
      </c>
      <c r="K169" s="912">
        <f t="shared" si="85"/>
        <v>19017.3733333333</v>
      </c>
      <c r="L169" s="912">
        <f t="shared" si="86"/>
        <v>5529.52</v>
      </c>
      <c r="M169" s="912">
        <v>0</v>
      </c>
      <c r="N169" s="912"/>
      <c r="O169" s="912">
        <f t="shared" si="88"/>
        <v>0</v>
      </c>
      <c r="P169" s="912">
        <f t="shared" si="89"/>
        <v>228208.48</v>
      </c>
      <c r="Q169" s="912">
        <f t="shared" si="90"/>
        <v>0</v>
      </c>
    </row>
    <row r="170" customHeight="1" spans="1:17">
      <c r="A170" s="27">
        <v>32</v>
      </c>
      <c r="B170" s="11" t="s">
        <v>363</v>
      </c>
      <c r="C170" s="12" t="s">
        <v>512</v>
      </c>
      <c r="D170" s="15" t="s">
        <v>372</v>
      </c>
      <c r="E170" s="226">
        <v>173859.5</v>
      </c>
      <c r="F170" s="922">
        <v>159288.583333333</v>
      </c>
      <c r="G170" s="220">
        <v>78428.5833333333</v>
      </c>
      <c r="H170" s="220">
        <f t="shared" si="83"/>
        <v>237717.166666666</v>
      </c>
      <c r="I170" s="220">
        <f t="shared" si="84"/>
        <v>63857.6666666663</v>
      </c>
      <c r="J170" s="912">
        <v>13487.8533333333</v>
      </c>
      <c r="K170" s="912">
        <f t="shared" si="85"/>
        <v>19017.3733333333</v>
      </c>
      <c r="L170" s="912">
        <f t="shared" si="86"/>
        <v>5529.52</v>
      </c>
      <c r="M170" s="912">
        <v>2313.575</v>
      </c>
      <c r="N170" s="912">
        <v>3982.21458333333</v>
      </c>
      <c r="O170" s="912">
        <f t="shared" si="88"/>
        <v>1668.63958333333</v>
      </c>
      <c r="P170" s="912">
        <f t="shared" si="89"/>
        <v>228208.48</v>
      </c>
      <c r="Q170" s="912">
        <f t="shared" si="90"/>
        <v>47786.575</v>
      </c>
    </row>
    <row r="171" customHeight="1" spans="1:17">
      <c r="A171" s="27">
        <v>33</v>
      </c>
      <c r="B171" s="11" t="s">
        <v>364</v>
      </c>
      <c r="C171" s="12" t="s">
        <v>512</v>
      </c>
      <c r="D171" s="15" t="s">
        <v>372</v>
      </c>
      <c r="E171" s="226">
        <v>173859.5</v>
      </c>
      <c r="F171" s="922">
        <v>159288.583333333</v>
      </c>
      <c r="G171" s="220">
        <v>78428.5833333333</v>
      </c>
      <c r="H171" s="220">
        <f t="shared" si="83"/>
        <v>237717.166666666</v>
      </c>
      <c r="I171" s="220">
        <f t="shared" si="84"/>
        <v>63857.6666666663</v>
      </c>
      <c r="J171" s="912">
        <v>13487.8533333333</v>
      </c>
      <c r="K171" s="912">
        <f t="shared" si="85"/>
        <v>19017.3733333333</v>
      </c>
      <c r="L171" s="912">
        <f t="shared" si="86"/>
        <v>5529.52</v>
      </c>
      <c r="M171" s="912"/>
      <c r="N171" s="912"/>
      <c r="O171" s="912">
        <f t="shared" si="88"/>
        <v>0</v>
      </c>
      <c r="P171" s="912">
        <f t="shared" si="89"/>
        <v>228208.48</v>
      </c>
      <c r="Q171" s="912">
        <f t="shared" si="90"/>
        <v>0</v>
      </c>
    </row>
    <row r="172" customHeight="1" spans="1:17">
      <c r="A172" s="27">
        <v>34</v>
      </c>
      <c r="B172" s="11" t="s">
        <v>365</v>
      </c>
      <c r="C172" s="12" t="s">
        <v>512</v>
      </c>
      <c r="D172" s="15" t="s">
        <v>384</v>
      </c>
      <c r="E172" s="226">
        <v>168598.166666667</v>
      </c>
      <c r="F172" s="922">
        <v>155678.666666667</v>
      </c>
      <c r="G172" s="220">
        <v>76055.1666666667</v>
      </c>
      <c r="H172" s="220">
        <f t="shared" si="83"/>
        <v>231733.833333334</v>
      </c>
      <c r="I172" s="220">
        <f t="shared" si="84"/>
        <v>63135.6666666667</v>
      </c>
      <c r="J172" s="912">
        <v>13066.9466666667</v>
      </c>
      <c r="K172" s="912">
        <f t="shared" si="85"/>
        <v>18538.7066666667</v>
      </c>
      <c r="L172" s="912">
        <f t="shared" si="86"/>
        <v>5471.76</v>
      </c>
      <c r="M172" s="912"/>
      <c r="N172" s="912"/>
      <c r="O172" s="912">
        <f t="shared" si="88"/>
        <v>0</v>
      </c>
      <c r="P172" s="912">
        <f t="shared" si="89"/>
        <v>222464.48</v>
      </c>
      <c r="Q172" s="912">
        <f t="shared" si="90"/>
        <v>0</v>
      </c>
    </row>
    <row r="173" customHeight="1" spans="1:17">
      <c r="A173" s="27">
        <v>35</v>
      </c>
      <c r="B173" s="11" t="s">
        <v>367</v>
      </c>
      <c r="C173" s="12" t="s">
        <v>512</v>
      </c>
      <c r="D173" s="15" t="s">
        <v>384</v>
      </c>
      <c r="E173" s="226">
        <v>168598.166666667</v>
      </c>
      <c r="F173" s="922">
        <v>155678.666666667</v>
      </c>
      <c r="G173" s="220">
        <v>76055.1666666667</v>
      </c>
      <c r="H173" s="220">
        <f t="shared" si="83"/>
        <v>231733.833333334</v>
      </c>
      <c r="I173" s="220">
        <f t="shared" si="84"/>
        <v>63135.6666666667</v>
      </c>
      <c r="J173" s="912">
        <v>13066.9466666667</v>
      </c>
      <c r="K173" s="912">
        <f t="shared" si="85"/>
        <v>18538.7066666667</v>
      </c>
      <c r="L173" s="912">
        <f t="shared" si="86"/>
        <v>5471.76</v>
      </c>
      <c r="M173" s="912"/>
      <c r="N173" s="912"/>
      <c r="O173" s="912">
        <f t="shared" si="88"/>
        <v>0</v>
      </c>
      <c r="P173" s="912">
        <f t="shared" si="89"/>
        <v>222464.48</v>
      </c>
      <c r="Q173" s="912">
        <f t="shared" si="90"/>
        <v>0</v>
      </c>
    </row>
    <row r="174" customHeight="1" spans="1:17">
      <c r="A174" s="27">
        <v>36</v>
      </c>
      <c r="B174" s="14" t="s">
        <v>368</v>
      </c>
      <c r="C174" s="12" t="s">
        <v>512</v>
      </c>
      <c r="D174" s="15" t="s">
        <v>384</v>
      </c>
      <c r="E174" s="226">
        <v>168598.166666667</v>
      </c>
      <c r="F174" s="922">
        <v>155678.666666667</v>
      </c>
      <c r="G174" s="220">
        <v>76055.1666666667</v>
      </c>
      <c r="H174" s="220">
        <f t="shared" si="83"/>
        <v>231733.833333334</v>
      </c>
      <c r="I174" s="220">
        <f t="shared" si="84"/>
        <v>63135.6666666667</v>
      </c>
      <c r="J174" s="912">
        <v>13066.9466666667</v>
      </c>
      <c r="K174" s="912">
        <f t="shared" si="85"/>
        <v>18538.7066666667</v>
      </c>
      <c r="L174" s="912">
        <f t="shared" si="86"/>
        <v>5471.76</v>
      </c>
      <c r="M174" s="912"/>
      <c r="N174" s="912"/>
      <c r="O174" s="912">
        <f t="shared" si="88"/>
        <v>0</v>
      </c>
      <c r="P174" s="912">
        <f t="shared" si="89"/>
        <v>222464.48</v>
      </c>
      <c r="Q174" s="912">
        <f t="shared" si="90"/>
        <v>0</v>
      </c>
    </row>
    <row r="175" customHeight="1" spans="1:17">
      <c r="A175" s="27">
        <v>37</v>
      </c>
      <c r="B175" s="11" t="s">
        <v>369</v>
      </c>
      <c r="C175" s="12" t="s">
        <v>512</v>
      </c>
      <c r="D175" s="15" t="s">
        <v>384</v>
      </c>
      <c r="E175" s="226">
        <v>168598.166666667</v>
      </c>
      <c r="F175" s="922">
        <v>155678.666666667</v>
      </c>
      <c r="G175" s="220">
        <v>76055.1666666667</v>
      </c>
      <c r="H175" s="220">
        <f t="shared" si="83"/>
        <v>231733.833333334</v>
      </c>
      <c r="I175" s="220">
        <f t="shared" si="84"/>
        <v>63135.6666666667</v>
      </c>
      <c r="J175" s="912">
        <v>13066.9466666667</v>
      </c>
      <c r="K175" s="912">
        <f t="shared" si="85"/>
        <v>18538.7066666667</v>
      </c>
      <c r="L175" s="912">
        <f t="shared" si="86"/>
        <v>5471.76</v>
      </c>
      <c r="M175" s="912"/>
      <c r="N175" s="912"/>
      <c r="O175" s="912">
        <f t="shared" si="88"/>
        <v>0</v>
      </c>
      <c r="P175" s="912">
        <f t="shared" si="89"/>
        <v>222464.48</v>
      </c>
      <c r="Q175" s="912">
        <f t="shared" si="90"/>
        <v>0</v>
      </c>
    </row>
    <row r="176" customHeight="1" spans="1:17">
      <c r="A176" s="27">
        <v>38</v>
      </c>
      <c r="B176" s="18" t="s">
        <v>370</v>
      </c>
      <c r="C176" s="12" t="s">
        <v>512</v>
      </c>
      <c r="D176" s="15" t="s">
        <v>384</v>
      </c>
      <c r="E176" s="226">
        <v>168598.166666667</v>
      </c>
      <c r="F176" s="922">
        <v>155678.666666667</v>
      </c>
      <c r="G176" s="220">
        <v>76055.1666666667</v>
      </c>
      <c r="H176" s="220">
        <f t="shared" si="83"/>
        <v>231733.833333334</v>
      </c>
      <c r="I176" s="220">
        <f t="shared" si="84"/>
        <v>63135.6666666667</v>
      </c>
      <c r="J176" s="912">
        <v>13066.9466666667</v>
      </c>
      <c r="K176" s="912">
        <f t="shared" si="85"/>
        <v>18538.7066666667</v>
      </c>
      <c r="L176" s="912">
        <f t="shared" si="86"/>
        <v>5471.76</v>
      </c>
      <c r="M176" s="912"/>
      <c r="N176" s="912"/>
      <c r="O176" s="912">
        <f t="shared" si="88"/>
        <v>0</v>
      </c>
      <c r="P176" s="912">
        <f t="shared" si="89"/>
        <v>222464.48</v>
      </c>
      <c r="Q176" s="912">
        <f t="shared" si="90"/>
        <v>0</v>
      </c>
    </row>
    <row r="177" customHeight="1" spans="1:17">
      <c r="A177" s="27">
        <v>39</v>
      </c>
      <c r="B177" s="18" t="s">
        <v>357</v>
      </c>
      <c r="C177" s="12" t="s">
        <v>512</v>
      </c>
      <c r="D177" s="15" t="s">
        <v>384</v>
      </c>
      <c r="E177" s="226">
        <v>168598.166666667</v>
      </c>
      <c r="F177" s="922">
        <v>155678.666666667</v>
      </c>
      <c r="G177" s="220">
        <v>76055.1666666667</v>
      </c>
      <c r="H177" s="220">
        <f t="shared" si="83"/>
        <v>231733.833333334</v>
      </c>
      <c r="I177" s="220">
        <f t="shared" si="84"/>
        <v>63135.6666666667</v>
      </c>
      <c r="J177" s="912">
        <v>13066.9466666667</v>
      </c>
      <c r="K177" s="912">
        <f t="shared" si="85"/>
        <v>18538.7066666667</v>
      </c>
      <c r="L177" s="912">
        <f t="shared" si="86"/>
        <v>5471.76</v>
      </c>
      <c r="M177" s="912"/>
      <c r="N177" s="912"/>
      <c r="O177" s="912">
        <f t="shared" si="88"/>
        <v>0</v>
      </c>
      <c r="P177" s="912">
        <f t="shared" si="89"/>
        <v>222464.48</v>
      </c>
      <c r="Q177" s="912">
        <f t="shared" si="90"/>
        <v>0</v>
      </c>
    </row>
    <row r="178" customHeight="1" spans="1:17">
      <c r="A178" s="27">
        <v>40</v>
      </c>
      <c r="B178" s="11" t="s">
        <v>371</v>
      </c>
      <c r="C178" s="12" t="s">
        <v>360</v>
      </c>
      <c r="D178" s="15" t="s">
        <v>606</v>
      </c>
      <c r="E178" s="85">
        <v>158075.5</v>
      </c>
      <c r="F178" s="922">
        <v>148459</v>
      </c>
      <c r="G178" s="220">
        <v>71308.3333333333</v>
      </c>
      <c r="H178" s="220">
        <f t="shared" si="83"/>
        <v>219767.333333333</v>
      </c>
      <c r="I178" s="220">
        <f t="shared" si="84"/>
        <v>61691.8333333333</v>
      </c>
      <c r="J178" s="912">
        <v>12225.1333333333</v>
      </c>
      <c r="K178" s="912">
        <f t="shared" si="85"/>
        <v>17581.3866666667</v>
      </c>
      <c r="L178" s="912">
        <f t="shared" si="86"/>
        <v>5356.25333333336</v>
      </c>
      <c r="M178" s="912"/>
      <c r="N178" s="912"/>
      <c r="O178" s="912">
        <f t="shared" si="88"/>
        <v>0</v>
      </c>
      <c r="P178" s="912">
        <f t="shared" si="89"/>
        <v>210976.64</v>
      </c>
      <c r="Q178" s="912">
        <f t="shared" si="90"/>
        <v>0</v>
      </c>
    </row>
    <row r="179" customHeight="1" spans="1:17">
      <c r="A179" s="27">
        <v>41</v>
      </c>
      <c r="B179" s="11" t="s">
        <v>373</v>
      </c>
      <c r="C179" s="12" t="s">
        <v>360</v>
      </c>
      <c r="D179" s="15" t="s">
        <v>606</v>
      </c>
      <c r="E179" s="85">
        <v>158075.5</v>
      </c>
      <c r="F179" s="922">
        <v>148459</v>
      </c>
      <c r="G179" s="220">
        <v>71308.3333333333</v>
      </c>
      <c r="H179" s="220">
        <f t="shared" si="83"/>
        <v>219767.333333333</v>
      </c>
      <c r="I179" s="220">
        <f t="shared" si="84"/>
        <v>61691.8333333333</v>
      </c>
      <c r="J179" s="912">
        <v>12225.1333333333</v>
      </c>
      <c r="K179" s="912">
        <f t="shared" si="85"/>
        <v>17581.3866666667</v>
      </c>
      <c r="L179" s="912">
        <f t="shared" si="86"/>
        <v>5356.25333333336</v>
      </c>
      <c r="M179" s="912"/>
      <c r="N179" s="912"/>
      <c r="O179" s="912">
        <f t="shared" si="88"/>
        <v>0</v>
      </c>
      <c r="P179" s="912">
        <f t="shared" si="89"/>
        <v>210976.64</v>
      </c>
      <c r="Q179" s="912">
        <f t="shared" si="90"/>
        <v>0</v>
      </c>
    </row>
    <row r="180" customHeight="1" spans="1:17">
      <c r="A180" s="27">
        <v>42</v>
      </c>
      <c r="B180" s="18" t="s">
        <v>374</v>
      </c>
      <c r="C180" s="12" t="s">
        <v>360</v>
      </c>
      <c r="D180" s="15" t="s">
        <v>377</v>
      </c>
      <c r="E180" s="85">
        <v>163336.833333333</v>
      </c>
      <c r="F180" s="922">
        <v>152068.833333333</v>
      </c>
      <c r="G180" s="220">
        <v>73681.75</v>
      </c>
      <c r="H180" s="220">
        <f t="shared" si="83"/>
        <v>225750.583333333</v>
      </c>
      <c r="I180" s="220">
        <f t="shared" si="84"/>
        <v>62413.75</v>
      </c>
      <c r="J180" s="912">
        <v>12646.04</v>
      </c>
      <c r="K180" s="912">
        <f t="shared" si="85"/>
        <v>18060.0466666666</v>
      </c>
      <c r="L180" s="912">
        <f t="shared" si="86"/>
        <v>5414.00666666664</v>
      </c>
      <c r="M180" s="912"/>
      <c r="N180" s="912"/>
      <c r="O180" s="912">
        <f t="shared" si="88"/>
        <v>0</v>
      </c>
      <c r="P180" s="912">
        <f t="shared" si="89"/>
        <v>216720.56</v>
      </c>
      <c r="Q180" s="912">
        <f t="shared" si="90"/>
        <v>0</v>
      </c>
    </row>
    <row r="181" customHeight="1" spans="1:17">
      <c r="A181" s="27">
        <v>43</v>
      </c>
      <c r="B181" s="11" t="s">
        <v>376</v>
      </c>
      <c r="C181" s="12" t="s">
        <v>387</v>
      </c>
      <c r="D181" s="15" t="s">
        <v>607</v>
      </c>
      <c r="E181" s="85">
        <v>152814.166666667</v>
      </c>
      <c r="F181" s="922">
        <v>144849.083333333</v>
      </c>
      <c r="G181" s="220">
        <v>68934.9166666667</v>
      </c>
      <c r="H181" s="220">
        <f t="shared" si="83"/>
        <v>213784</v>
      </c>
      <c r="I181" s="220">
        <f t="shared" si="84"/>
        <v>60969.8333333327</v>
      </c>
      <c r="J181" s="912">
        <v>12225.1333333333</v>
      </c>
      <c r="K181" s="912">
        <f t="shared" si="85"/>
        <v>17102.72</v>
      </c>
      <c r="L181" s="912">
        <f t="shared" si="86"/>
        <v>4877.58666666668</v>
      </c>
      <c r="M181" s="912"/>
      <c r="N181" s="912"/>
      <c r="O181" s="912">
        <f t="shared" si="88"/>
        <v>0</v>
      </c>
      <c r="P181" s="912">
        <f t="shared" si="89"/>
        <v>205232.64</v>
      </c>
      <c r="Q181" s="912">
        <f t="shared" si="90"/>
        <v>0</v>
      </c>
    </row>
    <row r="182" customHeight="1" spans="1:17">
      <c r="A182" s="27">
        <v>44</v>
      </c>
      <c r="B182" s="11" t="s">
        <v>378</v>
      </c>
      <c r="C182" s="12" t="s">
        <v>514</v>
      </c>
      <c r="D182" s="15" t="s">
        <v>667</v>
      </c>
      <c r="E182" s="85">
        <v>94145.75</v>
      </c>
      <c r="F182" s="922">
        <v>101053.25</v>
      </c>
      <c r="G182" s="220">
        <v>45303.5</v>
      </c>
      <c r="H182" s="220">
        <f t="shared" si="83"/>
        <v>146356.75</v>
      </c>
      <c r="I182" s="220">
        <f t="shared" si="84"/>
        <v>52211</v>
      </c>
      <c r="J182" s="912">
        <v>7327.84</v>
      </c>
      <c r="K182" s="912">
        <f t="shared" si="85"/>
        <v>11708.54</v>
      </c>
      <c r="L182" s="912">
        <f t="shared" si="86"/>
        <v>4380.7</v>
      </c>
      <c r="M182" s="912"/>
      <c r="N182" s="912"/>
      <c r="O182" s="912">
        <f t="shared" si="88"/>
        <v>0</v>
      </c>
      <c r="P182" s="912">
        <f t="shared" si="89"/>
        <v>140502.48</v>
      </c>
      <c r="Q182" s="912">
        <f t="shared" si="90"/>
        <v>0</v>
      </c>
    </row>
    <row r="183" customHeight="1" spans="1:17">
      <c r="A183" s="27">
        <v>45</v>
      </c>
      <c r="B183" s="11" t="s">
        <v>379</v>
      </c>
      <c r="C183" s="12" t="s">
        <v>514</v>
      </c>
      <c r="D183" s="15" t="s">
        <v>667</v>
      </c>
      <c r="E183" s="85">
        <v>94145.75</v>
      </c>
      <c r="F183" s="922">
        <v>101053.25</v>
      </c>
      <c r="G183" s="220">
        <v>45303.5</v>
      </c>
      <c r="H183" s="220">
        <f t="shared" si="83"/>
        <v>146356.75</v>
      </c>
      <c r="I183" s="220">
        <f t="shared" si="84"/>
        <v>52211</v>
      </c>
      <c r="J183" s="912">
        <v>7327.84</v>
      </c>
      <c r="K183" s="912">
        <f t="shared" si="85"/>
        <v>11708.54</v>
      </c>
      <c r="L183" s="912">
        <f t="shared" si="86"/>
        <v>4380.7</v>
      </c>
      <c r="M183" s="912"/>
      <c r="N183" s="912"/>
      <c r="O183" s="912">
        <f t="shared" si="88"/>
        <v>0</v>
      </c>
      <c r="P183" s="912">
        <f t="shared" si="89"/>
        <v>140502.48</v>
      </c>
      <c r="Q183" s="912">
        <f t="shared" si="90"/>
        <v>0</v>
      </c>
    </row>
    <row r="184" customHeight="1" spans="1:17">
      <c r="A184" s="27">
        <v>46</v>
      </c>
      <c r="B184" s="11" t="s">
        <v>380</v>
      </c>
      <c r="C184" s="12" t="s">
        <v>514</v>
      </c>
      <c r="D184" s="15" t="s">
        <v>667</v>
      </c>
      <c r="E184" s="85">
        <v>94145.75</v>
      </c>
      <c r="F184" s="922">
        <v>101053.25</v>
      </c>
      <c r="G184" s="220">
        <v>45303.5</v>
      </c>
      <c r="H184" s="220">
        <f t="shared" si="83"/>
        <v>146356.75</v>
      </c>
      <c r="I184" s="220">
        <f t="shared" si="84"/>
        <v>52211</v>
      </c>
      <c r="J184" s="912">
        <v>7327.84</v>
      </c>
      <c r="K184" s="912">
        <f t="shared" si="85"/>
        <v>11708.54</v>
      </c>
      <c r="L184" s="912">
        <f t="shared" si="86"/>
        <v>4380.7</v>
      </c>
      <c r="M184" s="912"/>
      <c r="N184" s="912"/>
      <c r="O184" s="912">
        <f t="shared" si="88"/>
        <v>0</v>
      </c>
      <c r="P184" s="912">
        <f t="shared" si="89"/>
        <v>140502.48</v>
      </c>
      <c r="Q184" s="912">
        <f t="shared" si="90"/>
        <v>0</v>
      </c>
    </row>
    <row r="185" customHeight="1" spans="1:17">
      <c r="A185" s="27">
        <v>47</v>
      </c>
      <c r="B185" s="11" t="s">
        <v>381</v>
      </c>
      <c r="C185" s="12" t="s">
        <v>514</v>
      </c>
      <c r="D185" s="15" t="s">
        <v>667</v>
      </c>
      <c r="E185" s="85">
        <v>94145.75</v>
      </c>
      <c r="F185" s="922">
        <v>101053.25</v>
      </c>
      <c r="G185" s="220">
        <v>45303.5</v>
      </c>
      <c r="H185" s="220">
        <f t="shared" si="83"/>
        <v>146356.75</v>
      </c>
      <c r="I185" s="220">
        <f t="shared" si="84"/>
        <v>52211</v>
      </c>
      <c r="J185" s="912">
        <v>7327.84</v>
      </c>
      <c r="K185" s="912">
        <f t="shared" si="85"/>
        <v>11708.54</v>
      </c>
      <c r="L185" s="912">
        <f t="shared" si="86"/>
        <v>4380.7</v>
      </c>
      <c r="M185" s="912"/>
      <c r="N185" s="912"/>
      <c r="O185" s="912">
        <f t="shared" si="88"/>
        <v>0</v>
      </c>
      <c r="P185" s="912">
        <f t="shared" si="89"/>
        <v>140502.48</v>
      </c>
      <c r="Q185" s="912">
        <f t="shared" si="90"/>
        <v>0</v>
      </c>
    </row>
    <row r="186" customHeight="1" spans="1:17">
      <c r="A186" s="27">
        <v>48</v>
      </c>
      <c r="B186" s="11" t="s">
        <v>382</v>
      </c>
      <c r="C186" s="12" t="s">
        <v>514</v>
      </c>
      <c r="D186" s="15" t="s">
        <v>667</v>
      </c>
      <c r="E186" s="85">
        <v>94145.75</v>
      </c>
      <c r="F186" s="922">
        <v>101053.25</v>
      </c>
      <c r="G186" s="220">
        <v>45303.5</v>
      </c>
      <c r="H186" s="220">
        <f t="shared" si="83"/>
        <v>146356.75</v>
      </c>
      <c r="I186" s="220">
        <f t="shared" si="84"/>
        <v>52211</v>
      </c>
      <c r="J186" s="912">
        <v>7327.84</v>
      </c>
      <c r="K186" s="912">
        <f t="shared" si="85"/>
        <v>11708.54</v>
      </c>
      <c r="L186" s="912">
        <f t="shared" si="86"/>
        <v>4380.7</v>
      </c>
      <c r="M186" s="912"/>
      <c r="N186" s="912"/>
      <c r="O186" s="912">
        <f t="shared" si="88"/>
        <v>0</v>
      </c>
      <c r="P186" s="912">
        <f t="shared" si="89"/>
        <v>140502.48</v>
      </c>
      <c r="Q186" s="912">
        <f t="shared" si="90"/>
        <v>0</v>
      </c>
    </row>
    <row r="187" customHeight="1" spans="1:17">
      <c r="A187" s="27">
        <v>49</v>
      </c>
      <c r="B187" s="18" t="s">
        <v>383</v>
      </c>
      <c r="C187" s="12" t="s">
        <v>514</v>
      </c>
      <c r="D187" s="15" t="s">
        <v>667</v>
      </c>
      <c r="E187" s="85">
        <v>94145.75</v>
      </c>
      <c r="F187" s="922">
        <v>101053.25</v>
      </c>
      <c r="G187" s="220">
        <v>45303.5</v>
      </c>
      <c r="H187" s="220">
        <f t="shared" si="83"/>
        <v>146356.75</v>
      </c>
      <c r="I187" s="220">
        <f t="shared" si="84"/>
        <v>52211</v>
      </c>
      <c r="J187" s="912">
        <v>7327.84</v>
      </c>
      <c r="K187" s="912">
        <f t="shared" si="85"/>
        <v>11708.54</v>
      </c>
      <c r="L187" s="912">
        <f t="shared" si="86"/>
        <v>4380.7</v>
      </c>
      <c r="M187" s="912"/>
      <c r="N187" s="912"/>
      <c r="O187" s="912">
        <f t="shared" si="88"/>
        <v>0</v>
      </c>
      <c r="P187" s="912">
        <f t="shared" si="89"/>
        <v>140502.48</v>
      </c>
      <c r="Q187" s="912">
        <f t="shared" si="90"/>
        <v>0</v>
      </c>
    </row>
    <row r="188" customHeight="1" spans="1:17">
      <c r="A188" s="27">
        <v>50</v>
      </c>
      <c r="B188" s="18" t="s">
        <v>385</v>
      </c>
      <c r="C188" s="12" t="s">
        <v>514</v>
      </c>
      <c r="D188" s="15" t="s">
        <v>667</v>
      </c>
      <c r="E188" s="85">
        <v>94145.75</v>
      </c>
      <c r="F188" s="922">
        <v>101053.25</v>
      </c>
      <c r="G188" s="220">
        <v>45303.5</v>
      </c>
      <c r="H188" s="220">
        <f t="shared" si="83"/>
        <v>146356.75</v>
      </c>
      <c r="I188" s="220">
        <f t="shared" si="84"/>
        <v>52211</v>
      </c>
      <c r="J188" s="912">
        <v>7327.84</v>
      </c>
      <c r="K188" s="912">
        <f t="shared" si="85"/>
        <v>11708.54</v>
      </c>
      <c r="L188" s="912">
        <f t="shared" si="86"/>
        <v>4380.7</v>
      </c>
      <c r="M188" s="912"/>
      <c r="N188" s="912"/>
      <c r="O188" s="912">
        <f t="shared" si="88"/>
        <v>0</v>
      </c>
      <c r="P188" s="912">
        <f t="shared" si="89"/>
        <v>140502.48</v>
      </c>
      <c r="Q188" s="912">
        <f t="shared" si="90"/>
        <v>0</v>
      </c>
    </row>
    <row r="189" customHeight="1" spans="1:17">
      <c r="A189" s="27">
        <v>51</v>
      </c>
      <c r="B189" s="11" t="s">
        <v>668</v>
      </c>
      <c r="C189" s="12" t="s">
        <v>387</v>
      </c>
      <c r="D189" s="15" t="s">
        <v>667</v>
      </c>
      <c r="E189" s="85">
        <v>94145.75</v>
      </c>
      <c r="F189" s="922">
        <v>101053.25</v>
      </c>
      <c r="G189" s="220">
        <v>45303.5</v>
      </c>
      <c r="H189" s="220">
        <f t="shared" si="83"/>
        <v>146356.75</v>
      </c>
      <c r="I189" s="220">
        <f t="shared" si="84"/>
        <v>52211</v>
      </c>
      <c r="J189" s="912"/>
      <c r="K189" s="912">
        <f t="shared" si="85"/>
        <v>11708.54</v>
      </c>
      <c r="L189" s="912">
        <f t="shared" si="86"/>
        <v>11708.54</v>
      </c>
      <c r="M189" s="912"/>
      <c r="N189" s="912"/>
      <c r="O189" s="912">
        <f t="shared" si="88"/>
        <v>0</v>
      </c>
      <c r="P189" s="912">
        <f t="shared" si="89"/>
        <v>140502.48</v>
      </c>
      <c r="Q189" s="912">
        <f t="shared" si="90"/>
        <v>0</v>
      </c>
    </row>
    <row r="190" customHeight="1" spans="1:17">
      <c r="A190" s="27">
        <v>52</v>
      </c>
      <c r="B190" s="11" t="s">
        <v>386</v>
      </c>
      <c r="C190" s="12" t="s">
        <v>387</v>
      </c>
      <c r="D190" s="15" t="s">
        <v>667</v>
      </c>
      <c r="E190" s="85">
        <v>94145.75</v>
      </c>
      <c r="F190" s="922">
        <v>101053.25</v>
      </c>
      <c r="G190" s="220">
        <v>45303.5</v>
      </c>
      <c r="H190" s="220">
        <f t="shared" si="83"/>
        <v>146356.75</v>
      </c>
      <c r="I190" s="220">
        <f t="shared" si="84"/>
        <v>52211</v>
      </c>
      <c r="J190" s="912">
        <v>7327.84</v>
      </c>
      <c r="K190" s="912">
        <f t="shared" si="85"/>
        <v>11708.54</v>
      </c>
      <c r="L190" s="912">
        <f t="shared" si="86"/>
        <v>4380.7</v>
      </c>
      <c r="M190" s="912"/>
      <c r="N190" s="912"/>
      <c r="O190" s="912">
        <f t="shared" si="88"/>
        <v>0</v>
      </c>
      <c r="P190" s="912">
        <f t="shared" si="89"/>
        <v>140502.48</v>
      </c>
      <c r="Q190" s="912">
        <f t="shared" si="90"/>
        <v>0</v>
      </c>
    </row>
    <row r="191" customHeight="1" spans="1:17">
      <c r="A191" s="27">
        <v>53</v>
      </c>
      <c r="B191" s="18" t="s">
        <v>358</v>
      </c>
      <c r="C191" s="12" t="s">
        <v>390</v>
      </c>
      <c r="D191" s="15" t="s">
        <v>669</v>
      </c>
      <c r="E191" s="85">
        <v>91598</v>
      </c>
      <c r="F191" s="922">
        <v>99486.9166666667</v>
      </c>
      <c r="G191" s="220">
        <v>44008.75</v>
      </c>
      <c r="H191" s="220">
        <f t="shared" si="83"/>
        <v>143495.666666667</v>
      </c>
      <c r="I191" s="220">
        <f t="shared" si="84"/>
        <v>51897.6666666667</v>
      </c>
      <c r="J191" s="912">
        <v>7124.02</v>
      </c>
      <c r="K191" s="912">
        <f t="shared" si="85"/>
        <v>11479.6533333333</v>
      </c>
      <c r="L191" s="912">
        <f t="shared" si="86"/>
        <v>4355.63333333334</v>
      </c>
      <c r="M191" s="912"/>
      <c r="N191" s="912"/>
      <c r="O191" s="912">
        <f t="shared" si="88"/>
        <v>0</v>
      </c>
      <c r="P191" s="912">
        <f t="shared" si="89"/>
        <v>137755.84</v>
      </c>
      <c r="Q191" s="912">
        <f t="shared" si="90"/>
        <v>0</v>
      </c>
    </row>
    <row r="192" customHeight="1" spans="1:17">
      <c r="A192" s="27">
        <v>54</v>
      </c>
      <c r="B192" s="18" t="s">
        <v>389</v>
      </c>
      <c r="C192" s="12" t="s">
        <v>390</v>
      </c>
      <c r="D192" s="15" t="s">
        <v>393</v>
      </c>
      <c r="E192" s="85">
        <v>86502.5</v>
      </c>
      <c r="F192" s="922">
        <v>96354.25</v>
      </c>
      <c r="G192" s="220">
        <v>41419.25</v>
      </c>
      <c r="H192" s="220">
        <f t="shared" si="83"/>
        <v>137773.5</v>
      </c>
      <c r="I192" s="220">
        <f t="shared" si="84"/>
        <v>51271</v>
      </c>
      <c r="J192" s="912"/>
      <c r="K192" s="912">
        <f t="shared" si="85"/>
        <v>11021.88</v>
      </c>
      <c r="L192" s="912">
        <f t="shared" si="86"/>
        <v>11021.88</v>
      </c>
      <c r="M192" s="912"/>
      <c r="N192" s="912"/>
      <c r="O192" s="912">
        <f t="shared" si="88"/>
        <v>0</v>
      </c>
      <c r="P192" s="912">
        <f t="shared" si="89"/>
        <v>132262.56</v>
      </c>
      <c r="Q192" s="912">
        <f t="shared" si="90"/>
        <v>0</v>
      </c>
    </row>
    <row r="193" customHeight="1" spans="1:17">
      <c r="A193" s="27">
        <v>55</v>
      </c>
      <c r="B193" s="18" t="s">
        <v>392</v>
      </c>
      <c r="C193" s="12" t="s">
        <v>390</v>
      </c>
      <c r="D193" s="15" t="s">
        <v>395</v>
      </c>
      <c r="E193" s="85">
        <v>83933</v>
      </c>
      <c r="F193" s="922">
        <v>94788.1666666667</v>
      </c>
      <c r="G193" s="220">
        <v>40124.5</v>
      </c>
      <c r="H193" s="220">
        <f t="shared" si="83"/>
        <v>134912.666666667</v>
      </c>
      <c r="I193" s="220">
        <f t="shared" si="84"/>
        <v>50979.6666666667</v>
      </c>
      <c r="J193" s="912">
        <v>6920.2</v>
      </c>
      <c r="K193" s="912">
        <f t="shared" si="85"/>
        <v>10793.0133333333</v>
      </c>
      <c r="L193" s="912">
        <f t="shared" si="86"/>
        <v>3872.81333333333</v>
      </c>
      <c r="M193" s="912"/>
      <c r="N193" s="912"/>
      <c r="O193" s="912">
        <f t="shared" si="88"/>
        <v>0</v>
      </c>
      <c r="P193" s="912">
        <f t="shared" si="89"/>
        <v>129516.16</v>
      </c>
      <c r="Q193" s="912">
        <f t="shared" si="90"/>
        <v>0</v>
      </c>
    </row>
    <row r="194" customHeight="1" spans="1:17">
      <c r="A194" s="27">
        <v>56</v>
      </c>
      <c r="B194" s="18" t="s">
        <v>396</v>
      </c>
      <c r="C194" s="12" t="s">
        <v>397</v>
      </c>
      <c r="D194" s="15" t="s">
        <v>609</v>
      </c>
      <c r="E194" s="85">
        <v>78733.8333333333</v>
      </c>
      <c r="F194" s="911">
        <v>91578.25</v>
      </c>
      <c r="G194" s="4">
        <v>37471.1666666667</v>
      </c>
      <c r="H194" s="220">
        <f t="shared" si="83"/>
        <v>129049.416666667</v>
      </c>
      <c r="I194" s="220">
        <f t="shared" si="84"/>
        <v>50315.5833333334</v>
      </c>
      <c r="J194" s="912">
        <v>6123.26</v>
      </c>
      <c r="K194" s="912">
        <f t="shared" si="85"/>
        <v>10323.9533333333</v>
      </c>
      <c r="L194" s="912">
        <f t="shared" si="86"/>
        <v>4200.69333333334</v>
      </c>
      <c r="M194" s="912"/>
      <c r="N194" s="912"/>
      <c r="O194" s="912">
        <f t="shared" si="88"/>
        <v>0</v>
      </c>
      <c r="P194" s="912">
        <f t="shared" si="89"/>
        <v>123887.44</v>
      </c>
      <c r="Q194" s="912">
        <f t="shared" si="90"/>
        <v>0</v>
      </c>
    </row>
    <row r="195" customHeight="1" spans="1:17">
      <c r="A195" s="27">
        <v>57</v>
      </c>
      <c r="B195" s="18" t="s">
        <v>399</v>
      </c>
      <c r="C195" s="12" t="s">
        <v>397</v>
      </c>
      <c r="D195" s="15" t="s">
        <v>609</v>
      </c>
      <c r="E195" s="85">
        <v>78733.8333333333</v>
      </c>
      <c r="F195" s="911">
        <v>91578.25</v>
      </c>
      <c r="G195" s="4">
        <v>37471.1666666667</v>
      </c>
      <c r="H195" s="220">
        <f t="shared" si="83"/>
        <v>129049.416666667</v>
      </c>
      <c r="I195" s="220">
        <f t="shared" si="84"/>
        <v>50315.5833333334</v>
      </c>
      <c r="J195" s="912">
        <v>6123.26</v>
      </c>
      <c r="K195" s="912">
        <f t="shared" si="85"/>
        <v>10323.9533333333</v>
      </c>
      <c r="L195" s="912">
        <f t="shared" si="86"/>
        <v>4200.69333333334</v>
      </c>
      <c r="M195" s="912"/>
      <c r="N195" s="912"/>
      <c r="O195" s="912">
        <f t="shared" si="88"/>
        <v>0</v>
      </c>
      <c r="P195" s="912">
        <f t="shared" si="89"/>
        <v>123887.44</v>
      </c>
      <c r="Q195" s="912">
        <f t="shared" si="90"/>
        <v>0</v>
      </c>
    </row>
    <row r="196" customHeight="1" spans="1:17">
      <c r="A196" s="27">
        <v>58</v>
      </c>
      <c r="B196" s="18" t="s">
        <v>400</v>
      </c>
      <c r="C196" s="12" t="s">
        <v>397</v>
      </c>
      <c r="D196" s="15" t="s">
        <v>609</v>
      </c>
      <c r="E196" s="85">
        <v>78733.8333333333</v>
      </c>
      <c r="F196" s="911">
        <v>91578.25</v>
      </c>
      <c r="G196" s="4">
        <v>37471.1666666667</v>
      </c>
      <c r="H196" s="220">
        <f t="shared" si="83"/>
        <v>129049.416666667</v>
      </c>
      <c r="I196" s="220">
        <f t="shared" si="84"/>
        <v>50315.5833333334</v>
      </c>
      <c r="J196" s="912">
        <v>6123.26</v>
      </c>
      <c r="K196" s="912">
        <f t="shared" si="85"/>
        <v>10323.9533333333</v>
      </c>
      <c r="L196" s="912">
        <f t="shared" si="86"/>
        <v>4200.69333333334</v>
      </c>
      <c r="M196" s="912"/>
      <c r="N196" s="912"/>
      <c r="O196" s="912">
        <f t="shared" si="88"/>
        <v>0</v>
      </c>
      <c r="P196" s="912">
        <f t="shared" si="89"/>
        <v>123887.44</v>
      </c>
      <c r="Q196" s="912">
        <f t="shared" si="90"/>
        <v>0</v>
      </c>
    </row>
    <row r="197" customHeight="1" spans="1:17">
      <c r="A197" s="27">
        <v>59</v>
      </c>
      <c r="B197" s="18" t="s">
        <v>401</v>
      </c>
      <c r="C197" s="12" t="s">
        <v>402</v>
      </c>
      <c r="D197" s="15" t="s">
        <v>391</v>
      </c>
      <c r="E197" s="85">
        <v>89050.25</v>
      </c>
      <c r="F197" s="911">
        <v>97920.6666666667</v>
      </c>
      <c r="G197" s="220">
        <v>42714</v>
      </c>
      <c r="H197" s="220">
        <f t="shared" si="83"/>
        <v>140634.666666667</v>
      </c>
      <c r="I197" s="220">
        <f t="shared" si="84"/>
        <v>51584.4166666667</v>
      </c>
      <c r="J197" s="912">
        <v>6920.2</v>
      </c>
      <c r="K197" s="912">
        <f t="shared" si="85"/>
        <v>11250.7733333333</v>
      </c>
      <c r="L197" s="912">
        <f t="shared" si="86"/>
        <v>4330.57333333333</v>
      </c>
      <c r="M197" s="912"/>
      <c r="N197" s="912"/>
      <c r="O197" s="912">
        <f t="shared" si="88"/>
        <v>0</v>
      </c>
      <c r="P197" s="912">
        <f t="shared" si="89"/>
        <v>135009.28</v>
      </c>
      <c r="Q197" s="912">
        <f t="shared" si="90"/>
        <v>0</v>
      </c>
    </row>
    <row r="198" customHeight="1" spans="1:17">
      <c r="A198" s="27">
        <v>60</v>
      </c>
      <c r="B198" s="18" t="s">
        <v>404</v>
      </c>
      <c r="C198" s="12" t="s">
        <v>402</v>
      </c>
      <c r="D198" s="15" t="s">
        <v>391</v>
      </c>
      <c r="E198" s="85">
        <v>89050.25</v>
      </c>
      <c r="F198" s="911">
        <v>97920.6666666667</v>
      </c>
      <c r="G198" s="220">
        <v>42714</v>
      </c>
      <c r="H198" s="220">
        <f t="shared" si="83"/>
        <v>140634.666666667</v>
      </c>
      <c r="I198" s="220">
        <f t="shared" si="84"/>
        <v>51584.4166666667</v>
      </c>
      <c r="J198" s="912">
        <v>6920.2</v>
      </c>
      <c r="K198" s="912">
        <f t="shared" si="85"/>
        <v>11250.7733333333</v>
      </c>
      <c r="L198" s="912">
        <f t="shared" si="86"/>
        <v>4330.57333333333</v>
      </c>
      <c r="M198" s="912"/>
      <c r="N198" s="912"/>
      <c r="O198" s="912">
        <f t="shared" si="88"/>
        <v>0</v>
      </c>
      <c r="P198" s="912">
        <f t="shared" si="89"/>
        <v>135009.28</v>
      </c>
      <c r="Q198" s="912">
        <f t="shared" si="90"/>
        <v>0</v>
      </c>
    </row>
    <row r="199" ht="30.75" customHeight="1" spans="1:17">
      <c r="A199" s="27"/>
      <c r="B199" s="8" t="s">
        <v>120</v>
      </c>
      <c r="C199" s="28" t="s">
        <v>670</v>
      </c>
      <c r="D199" s="29"/>
      <c r="E199" s="93">
        <f t="shared" ref="E199:Q199" si="94">SUM(E139:E198)</f>
        <v>14787756.9166667</v>
      </c>
      <c r="F199" s="915">
        <f t="shared" si="94"/>
        <v>12440135.5</v>
      </c>
      <c r="G199" s="93">
        <f t="shared" si="94"/>
        <v>6814126.75</v>
      </c>
      <c r="H199" s="93">
        <f t="shared" si="94"/>
        <v>19254262.25</v>
      </c>
      <c r="I199" s="93">
        <f t="shared" si="94"/>
        <v>4466505.33333333</v>
      </c>
      <c r="J199" s="93">
        <f t="shared" si="94"/>
        <v>1154618.35666667</v>
      </c>
      <c r="K199" s="93">
        <f t="shared" si="94"/>
        <v>1540340.98</v>
      </c>
      <c r="L199" s="93">
        <f t="shared" si="94"/>
        <v>385722.623333334</v>
      </c>
      <c r="M199" s="93">
        <f t="shared" si="94"/>
        <v>72300.4916666667</v>
      </c>
      <c r="N199" s="93">
        <f t="shared" si="94"/>
        <v>150315.125</v>
      </c>
      <c r="O199" s="93">
        <f t="shared" si="94"/>
        <v>78014.6333333333</v>
      </c>
      <c r="P199" s="93">
        <f t="shared" si="94"/>
        <v>18484091.76</v>
      </c>
      <c r="Q199" s="93">
        <f t="shared" si="94"/>
        <v>1803781.5</v>
      </c>
    </row>
    <row r="200" ht="30" customHeight="1" spans="1:17">
      <c r="A200" s="4"/>
      <c r="B200" s="30" t="s">
        <v>671</v>
      </c>
      <c r="C200" s="31">
        <f>C39+C46+C57+C62+C72+C81+C94+C102+C112+C123+C136+C199</f>
        <v>153</v>
      </c>
      <c r="D200" s="32"/>
      <c r="E200" s="227">
        <f t="shared" ref="E200:Q200" si="95">E199+E136+E123+E118+E112+E102+E94+E81+E72+E62+E57+E46+E39</f>
        <v>62694852.3336667</v>
      </c>
      <c r="F200" s="923">
        <f t="shared" si="95"/>
        <v>49056822</v>
      </c>
      <c r="G200" s="227">
        <f t="shared" si="95"/>
        <v>29017396.5</v>
      </c>
      <c r="H200" s="227">
        <f t="shared" si="95"/>
        <v>78074218.5</v>
      </c>
      <c r="I200" s="924">
        <f t="shared" si="95"/>
        <v>15379366.1663333</v>
      </c>
      <c r="J200" s="227">
        <f t="shared" si="95"/>
        <v>4754163.56</v>
      </c>
      <c r="K200" s="227">
        <f t="shared" si="95"/>
        <v>6015821.97333333</v>
      </c>
      <c r="L200" s="924">
        <f t="shared" si="95"/>
        <v>1261658.41333333</v>
      </c>
      <c r="M200" s="227">
        <f t="shared" si="95"/>
        <v>267480.25625</v>
      </c>
      <c r="N200" s="227">
        <f t="shared" si="95"/>
        <v>513039.26875</v>
      </c>
      <c r="O200" s="924">
        <f t="shared" si="95"/>
        <v>245559.0125</v>
      </c>
      <c r="P200" s="227">
        <f t="shared" si="95"/>
        <v>72189863.68</v>
      </c>
      <c r="Q200" s="227">
        <f t="shared" si="95"/>
        <v>5757905.45</v>
      </c>
    </row>
    <row r="201" s="1" customFormat="1" ht="35.25" customHeight="1" spans="1:17">
      <c r="A201" s="4"/>
      <c r="B201" s="30" t="s">
        <v>672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673</v>
      </c>
      <c r="C202" s="31">
        <f>SUM(C200:C201)</f>
        <v>175</v>
      </c>
      <c r="D202" s="32"/>
      <c r="E202" s="227">
        <f t="shared" ref="E202:Q202" si="96">E200+E201</f>
        <v>69258581.5836667</v>
      </c>
      <c r="F202" s="227">
        <f t="shared" si="96"/>
        <v>54402916.8333333</v>
      </c>
      <c r="G202" s="227">
        <f t="shared" si="96"/>
        <v>32040283.9166667</v>
      </c>
      <c r="H202" s="227">
        <f t="shared" si="96"/>
        <v>86443200.75</v>
      </c>
      <c r="I202" s="227">
        <f t="shared" si="96"/>
        <v>17184619.1663333</v>
      </c>
      <c r="J202" s="227">
        <f t="shared" si="96"/>
        <v>5279261.9</v>
      </c>
      <c r="K202" s="227">
        <f t="shared" si="96"/>
        <v>6685340.55333333</v>
      </c>
      <c r="L202" s="227">
        <f t="shared" si="96"/>
        <v>1406078.65333333</v>
      </c>
      <c r="M202" s="227">
        <f t="shared" si="96"/>
        <v>267480.25625</v>
      </c>
      <c r="N202" s="227">
        <f t="shared" si="96"/>
        <v>513039.26875</v>
      </c>
      <c r="O202" s="227">
        <f t="shared" si="96"/>
        <v>245559.0125</v>
      </c>
      <c r="P202" s="227">
        <f t="shared" si="96"/>
        <v>72189863.68</v>
      </c>
      <c r="Q202" s="227">
        <f t="shared" si="96"/>
        <v>5757905.45</v>
      </c>
    </row>
    <row r="203" customHeight="1" spans="1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1:17">
      <c r="F204" s="1"/>
    </row>
    <row r="205" customHeight="1" spans="1:17">
      <c r="F205" s="1"/>
      <c r="N205" s="13"/>
    </row>
    <row r="206" customHeight="1" spans="1:17">
      <c r="F206" s="1"/>
    </row>
    <row r="207" customHeight="1" spans="1:17">
      <c r="F207" s="1"/>
    </row>
    <row r="208" customHeight="1" spans="1:17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45"/>
  <sheetViews>
    <sheetView workbookViewId="0">
      <selection activeCell="H11" sqref="H11"/>
    </sheetView>
  </sheetViews>
  <sheetFormatPr defaultColWidth="8.72727272727273" defaultRowHeight="12.5" outlineLevelCol="3"/>
  <cols>
    <col min="1" max="1" width="6.54545454545455" customWidth="1"/>
    <col min="2" max="2" width="40.8181818181818" customWidth="1"/>
    <col min="3" max="3" width="13.1818181818182" customWidth="1"/>
    <col min="4" max="4" width="17.9090909090909" customWidth="1"/>
  </cols>
  <sheetData>
    <row r="2" ht="19" customHeight="1" spans="1:4">
      <c r="A2" s="9" t="s">
        <v>22</v>
      </c>
      <c r="B2" s="8" t="s">
        <v>23</v>
      </c>
      <c r="C2" s="8"/>
      <c r="D2" s="82"/>
    </row>
    <row r="3" ht="25" customHeight="1" spans="1:4">
      <c r="A3" s="10">
        <v>1</v>
      </c>
      <c r="B3" s="651" t="s">
        <v>24</v>
      </c>
      <c r="C3" s="12" t="s">
        <v>26</v>
      </c>
      <c r="D3" s="747">
        <v>1971137.08333333</v>
      </c>
    </row>
    <row r="4" ht="25" customHeight="1" spans="1:4">
      <c r="A4" s="10">
        <v>2</v>
      </c>
      <c r="B4" s="651" t="s">
        <v>27</v>
      </c>
      <c r="C4" s="10" t="s">
        <v>29</v>
      </c>
      <c r="D4" s="747">
        <v>905306.75</v>
      </c>
    </row>
    <row r="5" ht="25" customHeight="1" spans="1:4">
      <c r="A5" s="10">
        <v>3</v>
      </c>
      <c r="B5" s="643" t="s">
        <v>30</v>
      </c>
      <c r="C5" s="10" t="s">
        <v>29</v>
      </c>
      <c r="D5" s="747">
        <v>905306.75</v>
      </c>
    </row>
    <row r="6" ht="25" customHeight="1" spans="1:4">
      <c r="A6" s="10">
        <v>4</v>
      </c>
      <c r="B6" s="651" t="s">
        <v>32</v>
      </c>
      <c r="C6" s="10" t="s">
        <v>29</v>
      </c>
      <c r="D6" s="747">
        <v>905306.75</v>
      </c>
    </row>
    <row r="7" ht="25" customHeight="1" spans="1:4">
      <c r="A7" s="10">
        <v>5</v>
      </c>
      <c r="B7" s="651" t="s">
        <v>34</v>
      </c>
      <c r="C7" s="15" t="s">
        <v>36</v>
      </c>
      <c r="D7" s="747">
        <v>905306.75</v>
      </c>
    </row>
    <row r="8" ht="25" customHeight="1" spans="1:4">
      <c r="A8" s="10">
        <v>6</v>
      </c>
      <c r="B8" s="651" t="s">
        <v>37</v>
      </c>
      <c r="C8" s="10" t="s">
        <v>39</v>
      </c>
      <c r="D8" s="747">
        <v>744477</v>
      </c>
    </row>
    <row r="9" ht="25" customHeight="1" spans="1:4">
      <c r="A9" s="10">
        <v>7</v>
      </c>
      <c r="B9" s="651" t="s">
        <v>40</v>
      </c>
      <c r="C9" s="15" t="s">
        <v>42</v>
      </c>
      <c r="D9" s="747">
        <v>700713.916666666</v>
      </c>
    </row>
    <row r="10" ht="25" customHeight="1" spans="1:4">
      <c r="A10" s="10">
        <v>8</v>
      </c>
      <c r="B10" s="643" t="s">
        <v>43</v>
      </c>
      <c r="C10" s="15" t="s">
        <v>39</v>
      </c>
      <c r="D10" s="747">
        <v>744477</v>
      </c>
    </row>
    <row r="11" ht="25" customHeight="1" spans="1:4">
      <c r="A11" s="10">
        <v>9</v>
      </c>
      <c r="B11" s="651" t="s">
        <v>45</v>
      </c>
      <c r="C11" s="10" t="s">
        <v>47</v>
      </c>
      <c r="D11" s="747">
        <v>573911.083333334</v>
      </c>
    </row>
    <row r="12" ht="25" customHeight="1" spans="1:4">
      <c r="A12" s="10">
        <v>10</v>
      </c>
      <c r="B12" s="651" t="s">
        <v>48</v>
      </c>
      <c r="C12" s="10" t="s">
        <v>50</v>
      </c>
      <c r="D12" s="747">
        <v>722595.5</v>
      </c>
    </row>
    <row r="13" ht="25" customHeight="1" spans="1:4">
      <c r="A13" s="10">
        <v>11</v>
      </c>
      <c r="B13" s="651" t="s">
        <v>51</v>
      </c>
      <c r="C13" s="10" t="s">
        <v>53</v>
      </c>
      <c r="D13" s="747">
        <v>542419.5</v>
      </c>
    </row>
    <row r="14" ht="25" customHeight="1" spans="1:4">
      <c r="A14" s="10">
        <v>12</v>
      </c>
      <c r="B14" s="351" t="s">
        <v>54</v>
      </c>
      <c r="C14" s="15" t="s">
        <v>56</v>
      </c>
      <c r="D14" s="747">
        <v>541351.333333333</v>
      </c>
    </row>
    <row r="15" ht="25" customHeight="1" spans="1:4">
      <c r="A15" s="10">
        <v>13</v>
      </c>
      <c r="B15" s="351" t="s">
        <v>57</v>
      </c>
      <c r="C15" s="15" t="s">
        <v>59</v>
      </c>
      <c r="D15" s="1015">
        <v>512098.916666667</v>
      </c>
    </row>
    <row r="16" ht="25" customHeight="1" spans="1:4">
      <c r="A16" s="10">
        <v>14</v>
      </c>
      <c r="B16" s="351" t="s">
        <v>60</v>
      </c>
      <c r="C16" s="15" t="s">
        <v>59</v>
      </c>
      <c r="D16" s="1015">
        <v>512098.916666667</v>
      </c>
    </row>
    <row r="17" ht="25" customHeight="1" spans="1:4">
      <c r="A17" s="10">
        <v>15</v>
      </c>
      <c r="B17" s="651" t="s">
        <v>62</v>
      </c>
      <c r="C17" s="15" t="s">
        <v>64</v>
      </c>
      <c r="D17" s="747">
        <v>497472.75</v>
      </c>
    </row>
    <row r="18" ht="25" customHeight="1" spans="1:4">
      <c r="A18" s="10">
        <v>16</v>
      </c>
      <c r="B18" s="651" t="s">
        <v>65</v>
      </c>
      <c r="C18" s="15" t="s">
        <v>67</v>
      </c>
      <c r="D18" s="747">
        <v>482846.583333333</v>
      </c>
    </row>
    <row r="19" ht="25" customHeight="1" spans="1:4">
      <c r="A19" s="10">
        <v>17</v>
      </c>
      <c r="B19" s="643" t="s">
        <v>68</v>
      </c>
      <c r="C19" s="10" t="s">
        <v>70</v>
      </c>
      <c r="D19" s="747">
        <v>468828.166666667</v>
      </c>
    </row>
    <row r="20" ht="25" customHeight="1" spans="1:4">
      <c r="A20" s="10">
        <v>18</v>
      </c>
      <c r="B20" s="651" t="s">
        <v>71</v>
      </c>
      <c r="C20" s="15" t="s">
        <v>70</v>
      </c>
      <c r="D20" s="747">
        <v>468828.166666667</v>
      </c>
    </row>
    <row r="21" ht="25" customHeight="1" spans="1:4">
      <c r="A21" s="10">
        <v>19</v>
      </c>
      <c r="B21" s="643" t="s">
        <v>73</v>
      </c>
      <c r="C21" s="10" t="s">
        <v>75</v>
      </c>
      <c r="D21" s="747">
        <v>381140.666666666</v>
      </c>
    </row>
    <row r="22" ht="25" customHeight="1" spans="1:4">
      <c r="A22" s="10">
        <v>20</v>
      </c>
      <c r="B22" s="643" t="s">
        <v>76</v>
      </c>
      <c r="C22" s="10" t="s">
        <v>78</v>
      </c>
      <c r="D22" s="747">
        <v>390135.833333334</v>
      </c>
    </row>
    <row r="23" ht="25" customHeight="1" spans="1:4">
      <c r="A23" s="10">
        <v>21</v>
      </c>
      <c r="B23" s="351" t="s">
        <v>79</v>
      </c>
      <c r="C23" s="15" t="s">
        <v>81</v>
      </c>
      <c r="D23" s="747">
        <v>372145.333333333</v>
      </c>
    </row>
    <row r="24" ht="25" customHeight="1" spans="1:4">
      <c r="A24" s="10">
        <v>22</v>
      </c>
      <c r="B24" s="651" t="s">
        <v>82</v>
      </c>
      <c r="C24" s="15" t="s">
        <v>75</v>
      </c>
      <c r="D24" s="747">
        <v>381140.666666666</v>
      </c>
    </row>
    <row r="25" ht="25" customHeight="1" spans="1:4">
      <c r="A25" s="10">
        <v>23</v>
      </c>
      <c r="B25" s="351" t="s">
        <v>84</v>
      </c>
      <c r="C25" s="15" t="s">
        <v>156</v>
      </c>
      <c r="D25" s="747">
        <v>355320.666666667</v>
      </c>
    </row>
    <row r="26" ht="25" customHeight="1" spans="1:4">
      <c r="A26" s="10">
        <v>24</v>
      </c>
      <c r="B26" s="351" t="s">
        <v>87</v>
      </c>
      <c r="C26" s="10" t="s">
        <v>86</v>
      </c>
      <c r="D26" s="747">
        <v>347016.166666666</v>
      </c>
    </row>
    <row r="27" ht="25" customHeight="1" spans="1:4">
      <c r="A27" s="10">
        <v>25</v>
      </c>
      <c r="B27" s="351" t="s">
        <v>89</v>
      </c>
      <c r="C27" s="15" t="s">
        <v>81</v>
      </c>
      <c r="D27" s="747">
        <v>372145.333333333</v>
      </c>
    </row>
    <row r="28" ht="25" customHeight="1" spans="1:4">
      <c r="A28" s="10">
        <v>26</v>
      </c>
      <c r="B28" s="351" t="s">
        <v>91</v>
      </c>
      <c r="C28" s="15" t="s">
        <v>81</v>
      </c>
      <c r="D28" s="747">
        <v>372145.333333333</v>
      </c>
    </row>
    <row r="29" ht="25" customHeight="1" spans="1:4">
      <c r="A29" s="10">
        <v>27</v>
      </c>
      <c r="B29" s="351" t="s">
        <v>93</v>
      </c>
      <c r="C29" s="10" t="s">
        <v>86</v>
      </c>
      <c r="D29" s="747">
        <v>347016.166666666</v>
      </c>
    </row>
    <row r="30" ht="25" customHeight="1" spans="1:4">
      <c r="A30" s="10">
        <v>28</v>
      </c>
      <c r="B30" s="351" t="s">
        <v>95</v>
      </c>
      <c r="C30" s="15" t="s">
        <v>81</v>
      </c>
      <c r="D30" s="747">
        <v>372145.333333333</v>
      </c>
    </row>
    <row r="31" ht="25" customHeight="1" spans="1:4">
      <c r="A31" s="10">
        <v>29</v>
      </c>
      <c r="B31" s="351" t="s">
        <v>97</v>
      </c>
      <c r="C31" s="10" t="s">
        <v>99</v>
      </c>
      <c r="D31" s="747">
        <v>338711.666666667</v>
      </c>
    </row>
    <row r="32" ht="25" customHeight="1" spans="1:4">
      <c r="A32" s="10">
        <v>30</v>
      </c>
      <c r="B32" s="351" t="s">
        <v>100</v>
      </c>
      <c r="C32" s="10" t="s">
        <v>99</v>
      </c>
      <c r="D32" s="747">
        <v>338711.666666667</v>
      </c>
    </row>
    <row r="33" ht="25" customHeight="1" spans="1:4">
      <c r="A33" s="10">
        <v>31</v>
      </c>
      <c r="B33" s="351" t="s">
        <v>101</v>
      </c>
      <c r="C33" s="10" t="s">
        <v>99</v>
      </c>
      <c r="D33" s="747">
        <v>338711.666666667</v>
      </c>
    </row>
    <row r="34" ht="25" customHeight="1" spans="1:4">
      <c r="A34" s="10">
        <v>32</v>
      </c>
      <c r="B34" s="351" t="s">
        <v>102</v>
      </c>
      <c r="C34" s="10" t="s">
        <v>99</v>
      </c>
      <c r="D34" s="747">
        <v>338711.666666667</v>
      </c>
    </row>
    <row r="35" ht="25" customHeight="1" spans="1:4">
      <c r="A35" s="10">
        <v>33</v>
      </c>
      <c r="B35" s="351" t="s">
        <v>103</v>
      </c>
      <c r="C35" s="15" t="s">
        <v>105</v>
      </c>
      <c r="D35" s="747">
        <v>308920.666666667</v>
      </c>
    </row>
    <row r="36" ht="25" customHeight="1" spans="1:4">
      <c r="A36" s="10">
        <v>34</v>
      </c>
      <c r="B36" s="351" t="s">
        <v>106</v>
      </c>
      <c r="C36" s="15" t="s">
        <v>108</v>
      </c>
      <c r="D36" s="1015">
        <v>301910.75</v>
      </c>
    </row>
    <row r="37" ht="25" customHeight="1" spans="1:4">
      <c r="A37" s="10">
        <v>35</v>
      </c>
      <c r="B37" s="351" t="s">
        <v>109</v>
      </c>
      <c r="C37" s="15" t="s">
        <v>111</v>
      </c>
      <c r="D37" s="747">
        <v>294900.833333334</v>
      </c>
    </row>
    <row r="38" ht="25" customHeight="1" spans="1:4">
      <c r="A38" s="10">
        <v>36</v>
      </c>
      <c r="B38" s="351" t="s">
        <v>112</v>
      </c>
      <c r="C38" s="15" t="s">
        <v>111</v>
      </c>
      <c r="D38" s="747">
        <v>294900.833333334</v>
      </c>
    </row>
    <row r="39" ht="25" customHeight="1" spans="1:4">
      <c r="A39" s="10">
        <v>37</v>
      </c>
      <c r="B39" s="351" t="s">
        <v>114</v>
      </c>
      <c r="C39" s="15" t="s">
        <v>111</v>
      </c>
      <c r="D39" s="747">
        <v>294900.833333334</v>
      </c>
    </row>
    <row r="40" ht="25" customHeight="1" spans="1:4">
      <c r="A40" s="10">
        <v>38</v>
      </c>
      <c r="B40" s="351" t="s">
        <v>115</v>
      </c>
      <c r="C40" s="15" t="s">
        <v>111</v>
      </c>
      <c r="D40" s="747">
        <v>294900.833333334</v>
      </c>
    </row>
    <row r="41" ht="25" customHeight="1" spans="1:4">
      <c r="A41" s="10">
        <v>39</v>
      </c>
      <c r="B41" s="351" t="s">
        <v>117</v>
      </c>
      <c r="C41" s="15" t="s">
        <v>111</v>
      </c>
      <c r="D41" s="747">
        <v>294900.833333334</v>
      </c>
    </row>
    <row r="42" ht="25" customHeight="1" spans="1:4">
      <c r="A42" s="10">
        <v>40</v>
      </c>
      <c r="B42" s="351" t="s">
        <v>118</v>
      </c>
      <c r="C42" s="15" t="s">
        <v>111</v>
      </c>
      <c r="D42" s="747">
        <v>294900.833333334</v>
      </c>
    </row>
    <row r="43" ht="25" customHeight="1" spans="1:4">
      <c r="A43" s="10"/>
      <c r="B43" s="866" t="s">
        <v>120</v>
      </c>
      <c r="C43" s="15"/>
      <c r="D43" s="868">
        <f>SUM(D3:D42)</f>
        <v>20529917.5</v>
      </c>
    </row>
    <row r="44" ht="25" customHeight="1" spans="1:4">
      <c r="A44" s="10"/>
      <c r="B44" s="869"/>
      <c r="C44" s="15"/>
      <c r="D44" s="868"/>
    </row>
    <row r="45" ht="25" customHeight="1" spans="1:4">
      <c r="A45" s="10"/>
      <c r="B45" s="866" t="s">
        <v>121</v>
      </c>
      <c r="C45" s="15"/>
      <c r="D45" s="747"/>
    </row>
    <row r="46" ht="25" customHeight="1" spans="1:4">
      <c r="A46" s="10">
        <v>1</v>
      </c>
      <c r="B46" s="351" t="s">
        <v>122</v>
      </c>
      <c r="C46" s="10" t="s">
        <v>124</v>
      </c>
      <c r="D46" s="747">
        <v>1747106.41666666</v>
      </c>
    </row>
    <row r="47" ht="25" customHeight="1" spans="1:4">
      <c r="A47" s="10">
        <v>2</v>
      </c>
      <c r="B47" s="651" t="s">
        <v>125</v>
      </c>
      <c r="C47" s="15" t="s">
        <v>50</v>
      </c>
      <c r="D47" s="747">
        <v>722595.5</v>
      </c>
    </row>
    <row r="48" ht="25" customHeight="1" spans="1:4">
      <c r="A48" s="10">
        <v>3</v>
      </c>
      <c r="B48" s="351" t="s">
        <v>127</v>
      </c>
      <c r="C48" s="10" t="s">
        <v>78</v>
      </c>
      <c r="D48" s="747">
        <v>390135.833333334</v>
      </c>
    </row>
    <row r="49" ht="25" customHeight="1" spans="1:4">
      <c r="A49" s="10">
        <v>4</v>
      </c>
      <c r="B49" s="651" t="s">
        <v>129</v>
      </c>
      <c r="C49" s="15" t="s">
        <v>131</v>
      </c>
      <c r="D49" s="748">
        <v>454993.583333333</v>
      </c>
    </row>
    <row r="50" ht="25" customHeight="1" spans="1:4">
      <c r="A50" s="10">
        <v>5</v>
      </c>
      <c r="B50" s="351" t="s">
        <v>132</v>
      </c>
      <c r="C50" s="15" t="s">
        <v>99</v>
      </c>
      <c r="D50" s="747">
        <v>338711.666666667</v>
      </c>
    </row>
    <row r="51" ht="25" customHeight="1" spans="1:4">
      <c r="A51" s="10">
        <v>6</v>
      </c>
      <c r="B51" s="651" t="s">
        <v>133</v>
      </c>
      <c r="C51" s="15" t="s">
        <v>86</v>
      </c>
      <c r="D51" s="1015">
        <v>347016.166666666</v>
      </c>
    </row>
    <row r="52" ht="25" customHeight="1" spans="1:4">
      <c r="A52" s="10">
        <v>7</v>
      </c>
      <c r="B52" s="351" t="s">
        <v>135</v>
      </c>
      <c r="C52" s="15" t="s">
        <v>111</v>
      </c>
      <c r="D52" s="747">
        <v>294900.833333334</v>
      </c>
    </row>
    <row r="53" ht="25" customHeight="1" spans="1:4">
      <c r="A53" s="10"/>
      <c r="B53" s="643"/>
      <c r="C53" s="10"/>
      <c r="D53" s="868">
        <f>SUM(D46:D52)</f>
        <v>4295459.99999999</v>
      </c>
    </row>
    <row r="54" ht="25" customHeight="1" spans="1:4">
      <c r="A54" s="10"/>
      <c r="B54" s="643"/>
      <c r="C54" s="10"/>
      <c r="D54" s="868"/>
    </row>
    <row r="55" ht="25" customHeight="1" spans="1:4">
      <c r="A55" s="10"/>
      <c r="B55" s="871" t="s">
        <v>137</v>
      </c>
      <c r="C55" s="24"/>
      <c r="D55" s="868"/>
    </row>
    <row r="56" ht="25" customHeight="1" spans="1:4">
      <c r="A56" s="10">
        <v>1</v>
      </c>
      <c r="B56" s="651" t="s">
        <v>138</v>
      </c>
      <c r="C56" s="10" t="s">
        <v>140</v>
      </c>
      <c r="D56" s="747">
        <v>1697359.33333333</v>
      </c>
    </row>
    <row r="57" ht="25" customHeight="1" spans="1:4">
      <c r="A57" s="10">
        <v>2</v>
      </c>
      <c r="B57" s="651" t="s">
        <v>141</v>
      </c>
      <c r="C57" s="10" t="s">
        <v>39</v>
      </c>
      <c r="D57" s="747">
        <v>744477</v>
      </c>
    </row>
    <row r="58" ht="25" customHeight="1" spans="1:4">
      <c r="A58" s="10">
        <v>3</v>
      </c>
      <c r="B58" s="651" t="s">
        <v>144</v>
      </c>
      <c r="C58" s="10" t="s">
        <v>39</v>
      </c>
      <c r="D58" s="747">
        <v>744477</v>
      </c>
    </row>
    <row r="59" ht="25" customHeight="1" spans="1:4">
      <c r="A59" s="10">
        <v>4</v>
      </c>
      <c r="B59" s="651" t="s">
        <v>146</v>
      </c>
      <c r="C59" s="10" t="s">
        <v>39</v>
      </c>
      <c r="D59" s="747">
        <v>744477</v>
      </c>
    </row>
    <row r="60" ht="25" customHeight="1" spans="1:4">
      <c r="A60" s="10">
        <v>5</v>
      </c>
      <c r="B60" s="643" t="s">
        <v>147</v>
      </c>
      <c r="C60" s="10" t="s">
        <v>50</v>
      </c>
      <c r="D60" s="747">
        <v>722595.5</v>
      </c>
    </row>
    <row r="61" ht="25" customHeight="1" spans="1:4">
      <c r="A61" s="10">
        <v>6</v>
      </c>
      <c r="B61" s="643" t="s">
        <v>148</v>
      </c>
      <c r="C61" s="10" t="s">
        <v>50</v>
      </c>
      <c r="D61" s="747">
        <v>722595.5</v>
      </c>
    </row>
    <row r="62" ht="25" customHeight="1" spans="1:4">
      <c r="A62" s="10">
        <v>7</v>
      </c>
      <c r="B62" s="351" t="s">
        <v>149</v>
      </c>
      <c r="C62" s="15" t="s">
        <v>131</v>
      </c>
      <c r="D62" s="748">
        <v>454993.583333333</v>
      </c>
    </row>
    <row r="63" ht="25" customHeight="1" spans="1:4">
      <c r="A63" s="10">
        <v>8</v>
      </c>
      <c r="B63" s="651" t="s">
        <v>151</v>
      </c>
      <c r="C63" s="10" t="s">
        <v>153</v>
      </c>
      <c r="D63" s="747">
        <v>399131.166666667</v>
      </c>
    </row>
    <row r="64" ht="25" customHeight="1" spans="1:4">
      <c r="A64" s="10">
        <v>9</v>
      </c>
      <c r="B64" s="651" t="s">
        <v>154</v>
      </c>
      <c r="C64" s="10" t="s">
        <v>75</v>
      </c>
      <c r="D64" s="747">
        <v>381140.666666666</v>
      </c>
    </row>
    <row r="65" ht="25" customHeight="1" spans="1:4">
      <c r="A65" s="10">
        <v>10</v>
      </c>
      <c r="B65" s="651" t="s">
        <v>155</v>
      </c>
      <c r="C65" s="10" t="s">
        <v>156</v>
      </c>
      <c r="D65" s="747">
        <v>355320.666666667</v>
      </c>
    </row>
    <row r="66" ht="25" customHeight="1" spans="1:4">
      <c r="A66" s="10">
        <v>11</v>
      </c>
      <c r="B66" s="651" t="s">
        <v>157</v>
      </c>
      <c r="C66" s="10" t="s">
        <v>156</v>
      </c>
      <c r="D66" s="747">
        <v>355320.666666667</v>
      </c>
    </row>
    <row r="67" ht="25" customHeight="1" spans="1:4">
      <c r="A67" s="10">
        <v>12</v>
      </c>
      <c r="B67" s="351" t="s">
        <v>158</v>
      </c>
      <c r="C67" s="10" t="s">
        <v>99</v>
      </c>
      <c r="D67" s="747">
        <v>338711.666666667</v>
      </c>
    </row>
    <row r="68" ht="25" customHeight="1" spans="1:4">
      <c r="A68" s="10"/>
      <c r="B68" s="866" t="s">
        <v>120</v>
      </c>
      <c r="C68" s="21"/>
      <c r="D68" s="875">
        <f>SUM(D56:D67)</f>
        <v>7660599.75</v>
      </c>
    </row>
    <row r="69" ht="25" customHeight="1" spans="1:4">
      <c r="A69" s="10"/>
      <c r="B69" s="869"/>
      <c r="C69" s="21"/>
      <c r="D69" s="1016"/>
    </row>
    <row r="70" ht="25" customHeight="1" spans="1:4">
      <c r="A70" s="10"/>
      <c r="B70" s="866" t="s">
        <v>159</v>
      </c>
      <c r="C70" s="21"/>
      <c r="D70" s="1016"/>
    </row>
    <row r="71" ht="25" customHeight="1" spans="1:4">
      <c r="A71" s="10">
        <v>1</v>
      </c>
      <c r="B71" s="651" t="s">
        <v>160</v>
      </c>
      <c r="C71" s="15" t="s">
        <v>124</v>
      </c>
      <c r="D71" s="747">
        <v>1747106.41666666</v>
      </c>
    </row>
    <row r="72" ht="25" customHeight="1" spans="1:4">
      <c r="A72" s="10">
        <v>2</v>
      </c>
      <c r="B72" s="651" t="s">
        <v>162</v>
      </c>
      <c r="C72" s="15" t="s">
        <v>486</v>
      </c>
      <c r="D72" s="747">
        <v>744477</v>
      </c>
    </row>
    <row r="73" ht="25" customHeight="1" spans="1:4">
      <c r="A73" s="10"/>
      <c r="B73" s="866" t="s">
        <v>120</v>
      </c>
      <c r="C73" s="21"/>
      <c r="D73" s="875">
        <f>SUM(D71:D72)</f>
        <v>2491583.41666666</v>
      </c>
    </row>
    <row r="74" ht="25" customHeight="1" spans="1:4">
      <c r="A74" s="10"/>
      <c r="B74" s="866"/>
      <c r="C74" s="21"/>
      <c r="D74" s="1016"/>
    </row>
    <row r="75" ht="25" customHeight="1" spans="1:4">
      <c r="A75" s="10"/>
      <c r="B75" s="866" t="s">
        <v>164</v>
      </c>
      <c r="C75" s="21"/>
      <c r="D75" s="1016"/>
    </row>
    <row r="76" ht="25" customHeight="1" spans="1:4">
      <c r="A76" s="10">
        <v>1</v>
      </c>
      <c r="B76" s="643" t="s">
        <v>165</v>
      </c>
      <c r="C76" s="10" t="s">
        <v>36</v>
      </c>
      <c r="D76" s="747">
        <v>905306.75</v>
      </c>
    </row>
    <row r="77" ht="25" customHeight="1" spans="1:4">
      <c r="A77" s="10">
        <v>2</v>
      </c>
      <c r="B77" s="651" t="s">
        <v>167</v>
      </c>
      <c r="C77" s="10" t="s">
        <v>47</v>
      </c>
      <c r="D77" s="747">
        <v>573911.083333334</v>
      </c>
    </row>
    <row r="78" ht="25" customHeight="1" spans="1:4">
      <c r="A78" s="10">
        <v>3</v>
      </c>
      <c r="B78" s="351" t="s">
        <v>168</v>
      </c>
      <c r="C78" s="15" t="s">
        <v>64</v>
      </c>
      <c r="D78" s="747">
        <v>497472.75</v>
      </c>
    </row>
    <row r="79" ht="25" customHeight="1" spans="1:4">
      <c r="A79" s="10">
        <v>4</v>
      </c>
      <c r="B79" s="351" t="s">
        <v>170</v>
      </c>
      <c r="C79" s="15" t="s">
        <v>64</v>
      </c>
      <c r="D79" s="747">
        <v>497472.75</v>
      </c>
    </row>
    <row r="80" ht="25" customHeight="1" spans="1:4">
      <c r="A80" s="10">
        <v>5</v>
      </c>
      <c r="B80" s="651" t="s">
        <v>171</v>
      </c>
      <c r="C80" s="10" t="s">
        <v>173</v>
      </c>
      <c r="D80" s="747">
        <v>482662.666666667</v>
      </c>
    </row>
    <row r="81" ht="25" customHeight="1" spans="1:4">
      <c r="A81" s="10">
        <v>6</v>
      </c>
      <c r="B81" s="651" t="s">
        <v>172</v>
      </c>
      <c r="C81" s="10" t="s">
        <v>173</v>
      </c>
      <c r="D81" s="747">
        <v>482662.666666667</v>
      </c>
    </row>
    <row r="82" ht="25" customHeight="1" spans="1:4">
      <c r="A82" s="10">
        <v>7</v>
      </c>
      <c r="B82" s="651" t="s">
        <v>174</v>
      </c>
      <c r="C82" s="10" t="s">
        <v>173</v>
      </c>
      <c r="D82" s="747">
        <v>482662.666666667</v>
      </c>
    </row>
    <row r="83" ht="25" customHeight="1" spans="1:4">
      <c r="A83" s="10">
        <v>8</v>
      </c>
      <c r="B83" s="651" t="s">
        <v>175</v>
      </c>
      <c r="C83" s="15" t="s">
        <v>67</v>
      </c>
      <c r="D83" s="747">
        <v>482846.583333333</v>
      </c>
    </row>
    <row r="84" ht="25" customHeight="1" spans="1:4">
      <c r="A84" s="10">
        <v>9</v>
      </c>
      <c r="B84" s="643" t="s">
        <v>177</v>
      </c>
      <c r="C84" s="10" t="s">
        <v>131</v>
      </c>
      <c r="D84" s="747">
        <v>454993.583333333</v>
      </c>
    </row>
    <row r="85" ht="25" customHeight="1" spans="1:4">
      <c r="A85" s="10">
        <v>10</v>
      </c>
      <c r="B85" s="651" t="s">
        <v>179</v>
      </c>
      <c r="C85" s="10" t="s">
        <v>153</v>
      </c>
      <c r="D85" s="748">
        <v>399131.166666667</v>
      </c>
    </row>
    <row r="86" ht="25" customHeight="1" spans="1:4">
      <c r="A86" s="10">
        <v>11</v>
      </c>
      <c r="B86" s="351" t="s">
        <v>181</v>
      </c>
      <c r="C86" s="10" t="s">
        <v>99</v>
      </c>
      <c r="D86" s="747">
        <v>338711.666666667</v>
      </c>
    </row>
    <row r="87" ht="25" customHeight="1" spans="1:4">
      <c r="A87" s="10"/>
      <c r="B87" s="866" t="s">
        <v>120</v>
      </c>
      <c r="C87" s="21"/>
      <c r="D87" s="875">
        <f>SUM(D76:D86)</f>
        <v>5597834.33333333</v>
      </c>
    </row>
    <row r="88" ht="25" customHeight="1" spans="1:4">
      <c r="A88" s="10"/>
      <c r="B88" s="869"/>
      <c r="C88" s="21"/>
      <c r="D88" s="1016"/>
    </row>
    <row r="89" ht="25" customHeight="1" spans="1:4">
      <c r="A89" s="10"/>
      <c r="B89" s="866" t="s">
        <v>183</v>
      </c>
      <c r="C89" s="21"/>
      <c r="D89" s="1016"/>
    </row>
    <row r="90" ht="25" customHeight="1" spans="1:4">
      <c r="A90" s="10">
        <v>1</v>
      </c>
      <c r="B90" s="651" t="s">
        <v>184</v>
      </c>
      <c r="C90" s="10" t="s">
        <v>124</v>
      </c>
      <c r="D90" s="747">
        <v>1747106.41666666</v>
      </c>
    </row>
    <row r="91" ht="25" customHeight="1" spans="1:4">
      <c r="A91" s="10">
        <v>2</v>
      </c>
      <c r="B91" s="651" t="s">
        <v>186</v>
      </c>
      <c r="C91" s="10" t="s">
        <v>50</v>
      </c>
      <c r="D91" s="747">
        <v>722595.5</v>
      </c>
    </row>
    <row r="92" ht="25" customHeight="1" spans="1:4">
      <c r="A92" s="10">
        <v>3</v>
      </c>
      <c r="B92" s="651" t="s">
        <v>188</v>
      </c>
      <c r="C92" s="10" t="s">
        <v>50</v>
      </c>
      <c r="D92" s="747">
        <v>722595.5</v>
      </c>
    </row>
    <row r="93" ht="25" customHeight="1" spans="1:4">
      <c r="A93" s="10">
        <v>4</v>
      </c>
      <c r="B93" s="651" t="s">
        <v>190</v>
      </c>
      <c r="C93" s="15" t="s">
        <v>192</v>
      </c>
      <c r="D93" s="747">
        <v>589657</v>
      </c>
    </row>
    <row r="94" ht="25" customHeight="1" spans="1:4">
      <c r="A94" s="10">
        <v>5</v>
      </c>
      <c r="B94" s="651" t="s">
        <v>193</v>
      </c>
      <c r="C94" s="15" t="s">
        <v>64</v>
      </c>
      <c r="D94" s="747">
        <v>497472.75</v>
      </c>
    </row>
    <row r="95" ht="25" customHeight="1" spans="1:4">
      <c r="A95" s="10">
        <v>6</v>
      </c>
      <c r="B95" s="651" t="s">
        <v>195</v>
      </c>
      <c r="C95" s="15" t="s">
        <v>64</v>
      </c>
      <c r="D95" s="747">
        <v>497472.75</v>
      </c>
    </row>
    <row r="96" ht="25" customHeight="1" spans="1:4">
      <c r="A96" s="10">
        <v>7</v>
      </c>
      <c r="B96" s="651" t="s">
        <v>197</v>
      </c>
      <c r="C96" s="10" t="s">
        <v>70</v>
      </c>
      <c r="D96" s="747">
        <v>468828.166666667</v>
      </c>
    </row>
    <row r="97" ht="25" customHeight="1" spans="1:4">
      <c r="A97" s="10">
        <v>8</v>
      </c>
      <c r="B97" s="651" t="s">
        <v>199</v>
      </c>
      <c r="C97" s="10" t="s">
        <v>75</v>
      </c>
      <c r="D97" s="747">
        <v>381140.666666666</v>
      </c>
    </row>
    <row r="98" ht="25" customHeight="1" spans="1:4">
      <c r="A98" s="10">
        <v>9</v>
      </c>
      <c r="B98" s="651" t="s">
        <v>201</v>
      </c>
      <c r="C98" s="10" t="s">
        <v>86</v>
      </c>
      <c r="D98" s="747">
        <v>347016.166666666</v>
      </c>
    </row>
    <row r="99" ht="25" customHeight="1" spans="1:4">
      <c r="A99" s="10">
        <v>10</v>
      </c>
      <c r="B99" s="351" t="s">
        <v>202</v>
      </c>
      <c r="C99" s="10" t="s">
        <v>99</v>
      </c>
      <c r="D99" s="747">
        <v>338711.666666667</v>
      </c>
    </row>
    <row r="100" ht="25" customHeight="1" spans="1:4">
      <c r="A100" s="10">
        <v>11</v>
      </c>
      <c r="B100" s="651" t="s">
        <v>203</v>
      </c>
      <c r="C100" s="10" t="s">
        <v>105</v>
      </c>
      <c r="D100" s="747">
        <v>308920.666666667</v>
      </c>
    </row>
    <row r="101" ht="25" customHeight="1" spans="1:4">
      <c r="A101" s="10"/>
      <c r="B101" s="866" t="s">
        <v>120</v>
      </c>
      <c r="C101" s="21"/>
      <c r="D101" s="875">
        <f>SUM(D90:D100)</f>
        <v>6621517.24999999</v>
      </c>
    </row>
    <row r="102" ht="25" customHeight="1" spans="1:4">
      <c r="A102" s="10"/>
      <c r="B102" s="866"/>
      <c r="C102" s="21"/>
      <c r="D102" s="1016"/>
    </row>
    <row r="103" ht="25" customHeight="1" spans="1:4">
      <c r="A103" s="10"/>
      <c r="B103" s="866" t="s">
        <v>205</v>
      </c>
      <c r="C103" s="21"/>
      <c r="D103" s="1016"/>
    </row>
    <row r="104" ht="25" customHeight="1" spans="1:4">
      <c r="A104" s="10">
        <v>1</v>
      </c>
      <c r="B104" s="651" t="s">
        <v>206</v>
      </c>
      <c r="C104" s="10" t="s">
        <v>140</v>
      </c>
      <c r="D104" s="747">
        <v>1697359.33333333</v>
      </c>
    </row>
    <row r="105" ht="25" customHeight="1" spans="1:4">
      <c r="A105" s="10">
        <v>2</v>
      </c>
      <c r="B105" s="651" t="s">
        <v>208</v>
      </c>
      <c r="C105" s="10" t="s">
        <v>210</v>
      </c>
      <c r="D105" s="747">
        <v>879008.916666667</v>
      </c>
    </row>
    <row r="106" ht="25" customHeight="1" spans="1:4">
      <c r="A106" s="10">
        <v>3</v>
      </c>
      <c r="B106" s="651" t="s">
        <v>479</v>
      </c>
      <c r="C106" s="10" t="s">
        <v>39</v>
      </c>
      <c r="D106" s="747">
        <v>744477</v>
      </c>
    </row>
    <row r="107" ht="25" customHeight="1" spans="1:4">
      <c r="A107" s="10">
        <v>4</v>
      </c>
      <c r="B107" s="651" t="s">
        <v>211</v>
      </c>
      <c r="C107" s="15" t="s">
        <v>47</v>
      </c>
      <c r="D107" s="747">
        <v>573911.083333334</v>
      </c>
    </row>
    <row r="108" ht="25" customHeight="1" spans="1:4">
      <c r="A108" s="10">
        <v>5</v>
      </c>
      <c r="B108" s="651" t="s">
        <v>212</v>
      </c>
      <c r="C108" s="15" t="s">
        <v>47</v>
      </c>
      <c r="D108" s="747">
        <v>573911.083333334</v>
      </c>
    </row>
    <row r="109" ht="25" customHeight="1" spans="1:4">
      <c r="A109" s="10">
        <v>6</v>
      </c>
      <c r="B109" s="651" t="s">
        <v>213</v>
      </c>
      <c r="C109" s="15" t="s">
        <v>214</v>
      </c>
      <c r="D109" s="747">
        <v>558166.25</v>
      </c>
    </row>
    <row r="110" ht="25" customHeight="1" spans="1:4">
      <c r="A110" s="10">
        <v>7</v>
      </c>
      <c r="B110" s="651" t="s">
        <v>215</v>
      </c>
      <c r="C110" s="15" t="s">
        <v>173</v>
      </c>
      <c r="D110" s="747">
        <v>482662.666666667</v>
      </c>
    </row>
    <row r="111" ht="25" customHeight="1" spans="1:4">
      <c r="A111" s="10">
        <v>8</v>
      </c>
      <c r="B111" s="651" t="s">
        <v>216</v>
      </c>
      <c r="C111" s="15" t="s">
        <v>218</v>
      </c>
      <c r="D111" s="747">
        <v>512098.916666667</v>
      </c>
    </row>
    <row r="112" ht="25" customHeight="1" spans="1:4">
      <c r="A112" s="10">
        <v>9</v>
      </c>
      <c r="B112" s="351" t="s">
        <v>219</v>
      </c>
      <c r="C112" s="15" t="s">
        <v>131</v>
      </c>
      <c r="D112" s="748">
        <v>454993.583333333</v>
      </c>
    </row>
    <row r="113" ht="25" customHeight="1" spans="1:4">
      <c r="A113" s="10">
        <v>10</v>
      </c>
      <c r="B113" s="651" t="s">
        <v>220</v>
      </c>
      <c r="C113" s="10" t="s">
        <v>153</v>
      </c>
      <c r="D113" s="748">
        <v>399131.166666667</v>
      </c>
    </row>
    <row r="114" ht="25" customHeight="1" spans="1:4">
      <c r="A114" s="10">
        <v>11</v>
      </c>
      <c r="B114" s="351" t="s">
        <v>222</v>
      </c>
      <c r="C114" s="10" t="s">
        <v>99</v>
      </c>
      <c r="D114" s="747">
        <v>338711.666666667</v>
      </c>
    </row>
    <row r="115" ht="25" customHeight="1" spans="1:4">
      <c r="A115" s="10">
        <v>12</v>
      </c>
      <c r="B115" s="351" t="s">
        <v>223</v>
      </c>
      <c r="C115" s="10" t="s">
        <v>99</v>
      </c>
      <c r="D115" s="747">
        <v>338711.666666667</v>
      </c>
    </row>
    <row r="116" ht="25" customHeight="1" spans="1:4">
      <c r="A116" s="10">
        <v>13</v>
      </c>
      <c r="B116" s="651" t="s">
        <v>224</v>
      </c>
      <c r="C116" s="15" t="s">
        <v>506</v>
      </c>
      <c r="D116" s="748">
        <v>315930.583333333</v>
      </c>
    </row>
    <row r="117" ht="25" customHeight="1" spans="1:4">
      <c r="A117" s="10"/>
      <c r="B117" s="866" t="s">
        <v>120</v>
      </c>
      <c r="C117" s="21"/>
      <c r="D117" s="875">
        <f>SUM(D104:D116)</f>
        <v>7869073.91666667</v>
      </c>
    </row>
    <row r="118" ht="25" customHeight="1" spans="1:4">
      <c r="A118" s="10"/>
      <c r="B118" s="869"/>
      <c r="C118" s="21"/>
      <c r="D118" s="1016"/>
    </row>
    <row r="119" ht="25" customHeight="1" spans="1:4">
      <c r="A119" s="10"/>
      <c r="B119" s="866" t="s">
        <v>226</v>
      </c>
      <c r="C119" s="21"/>
      <c r="D119" s="1016"/>
    </row>
    <row r="120" ht="25" customHeight="1" spans="1:4">
      <c r="A120" s="10">
        <v>1</v>
      </c>
      <c r="B120" s="643" t="s">
        <v>227</v>
      </c>
      <c r="C120" s="16" t="s">
        <v>124</v>
      </c>
      <c r="D120" s="747">
        <v>1747106.41666666</v>
      </c>
    </row>
    <row r="121" ht="25" customHeight="1" spans="1:4">
      <c r="A121" s="10">
        <v>2</v>
      </c>
      <c r="B121" s="651" t="s">
        <v>229</v>
      </c>
      <c r="C121" s="15" t="s">
        <v>192</v>
      </c>
      <c r="D121" s="747">
        <v>589657</v>
      </c>
    </row>
    <row r="122" ht="25" customHeight="1" spans="1:4">
      <c r="A122" s="10">
        <v>3</v>
      </c>
      <c r="B122" s="651" t="s">
        <v>231</v>
      </c>
      <c r="C122" s="15" t="s">
        <v>218</v>
      </c>
      <c r="D122" s="747">
        <v>512098.916666667</v>
      </c>
    </row>
    <row r="123" ht="25" customHeight="1" spans="1:4">
      <c r="A123" s="10">
        <v>4</v>
      </c>
      <c r="B123" s="651" t="s">
        <v>233</v>
      </c>
      <c r="C123" s="15" t="s">
        <v>64</v>
      </c>
      <c r="D123" s="747">
        <v>497472.75</v>
      </c>
    </row>
    <row r="124" ht="25" customHeight="1" spans="1:4">
      <c r="A124" s="10">
        <v>5</v>
      </c>
      <c r="B124" s="651" t="s">
        <v>235</v>
      </c>
      <c r="C124" s="15" t="s">
        <v>64</v>
      </c>
      <c r="D124" s="747">
        <v>497472.75</v>
      </c>
    </row>
    <row r="125" ht="25" customHeight="1" spans="1:4">
      <c r="A125" s="10">
        <v>6</v>
      </c>
      <c r="B125" s="651" t="s">
        <v>236</v>
      </c>
      <c r="C125" s="15" t="s">
        <v>153</v>
      </c>
      <c r="D125" s="748">
        <v>399131.166666667</v>
      </c>
    </row>
    <row r="126" ht="25" customHeight="1" spans="1:4">
      <c r="A126" s="10">
        <v>7</v>
      </c>
      <c r="B126" s="351" t="s">
        <v>237</v>
      </c>
      <c r="C126" s="15" t="s">
        <v>75</v>
      </c>
      <c r="D126" s="747">
        <v>381140.666666666</v>
      </c>
    </row>
    <row r="127" ht="25" customHeight="1" spans="1:4">
      <c r="A127" s="4"/>
      <c r="B127" s="866" t="s">
        <v>120</v>
      </c>
      <c r="C127" s="26"/>
      <c r="D127" s="875">
        <f>SUM(D120:D126)</f>
        <v>4624079.66666666</v>
      </c>
    </row>
    <row r="128" ht="25" customHeight="1" spans="1:4">
      <c r="A128" s="4"/>
      <c r="B128" s="869"/>
      <c r="C128" s="26"/>
      <c r="D128" s="1016"/>
    </row>
    <row r="129" ht="25" customHeight="1" spans="1:4">
      <c r="A129" s="4"/>
      <c r="B129" s="866" t="s">
        <v>239</v>
      </c>
      <c r="C129" s="4"/>
      <c r="D129" s="778"/>
    </row>
    <row r="130" ht="25" customHeight="1" spans="1:4">
      <c r="A130" s="4">
        <v>1</v>
      </c>
      <c r="B130" s="651" t="s">
        <v>240</v>
      </c>
      <c r="C130" s="15" t="s">
        <v>124</v>
      </c>
      <c r="D130" s="747">
        <v>1747106.41666666</v>
      </c>
    </row>
    <row r="131" ht="25" customHeight="1" spans="1:4">
      <c r="A131" s="4">
        <v>2</v>
      </c>
      <c r="B131" s="651" t="s">
        <v>242</v>
      </c>
      <c r="C131" s="16" t="s">
        <v>36</v>
      </c>
      <c r="D131" s="747">
        <v>905306.75</v>
      </c>
    </row>
    <row r="132" ht="25" customHeight="1" spans="1:4">
      <c r="A132" s="4">
        <v>3</v>
      </c>
      <c r="B132" s="651" t="s">
        <v>244</v>
      </c>
      <c r="C132" s="10" t="s">
        <v>214</v>
      </c>
      <c r="D132" s="747">
        <v>558165.25</v>
      </c>
    </row>
    <row r="133" ht="25" customHeight="1" spans="1:4">
      <c r="A133" s="4">
        <v>4</v>
      </c>
      <c r="B133" s="651" t="s">
        <v>246</v>
      </c>
      <c r="C133" s="10" t="s">
        <v>214</v>
      </c>
      <c r="D133" s="747">
        <v>558165.25</v>
      </c>
    </row>
    <row r="134" ht="25" customHeight="1" spans="1:4">
      <c r="A134" s="4">
        <v>5</v>
      </c>
      <c r="B134" s="351" t="s">
        <v>247</v>
      </c>
      <c r="C134" s="15" t="s">
        <v>131</v>
      </c>
      <c r="D134" s="748">
        <v>454993.583333333</v>
      </c>
    </row>
    <row r="135" ht="25" customHeight="1" spans="1:4">
      <c r="A135" s="4">
        <v>6</v>
      </c>
      <c r="B135" s="651" t="s">
        <v>249</v>
      </c>
      <c r="C135" s="15" t="s">
        <v>251</v>
      </c>
      <c r="D135" s="748">
        <v>336960.166666667</v>
      </c>
    </row>
    <row r="136" ht="25" customHeight="1" spans="1:4">
      <c r="A136" s="4">
        <v>7</v>
      </c>
      <c r="B136" s="351" t="s">
        <v>252</v>
      </c>
      <c r="C136" s="10" t="s">
        <v>99</v>
      </c>
      <c r="D136" s="748">
        <v>338711.666666667</v>
      </c>
    </row>
    <row r="137" ht="25" customHeight="1" spans="1:4">
      <c r="A137" s="4">
        <v>8</v>
      </c>
      <c r="B137" s="351" t="s">
        <v>253</v>
      </c>
      <c r="C137" s="15" t="s">
        <v>506</v>
      </c>
      <c r="D137" s="748">
        <v>315930.583333333</v>
      </c>
    </row>
    <row r="138" ht="25" customHeight="1" spans="1:4">
      <c r="A138" s="4">
        <v>9</v>
      </c>
      <c r="B138" s="351" t="s">
        <v>254</v>
      </c>
      <c r="C138" s="15" t="s">
        <v>111</v>
      </c>
      <c r="D138" s="747">
        <v>294900.833333334</v>
      </c>
    </row>
    <row r="139" ht="25" customHeight="1" spans="1:4">
      <c r="A139" s="4">
        <v>10</v>
      </c>
      <c r="B139" s="351" t="s">
        <v>255</v>
      </c>
      <c r="C139" s="15" t="s">
        <v>111</v>
      </c>
      <c r="D139" s="747">
        <v>294900.833333334</v>
      </c>
    </row>
    <row r="140" ht="25" customHeight="1" spans="1:4">
      <c r="A140" s="4">
        <v>11</v>
      </c>
      <c r="B140" s="351" t="s">
        <v>256</v>
      </c>
      <c r="C140" s="15" t="s">
        <v>111</v>
      </c>
      <c r="D140" s="747">
        <v>294900.833333334</v>
      </c>
    </row>
    <row r="141" ht="25" customHeight="1" spans="1:4">
      <c r="A141" s="4"/>
      <c r="B141" s="866" t="s">
        <v>120</v>
      </c>
      <c r="C141" s="4"/>
      <c r="D141" s="1017">
        <f>SUM(D130:D140)</f>
        <v>6100042.16666666</v>
      </c>
    </row>
    <row r="142" ht="25" customHeight="1" spans="1:4">
      <c r="A142" s="4"/>
      <c r="B142" s="866"/>
      <c r="C142" s="4"/>
      <c r="D142" s="1017"/>
    </row>
    <row r="143" ht="25" customHeight="1" spans="1:4">
      <c r="A143" s="10"/>
      <c r="B143" s="866" t="s">
        <v>257</v>
      </c>
      <c r="C143" s="21"/>
      <c r="D143" s="1016"/>
    </row>
    <row r="144" ht="25" customHeight="1" spans="1:4">
      <c r="A144" s="10">
        <v>1</v>
      </c>
      <c r="B144" s="651" t="s">
        <v>258</v>
      </c>
      <c r="C144" s="10" t="s">
        <v>50</v>
      </c>
      <c r="D144" s="747">
        <v>722595.5</v>
      </c>
    </row>
    <row r="145" ht="25" customHeight="1" spans="1:4">
      <c r="A145" s="10">
        <v>2</v>
      </c>
      <c r="B145" s="651" t="s">
        <v>259</v>
      </c>
      <c r="C145" s="15" t="s">
        <v>261</v>
      </c>
      <c r="D145" s="747">
        <v>496497.166666667</v>
      </c>
    </row>
    <row r="146" ht="25" customHeight="1" spans="1:4">
      <c r="A146" s="10">
        <v>3</v>
      </c>
      <c r="B146" s="651" t="s">
        <v>480</v>
      </c>
      <c r="C146" s="15" t="s">
        <v>70</v>
      </c>
      <c r="D146" s="747">
        <v>468828.166666667</v>
      </c>
    </row>
    <row r="147" ht="25" customHeight="1" spans="1:4">
      <c r="A147" s="10">
        <v>4</v>
      </c>
      <c r="B147" s="351" t="s">
        <v>262</v>
      </c>
      <c r="C147" s="10" t="s">
        <v>99</v>
      </c>
      <c r="D147" s="747">
        <v>338711.666666667</v>
      </c>
    </row>
    <row r="148" ht="25" customHeight="1" spans="1:4">
      <c r="A148" s="10">
        <v>5</v>
      </c>
      <c r="B148" s="351" t="s">
        <v>263</v>
      </c>
      <c r="C148" s="10" t="s">
        <v>99</v>
      </c>
      <c r="D148" s="747">
        <v>338711.666666667</v>
      </c>
    </row>
    <row r="149" ht="25" customHeight="1" spans="1:4">
      <c r="A149" s="10">
        <v>6</v>
      </c>
      <c r="B149" s="351" t="s">
        <v>264</v>
      </c>
      <c r="C149" s="10" t="s">
        <v>99</v>
      </c>
      <c r="D149" s="747">
        <v>338711.666666667</v>
      </c>
    </row>
    <row r="150" ht="25" customHeight="1" spans="1:4">
      <c r="A150" s="10">
        <v>7</v>
      </c>
      <c r="B150" s="351" t="s">
        <v>265</v>
      </c>
      <c r="C150" s="10" t="s">
        <v>99</v>
      </c>
      <c r="D150" s="747">
        <v>338711.666666667</v>
      </c>
    </row>
    <row r="151" ht="25" customHeight="1" spans="1:4">
      <c r="A151" s="10">
        <v>8</v>
      </c>
      <c r="B151" s="351" t="s">
        <v>266</v>
      </c>
      <c r="C151" s="15" t="s">
        <v>111</v>
      </c>
      <c r="D151" s="747">
        <v>294900.833333334</v>
      </c>
    </row>
    <row r="152" ht="25" customHeight="1" spans="1:4">
      <c r="A152" s="4"/>
      <c r="B152" s="866" t="s">
        <v>120</v>
      </c>
      <c r="C152" s="26"/>
      <c r="D152" s="875">
        <f>SUM(D144:D151)</f>
        <v>3337668.33333334</v>
      </c>
    </row>
    <row r="153" ht="25" customHeight="1" spans="1:4">
      <c r="A153" s="4"/>
      <c r="B153" s="866"/>
      <c r="C153" s="26"/>
      <c r="D153" s="875"/>
    </row>
    <row r="154" ht="25" customHeight="1" spans="1:4">
      <c r="A154" s="10"/>
      <c r="B154" s="866" t="s">
        <v>268</v>
      </c>
      <c r="C154" s="21"/>
      <c r="D154" s="1016"/>
    </row>
    <row r="155" ht="25" customHeight="1" spans="1:4">
      <c r="A155" s="4">
        <v>1</v>
      </c>
      <c r="B155" s="351" t="s">
        <v>481</v>
      </c>
      <c r="C155" s="15" t="s">
        <v>75</v>
      </c>
      <c r="D155" s="747">
        <v>381140.666666666</v>
      </c>
    </row>
    <row r="156" ht="25" customHeight="1" spans="1:4">
      <c r="A156" s="4">
        <v>2</v>
      </c>
      <c r="B156" s="351" t="s">
        <v>269</v>
      </c>
      <c r="C156" s="10" t="s">
        <v>99</v>
      </c>
      <c r="D156" s="747">
        <v>338711.666666667</v>
      </c>
    </row>
    <row r="157" ht="25" customHeight="1" spans="1:4">
      <c r="A157" s="4">
        <v>3</v>
      </c>
      <c r="B157" s="651" t="s">
        <v>271</v>
      </c>
      <c r="C157" s="10" t="s">
        <v>111</v>
      </c>
      <c r="D157" s="747">
        <v>294900.833333334</v>
      </c>
    </row>
    <row r="158" ht="25" customHeight="1" spans="1:4">
      <c r="A158" s="4">
        <v>4</v>
      </c>
      <c r="B158" s="351" t="s">
        <v>273</v>
      </c>
      <c r="C158" s="15" t="s">
        <v>275</v>
      </c>
      <c r="D158" s="747">
        <v>287890.916666667</v>
      </c>
    </row>
    <row r="159" ht="25" customHeight="1" spans="1:4">
      <c r="A159" s="4">
        <v>5</v>
      </c>
      <c r="B159" s="651" t="s">
        <v>276</v>
      </c>
      <c r="C159" s="10" t="s">
        <v>111</v>
      </c>
      <c r="D159" s="747">
        <v>294900.833333334</v>
      </c>
    </row>
    <row r="160" ht="25" customHeight="1" spans="1:4">
      <c r="A160" s="4"/>
      <c r="B160" s="866" t="s">
        <v>120</v>
      </c>
      <c r="C160" s="26"/>
      <c r="D160" s="875">
        <f>SUM(D155:D159)</f>
        <v>1597544.91666667</v>
      </c>
    </row>
    <row r="161" ht="25" customHeight="1" spans="1:4">
      <c r="A161" s="4"/>
      <c r="B161" s="866"/>
      <c r="C161" s="26"/>
      <c r="D161" s="875"/>
    </row>
    <row r="162" ht="25" customHeight="1" spans="1:4">
      <c r="A162" s="4"/>
      <c r="B162" s="866" t="s">
        <v>278</v>
      </c>
      <c r="C162" s="21"/>
      <c r="D162" s="1016"/>
    </row>
    <row r="163" ht="25" customHeight="1" spans="1:4">
      <c r="A163" s="4">
        <v>1</v>
      </c>
      <c r="B163" s="651" t="s">
        <v>279</v>
      </c>
      <c r="C163" s="15" t="s">
        <v>124</v>
      </c>
      <c r="D163" s="747">
        <v>1747106.41666666</v>
      </c>
    </row>
    <row r="164" ht="25" customHeight="1" spans="1:4">
      <c r="A164" s="4">
        <v>2</v>
      </c>
      <c r="B164" s="651" t="s">
        <v>281</v>
      </c>
      <c r="C164" s="15" t="s">
        <v>36</v>
      </c>
      <c r="D164" s="747">
        <v>905306.75</v>
      </c>
    </row>
    <row r="165" ht="25" customHeight="1" spans="1:4">
      <c r="A165" s="4">
        <v>3</v>
      </c>
      <c r="B165" s="643" t="s">
        <v>283</v>
      </c>
      <c r="C165" s="15" t="s">
        <v>36</v>
      </c>
      <c r="D165" s="747">
        <v>905306.75</v>
      </c>
    </row>
    <row r="166" ht="25" customHeight="1" spans="1:4">
      <c r="A166" s="4">
        <v>4</v>
      </c>
      <c r="B166" s="651" t="s">
        <v>284</v>
      </c>
      <c r="C166" s="15" t="s">
        <v>50</v>
      </c>
      <c r="D166" s="747">
        <v>722595.5</v>
      </c>
    </row>
    <row r="167" ht="25" customHeight="1" spans="1:4">
      <c r="A167" s="4">
        <v>5</v>
      </c>
      <c r="B167" s="651" t="s">
        <v>286</v>
      </c>
      <c r="C167" s="15" t="s">
        <v>42</v>
      </c>
      <c r="D167" s="747">
        <v>700713.916666666</v>
      </c>
    </row>
    <row r="168" ht="25" customHeight="1" spans="1:4">
      <c r="A168" s="4">
        <v>6</v>
      </c>
      <c r="B168" s="651" t="s">
        <v>287</v>
      </c>
      <c r="C168" s="15" t="s">
        <v>47</v>
      </c>
      <c r="D168" s="747">
        <v>573911.083333334</v>
      </c>
    </row>
    <row r="169" ht="25" customHeight="1" spans="1:4">
      <c r="A169" s="4">
        <v>7</v>
      </c>
      <c r="B169" s="651" t="s">
        <v>289</v>
      </c>
      <c r="C169" s="15" t="s">
        <v>192</v>
      </c>
      <c r="D169" s="747">
        <v>589657</v>
      </c>
    </row>
    <row r="170" ht="25" customHeight="1" spans="1:4">
      <c r="A170" s="4">
        <v>8</v>
      </c>
      <c r="B170" s="351" t="s">
        <v>290</v>
      </c>
      <c r="C170" s="15" t="s">
        <v>99</v>
      </c>
      <c r="D170" s="747">
        <v>338711.666666667</v>
      </c>
    </row>
    <row r="171" ht="25" customHeight="1" spans="1:4">
      <c r="A171" s="4">
        <v>9</v>
      </c>
      <c r="B171" s="651" t="s">
        <v>292</v>
      </c>
      <c r="C171" s="15" t="s">
        <v>81</v>
      </c>
      <c r="D171" s="747">
        <v>372145.333333333</v>
      </c>
    </row>
    <row r="172" ht="25" customHeight="1" spans="1:4">
      <c r="A172" s="4">
        <v>10</v>
      </c>
      <c r="B172" s="351" t="s">
        <v>294</v>
      </c>
      <c r="C172" s="15" t="s">
        <v>105</v>
      </c>
      <c r="D172" s="747">
        <v>308920.666666667</v>
      </c>
    </row>
    <row r="173" ht="25" customHeight="1" spans="1:4">
      <c r="A173" s="4">
        <v>11</v>
      </c>
      <c r="B173" s="351" t="s">
        <v>296</v>
      </c>
      <c r="C173" s="15" t="s">
        <v>105</v>
      </c>
      <c r="D173" s="747">
        <v>308920.666666667</v>
      </c>
    </row>
    <row r="174" ht="25" customHeight="1" spans="1:4">
      <c r="A174" s="4">
        <v>12</v>
      </c>
      <c r="B174" s="351" t="s">
        <v>297</v>
      </c>
      <c r="C174" s="15" t="s">
        <v>108</v>
      </c>
      <c r="D174" s="1018">
        <v>301910.75</v>
      </c>
    </row>
    <row r="175" ht="25" customHeight="1" spans="1:4">
      <c r="A175" s="4"/>
      <c r="B175" s="866" t="s">
        <v>120</v>
      </c>
      <c r="C175" s="15"/>
      <c r="D175" s="868">
        <f>SUM(D163:D174)</f>
        <v>7775206.49999999</v>
      </c>
    </row>
    <row r="176" ht="25" customHeight="1" spans="1:4">
      <c r="A176" s="4"/>
      <c r="B176" s="869"/>
      <c r="C176" s="15"/>
      <c r="D176" s="1016"/>
    </row>
    <row r="177" ht="25" customHeight="1" spans="1:4">
      <c r="A177" s="4"/>
      <c r="B177" s="866" t="s">
        <v>299</v>
      </c>
      <c r="C177" s="15"/>
      <c r="D177" s="747"/>
    </row>
    <row r="178" ht="25" customHeight="1" spans="1:4">
      <c r="A178" s="27">
        <v>1</v>
      </c>
      <c r="B178" s="643" t="s">
        <v>300</v>
      </c>
      <c r="C178" s="10" t="s">
        <v>487</v>
      </c>
      <c r="D178" s="747">
        <v>1697359.33333333</v>
      </c>
    </row>
    <row r="179" ht="25" customHeight="1" spans="1:4">
      <c r="A179" s="27">
        <v>2</v>
      </c>
      <c r="B179" s="643" t="s">
        <v>302</v>
      </c>
      <c r="C179" s="16" t="s">
        <v>36</v>
      </c>
      <c r="D179" s="747">
        <v>905306.75</v>
      </c>
    </row>
    <row r="180" ht="25" customHeight="1" spans="1:4">
      <c r="A180" s="27">
        <v>3</v>
      </c>
      <c r="B180" s="651" t="s">
        <v>305</v>
      </c>
      <c r="C180" s="15" t="s">
        <v>50</v>
      </c>
      <c r="D180" s="747">
        <v>722595.5</v>
      </c>
    </row>
    <row r="181" ht="25" customHeight="1" spans="1:4">
      <c r="A181" s="27">
        <v>4</v>
      </c>
      <c r="B181" s="651" t="s">
        <v>307</v>
      </c>
      <c r="C181" s="15" t="s">
        <v>50</v>
      </c>
      <c r="D181" s="747">
        <v>722595.5</v>
      </c>
    </row>
    <row r="182" ht="25" customHeight="1" spans="1:4">
      <c r="A182" s="27">
        <v>5</v>
      </c>
      <c r="B182" s="651" t="s">
        <v>309</v>
      </c>
      <c r="C182" s="15" t="s">
        <v>50</v>
      </c>
      <c r="D182" s="747">
        <v>722595.5</v>
      </c>
    </row>
    <row r="183" ht="25" customHeight="1" spans="1:4">
      <c r="A183" s="27">
        <v>6</v>
      </c>
      <c r="B183" s="651" t="s">
        <v>310</v>
      </c>
      <c r="C183" s="10" t="s">
        <v>53</v>
      </c>
      <c r="D183" s="747">
        <v>542419.5</v>
      </c>
    </row>
    <row r="184" ht="25" customHeight="1" spans="1:4">
      <c r="A184" s="27">
        <v>7</v>
      </c>
      <c r="B184" s="651" t="s">
        <v>312</v>
      </c>
      <c r="C184" s="15" t="s">
        <v>64</v>
      </c>
      <c r="D184" s="747">
        <v>497472.75</v>
      </c>
    </row>
    <row r="185" ht="25" customHeight="1" spans="1:4">
      <c r="A185" s="27">
        <v>8</v>
      </c>
      <c r="B185" s="651" t="s">
        <v>313</v>
      </c>
      <c r="C185" s="15" t="s">
        <v>64</v>
      </c>
      <c r="D185" s="747">
        <v>497472.75</v>
      </c>
    </row>
    <row r="186" ht="25" customHeight="1" spans="1:4">
      <c r="A186" s="27">
        <v>9</v>
      </c>
      <c r="B186" s="651" t="s">
        <v>315</v>
      </c>
      <c r="C186" s="15" t="s">
        <v>67</v>
      </c>
      <c r="D186" s="747">
        <v>482846.583333334</v>
      </c>
    </row>
    <row r="187" ht="25" customHeight="1" spans="1:4">
      <c r="A187" s="27">
        <v>10</v>
      </c>
      <c r="B187" s="651" t="s">
        <v>317</v>
      </c>
      <c r="C187" s="15" t="s">
        <v>173</v>
      </c>
      <c r="D187" s="747">
        <v>482662.666666667</v>
      </c>
    </row>
    <row r="188" ht="25" customHeight="1" spans="1:4">
      <c r="A188" s="27">
        <v>11</v>
      </c>
      <c r="B188" s="351" t="s">
        <v>319</v>
      </c>
      <c r="C188" s="15" t="s">
        <v>70</v>
      </c>
      <c r="D188" s="748">
        <v>468828.166666667</v>
      </c>
    </row>
    <row r="189" ht="25" customHeight="1" spans="1:4">
      <c r="A189" s="27">
        <v>12</v>
      </c>
      <c r="B189" s="651" t="s">
        <v>321</v>
      </c>
      <c r="C189" s="15" t="s">
        <v>131</v>
      </c>
      <c r="D189" s="748">
        <v>454993.583333333</v>
      </c>
    </row>
    <row r="190" ht="25" customHeight="1" spans="1:4">
      <c r="A190" s="27">
        <v>13</v>
      </c>
      <c r="B190" s="651" t="s">
        <v>322</v>
      </c>
      <c r="C190" s="15" t="s">
        <v>131</v>
      </c>
      <c r="D190" s="748">
        <v>454993.583333333</v>
      </c>
    </row>
    <row r="191" ht="25" customHeight="1" spans="1:4">
      <c r="A191" s="27">
        <v>14</v>
      </c>
      <c r="B191" s="651" t="s">
        <v>323</v>
      </c>
      <c r="C191" s="15" t="s">
        <v>131</v>
      </c>
      <c r="D191" s="748">
        <v>454993.583333333</v>
      </c>
    </row>
    <row r="192" ht="25" customHeight="1" spans="1:4">
      <c r="A192" s="27">
        <v>15</v>
      </c>
      <c r="B192" s="651" t="s">
        <v>324</v>
      </c>
      <c r="C192" s="15" t="s">
        <v>70</v>
      </c>
      <c r="D192" s="748">
        <v>468828.166666667</v>
      </c>
    </row>
    <row r="193" ht="25" customHeight="1" spans="1:4">
      <c r="A193" s="27">
        <v>16</v>
      </c>
      <c r="B193" s="651" t="s">
        <v>325</v>
      </c>
      <c r="C193" s="15" t="s">
        <v>153</v>
      </c>
      <c r="D193" s="748">
        <v>399131.166666667</v>
      </c>
    </row>
    <row r="194" ht="25" customHeight="1" spans="1:4">
      <c r="A194" s="27">
        <v>17</v>
      </c>
      <c r="B194" s="651" t="s">
        <v>327</v>
      </c>
      <c r="C194" s="10" t="s">
        <v>81</v>
      </c>
      <c r="D194" s="747">
        <v>372145.333333333</v>
      </c>
    </row>
    <row r="195" ht="25" customHeight="1" spans="1:4">
      <c r="A195" s="27">
        <v>18</v>
      </c>
      <c r="B195" s="651" t="s">
        <v>329</v>
      </c>
      <c r="C195" s="15" t="s">
        <v>131</v>
      </c>
      <c r="D195" s="748">
        <v>454993.583333333</v>
      </c>
    </row>
    <row r="196" ht="25" customHeight="1" spans="1:4">
      <c r="A196" s="27">
        <v>19</v>
      </c>
      <c r="B196" s="651" t="s">
        <v>331</v>
      </c>
      <c r="C196" s="15" t="s">
        <v>75</v>
      </c>
      <c r="D196" s="747">
        <v>381140.666666666</v>
      </c>
    </row>
    <row r="197" ht="25" customHeight="1" spans="1:4">
      <c r="A197" s="27">
        <v>20</v>
      </c>
      <c r="B197" s="651" t="s">
        <v>333</v>
      </c>
      <c r="C197" s="15" t="s">
        <v>131</v>
      </c>
      <c r="D197" s="748">
        <v>454993.583333333</v>
      </c>
    </row>
    <row r="198" ht="25" customHeight="1" spans="1:4">
      <c r="A198" s="27">
        <v>21</v>
      </c>
      <c r="B198" s="651" t="s">
        <v>334</v>
      </c>
      <c r="C198" s="15" t="s">
        <v>81</v>
      </c>
      <c r="D198" s="747">
        <v>372145.333333333</v>
      </c>
    </row>
    <row r="199" ht="25" customHeight="1" spans="1:4">
      <c r="A199" s="27">
        <v>22</v>
      </c>
      <c r="B199" s="351" t="s">
        <v>336</v>
      </c>
      <c r="C199" s="15" t="s">
        <v>86</v>
      </c>
      <c r="D199" s="748">
        <v>338711.666666667</v>
      </c>
    </row>
    <row r="200" ht="25" customHeight="1" spans="1:4">
      <c r="A200" s="27">
        <v>23</v>
      </c>
      <c r="B200" s="351" t="s">
        <v>338</v>
      </c>
      <c r="C200" s="15" t="s">
        <v>86</v>
      </c>
      <c r="D200" s="748">
        <v>347016.166666666</v>
      </c>
    </row>
    <row r="201" ht="25" customHeight="1" spans="1:4">
      <c r="A201" s="27">
        <v>24</v>
      </c>
      <c r="B201" s="351" t="s">
        <v>339</v>
      </c>
      <c r="C201" s="10" t="s">
        <v>99</v>
      </c>
      <c r="D201" s="747">
        <v>338711.666666667</v>
      </c>
    </row>
    <row r="202" ht="25" customHeight="1" spans="1:4">
      <c r="A202" s="27">
        <v>25</v>
      </c>
      <c r="B202" s="351" t="s">
        <v>341</v>
      </c>
      <c r="C202" s="10" t="s">
        <v>225</v>
      </c>
      <c r="D202" s="747">
        <v>330408.083333333</v>
      </c>
    </row>
    <row r="203" ht="25" customHeight="1" spans="1:4">
      <c r="A203" s="27">
        <v>26</v>
      </c>
      <c r="B203" s="351" t="s">
        <v>343</v>
      </c>
      <c r="C203" s="15" t="s">
        <v>105</v>
      </c>
      <c r="D203" s="747">
        <v>308920.666666667</v>
      </c>
    </row>
    <row r="204" ht="25" customHeight="1" spans="1:4">
      <c r="A204" s="27">
        <v>27</v>
      </c>
      <c r="B204" s="351" t="s">
        <v>345</v>
      </c>
      <c r="C204" s="15" t="s">
        <v>105</v>
      </c>
      <c r="D204" s="747">
        <v>308920.666666667</v>
      </c>
    </row>
    <row r="205" ht="25" customHeight="1" spans="1:4">
      <c r="A205" s="27">
        <v>28</v>
      </c>
      <c r="B205" s="351" t="s">
        <v>347</v>
      </c>
      <c r="C205" s="15" t="s">
        <v>105</v>
      </c>
      <c r="D205" s="747">
        <v>308920.666666667</v>
      </c>
    </row>
    <row r="206" ht="25" customHeight="1" spans="1:4">
      <c r="A206" s="27">
        <v>29</v>
      </c>
      <c r="B206" s="351" t="s">
        <v>349</v>
      </c>
      <c r="C206" s="10" t="s">
        <v>225</v>
      </c>
      <c r="D206" s="747">
        <v>330408.083333333</v>
      </c>
    </row>
    <row r="207" ht="25" customHeight="1" spans="1:4">
      <c r="A207" s="27">
        <v>30</v>
      </c>
      <c r="B207" s="351" t="s">
        <v>350</v>
      </c>
      <c r="C207" s="15" t="s">
        <v>105</v>
      </c>
      <c r="D207" s="747">
        <v>308920.666666667</v>
      </c>
    </row>
    <row r="208" ht="25" customHeight="1" spans="1:4">
      <c r="A208" s="27">
        <v>31</v>
      </c>
      <c r="B208" s="351" t="s">
        <v>351</v>
      </c>
      <c r="C208" s="15" t="s">
        <v>108</v>
      </c>
      <c r="D208" s="1015">
        <v>301910.75</v>
      </c>
    </row>
    <row r="209" ht="25" customHeight="1" spans="1:4">
      <c r="A209" s="27">
        <v>32</v>
      </c>
      <c r="B209" s="351" t="s">
        <v>353</v>
      </c>
      <c r="C209" s="15" t="s">
        <v>108</v>
      </c>
      <c r="D209" s="1015">
        <v>301910.75</v>
      </c>
    </row>
    <row r="210" ht="25" customHeight="1" spans="1:4">
      <c r="A210" s="27">
        <v>33</v>
      </c>
      <c r="B210" s="351" t="s">
        <v>354</v>
      </c>
      <c r="C210" s="15" t="s">
        <v>111</v>
      </c>
      <c r="D210" s="747">
        <v>294900.833333334</v>
      </c>
    </row>
    <row r="211" ht="25" customHeight="1" spans="1:4">
      <c r="A211" s="27">
        <v>34</v>
      </c>
      <c r="B211" s="351" t="s">
        <v>355</v>
      </c>
      <c r="C211" s="15" t="s">
        <v>111</v>
      </c>
      <c r="D211" s="747">
        <v>294900.833333334</v>
      </c>
    </row>
    <row r="212" ht="25" customHeight="1" spans="1:4">
      <c r="A212" s="27">
        <v>35</v>
      </c>
      <c r="B212" s="351" t="s">
        <v>356</v>
      </c>
      <c r="C212" s="15" t="s">
        <v>111</v>
      </c>
      <c r="D212" s="747">
        <v>294900.833333334</v>
      </c>
    </row>
    <row r="213" ht="25" customHeight="1" spans="1:4">
      <c r="A213" s="27">
        <v>36</v>
      </c>
      <c r="B213" s="351" t="s">
        <v>357</v>
      </c>
      <c r="C213" s="15" t="s">
        <v>275</v>
      </c>
      <c r="D213" s="747">
        <v>287890.916666667</v>
      </c>
    </row>
    <row r="214" ht="25" customHeight="1" spans="1:4">
      <c r="A214" s="27">
        <v>37</v>
      </c>
      <c r="B214" s="351" t="s">
        <v>358</v>
      </c>
      <c r="C214" s="15" t="s">
        <v>275</v>
      </c>
      <c r="D214" s="747">
        <v>287890.916666667</v>
      </c>
    </row>
    <row r="215" ht="25" customHeight="1" spans="1:4">
      <c r="A215" s="27">
        <v>38</v>
      </c>
      <c r="B215" s="651" t="s">
        <v>359</v>
      </c>
      <c r="C215" s="15" t="s">
        <v>361</v>
      </c>
      <c r="D215" s="1019">
        <v>255667.083333333</v>
      </c>
    </row>
    <row r="216" ht="25" customHeight="1" spans="1:4">
      <c r="A216" s="27">
        <v>39</v>
      </c>
      <c r="B216" s="651" t="s">
        <v>362</v>
      </c>
      <c r="C216" s="15" t="s">
        <v>361</v>
      </c>
      <c r="D216" s="1019">
        <v>255667.083333333</v>
      </c>
    </row>
    <row r="217" ht="25" customHeight="1" spans="1:4">
      <c r="A217" s="27">
        <v>40</v>
      </c>
      <c r="B217" s="651" t="s">
        <v>363</v>
      </c>
      <c r="C217" s="15" t="s">
        <v>361</v>
      </c>
      <c r="D217" s="1019">
        <v>255667.083333333</v>
      </c>
    </row>
    <row r="218" ht="25" customHeight="1" spans="1:4">
      <c r="A218" s="27">
        <v>41</v>
      </c>
      <c r="B218" s="651" t="s">
        <v>364</v>
      </c>
      <c r="C218" s="15" t="s">
        <v>361</v>
      </c>
      <c r="D218" s="1019">
        <v>255667.083333333</v>
      </c>
    </row>
    <row r="219" ht="25" customHeight="1" spans="1:4">
      <c r="A219" s="27">
        <v>42</v>
      </c>
      <c r="B219" s="651" t="s">
        <v>365</v>
      </c>
      <c r="C219" s="15" t="s">
        <v>366</v>
      </c>
      <c r="D219" s="1019">
        <v>249683.75</v>
      </c>
    </row>
    <row r="220" ht="25" customHeight="1" spans="1:4">
      <c r="A220" s="27">
        <v>43</v>
      </c>
      <c r="B220" s="651" t="s">
        <v>367</v>
      </c>
      <c r="C220" s="15" t="s">
        <v>366</v>
      </c>
      <c r="D220" s="1019">
        <v>249683.75</v>
      </c>
    </row>
    <row r="221" ht="25" customHeight="1" spans="1:4">
      <c r="A221" s="27">
        <v>44</v>
      </c>
      <c r="B221" s="643" t="s">
        <v>368</v>
      </c>
      <c r="C221" s="15" t="s">
        <v>366</v>
      </c>
      <c r="D221" s="1019">
        <v>249683.75</v>
      </c>
    </row>
    <row r="222" ht="25" customHeight="1" spans="1:4">
      <c r="A222" s="27">
        <v>45</v>
      </c>
      <c r="B222" s="651" t="s">
        <v>369</v>
      </c>
      <c r="C222" s="15" t="s">
        <v>366</v>
      </c>
      <c r="D222" s="1019">
        <v>249683.75</v>
      </c>
    </row>
    <row r="223" ht="25" customHeight="1" spans="1:4">
      <c r="A223" s="27">
        <v>46</v>
      </c>
      <c r="B223" s="351" t="s">
        <v>370</v>
      </c>
      <c r="C223" s="15" t="s">
        <v>366</v>
      </c>
      <c r="D223" s="1019">
        <v>249683.75</v>
      </c>
    </row>
    <row r="224" ht="25" customHeight="1" spans="1:4">
      <c r="A224" s="27">
        <v>47</v>
      </c>
      <c r="B224" s="651" t="s">
        <v>371</v>
      </c>
      <c r="C224" s="15" t="s">
        <v>372</v>
      </c>
      <c r="D224" s="747">
        <v>237717.166666667</v>
      </c>
    </row>
    <row r="225" ht="25" customHeight="1" spans="1:4">
      <c r="A225" s="27">
        <v>48</v>
      </c>
      <c r="B225" s="651" t="s">
        <v>373</v>
      </c>
      <c r="C225" s="15" t="s">
        <v>372</v>
      </c>
      <c r="D225" s="747">
        <v>237717.166666667</v>
      </c>
    </row>
    <row r="226" ht="25" customHeight="1" spans="1:4">
      <c r="A226" s="27">
        <v>49</v>
      </c>
      <c r="B226" s="351" t="s">
        <v>374</v>
      </c>
      <c r="C226" s="15" t="s">
        <v>375</v>
      </c>
      <c r="D226" s="747">
        <v>243700.416666667</v>
      </c>
    </row>
    <row r="227" ht="25" customHeight="1" spans="1:4">
      <c r="A227" s="27">
        <v>50</v>
      </c>
      <c r="B227" s="651" t="s">
        <v>376</v>
      </c>
      <c r="C227" s="15" t="s">
        <v>377</v>
      </c>
      <c r="D227" s="747">
        <v>225750.583333333</v>
      </c>
    </row>
    <row r="228" ht="25" customHeight="1" spans="1:4">
      <c r="A228" s="27">
        <v>51</v>
      </c>
      <c r="B228" s="651" t="s">
        <v>378</v>
      </c>
      <c r="C228" s="15" t="s">
        <v>377</v>
      </c>
      <c r="D228" s="747">
        <v>225750.583333333</v>
      </c>
    </row>
    <row r="229" ht="25" customHeight="1" spans="1:4">
      <c r="A229" s="27">
        <v>52</v>
      </c>
      <c r="B229" s="651" t="s">
        <v>379</v>
      </c>
      <c r="C229" s="15" t="s">
        <v>377</v>
      </c>
      <c r="D229" s="747">
        <v>225750.583333333</v>
      </c>
    </row>
    <row r="230" ht="25" customHeight="1" spans="1:4">
      <c r="A230" s="27">
        <v>53</v>
      </c>
      <c r="B230" s="651" t="s">
        <v>380</v>
      </c>
      <c r="C230" s="15" t="s">
        <v>377</v>
      </c>
      <c r="D230" s="747">
        <v>225750.583333333</v>
      </c>
    </row>
    <row r="231" ht="25" customHeight="1" spans="1:4">
      <c r="A231" s="27">
        <v>54</v>
      </c>
      <c r="B231" s="651" t="s">
        <v>381</v>
      </c>
      <c r="C231" s="15" t="s">
        <v>377</v>
      </c>
      <c r="D231" s="747">
        <v>225750.583333333</v>
      </c>
    </row>
    <row r="232" ht="25" customHeight="1" spans="1:4">
      <c r="A232" s="27">
        <v>55</v>
      </c>
      <c r="B232" s="651" t="s">
        <v>382</v>
      </c>
      <c r="C232" s="15" t="s">
        <v>377</v>
      </c>
      <c r="D232" s="747">
        <v>225750.583333333</v>
      </c>
    </row>
    <row r="233" ht="25" customHeight="1" spans="1:4">
      <c r="A233" s="27">
        <v>56</v>
      </c>
      <c r="B233" s="351" t="s">
        <v>383</v>
      </c>
      <c r="C233" s="15" t="s">
        <v>384</v>
      </c>
      <c r="D233" s="747">
        <v>231733.833333334</v>
      </c>
    </row>
    <row r="234" ht="25" customHeight="1" spans="1:4">
      <c r="A234" s="27">
        <v>57</v>
      </c>
      <c r="B234" s="351" t="s">
        <v>385</v>
      </c>
      <c r="C234" s="15" t="s">
        <v>388</v>
      </c>
      <c r="D234" s="747">
        <v>149217.75</v>
      </c>
    </row>
    <row r="235" ht="25" customHeight="1" spans="1:4">
      <c r="A235" s="27">
        <v>58</v>
      </c>
      <c r="B235" s="651" t="s">
        <v>386</v>
      </c>
      <c r="C235" s="15" t="s">
        <v>388</v>
      </c>
      <c r="D235" s="747">
        <v>149217.75</v>
      </c>
    </row>
    <row r="236" ht="25" customHeight="1" spans="1:4">
      <c r="A236" s="27">
        <v>59</v>
      </c>
      <c r="B236" s="351" t="s">
        <v>389</v>
      </c>
      <c r="C236" s="15" t="s">
        <v>391</v>
      </c>
      <c r="D236" s="747">
        <v>140634.666666667</v>
      </c>
    </row>
    <row r="237" ht="25" customHeight="1" spans="1:4">
      <c r="A237" s="27">
        <v>60</v>
      </c>
      <c r="B237" s="351" t="s">
        <v>392</v>
      </c>
      <c r="C237" s="15" t="s">
        <v>393</v>
      </c>
      <c r="D237" s="747">
        <v>137773.5</v>
      </c>
    </row>
    <row r="238" ht="25" customHeight="1" spans="1:4">
      <c r="A238" s="27">
        <v>61</v>
      </c>
      <c r="B238" s="351" t="s">
        <v>394</v>
      </c>
      <c r="C238" s="15" t="s">
        <v>395</v>
      </c>
      <c r="D238" s="747">
        <v>134912.666666667</v>
      </c>
    </row>
    <row r="239" ht="25" customHeight="1" spans="1:4">
      <c r="A239" s="27">
        <v>62</v>
      </c>
      <c r="B239" s="351" t="s">
        <v>396</v>
      </c>
      <c r="C239" s="15" t="s">
        <v>398</v>
      </c>
      <c r="D239" s="747">
        <v>131512.166666667</v>
      </c>
    </row>
    <row r="240" ht="25" customHeight="1" spans="1:4">
      <c r="A240" s="27">
        <v>63</v>
      </c>
      <c r="B240" s="351" t="s">
        <v>399</v>
      </c>
      <c r="C240" s="15" t="s">
        <v>398</v>
      </c>
      <c r="D240" s="747">
        <v>131512.166666667</v>
      </c>
    </row>
    <row r="241" ht="25" customHeight="1" spans="1:4">
      <c r="A241" s="27">
        <v>64</v>
      </c>
      <c r="B241" s="351" t="s">
        <v>400</v>
      </c>
      <c r="C241" s="15" t="s">
        <v>398</v>
      </c>
      <c r="D241" s="747">
        <v>131512.166666667</v>
      </c>
    </row>
    <row r="242" ht="25" customHeight="1" spans="1:4">
      <c r="A242" s="27">
        <v>65</v>
      </c>
      <c r="B242" s="351" t="s">
        <v>401</v>
      </c>
      <c r="C242" s="15" t="s">
        <v>403</v>
      </c>
      <c r="D242" s="747">
        <v>143495.666666667</v>
      </c>
    </row>
    <row r="243" ht="25" customHeight="1" spans="1:4">
      <c r="A243" s="27">
        <v>66</v>
      </c>
      <c r="B243" s="351" t="s">
        <v>404</v>
      </c>
      <c r="C243" s="15" t="s">
        <v>403</v>
      </c>
      <c r="D243" s="747">
        <v>143495.666666667</v>
      </c>
    </row>
    <row r="244" ht="25" customHeight="1" spans="1:4">
      <c r="A244" s="27"/>
      <c r="B244" s="8" t="s">
        <v>120</v>
      </c>
      <c r="C244" s="29"/>
      <c r="D244" s="875">
        <f>SUM(D178:D243)</f>
        <v>22965501.0833333</v>
      </c>
    </row>
    <row r="245" ht="25" customHeight="1" spans="1:4">
      <c r="A245" s="4"/>
      <c r="B245" s="30" t="s">
        <v>406</v>
      </c>
      <c r="C245" s="32"/>
      <c r="D245" s="1020">
        <f>D244+D175+D160+D152+D141+D127+D117+D101+D87+D73+D68+D53+D43</f>
        <v>101466028.833333</v>
      </c>
    </row>
  </sheetData>
  <pageMargins left="0.75" right="0.75" top="1" bottom="1" header="0.5" footer="0.5"/>
  <pageSetup paperSize="256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view="pageBreakPreview" zoomScaleNormal="100" workbookViewId="0">
      <selection activeCell="K6" sqref="K6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546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674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998"/>
      <c r="J3" s="998"/>
      <c r="K3" s="998"/>
    </row>
    <row r="4" ht="41" customHeight="1" spans="1:11">
      <c r="A4" s="754" t="s">
        <v>548</v>
      </c>
      <c r="B4" s="990" t="s">
        <v>549</v>
      </c>
      <c r="C4" s="990" t="s">
        <v>550</v>
      </c>
      <c r="D4" s="990" t="s">
        <v>551</v>
      </c>
      <c r="E4" s="990" t="s">
        <v>552</v>
      </c>
      <c r="F4" s="990" t="s">
        <v>675</v>
      </c>
      <c r="G4" s="990" t="s">
        <v>676</v>
      </c>
      <c r="H4" s="990" t="s">
        <v>555</v>
      </c>
      <c r="I4" s="990" t="s">
        <v>556</v>
      </c>
      <c r="J4" s="990" t="s">
        <v>557</v>
      </c>
      <c r="K4" s="990" t="s">
        <v>558</v>
      </c>
    </row>
    <row r="5" ht="14" spans="1:11">
      <c r="A5" s="754"/>
      <c r="B5" s="999"/>
      <c r="C5" s="1000"/>
      <c r="D5" s="1000"/>
      <c r="E5" s="1000"/>
      <c r="F5" s="1001" t="s">
        <v>21</v>
      </c>
      <c r="G5" s="1001" t="s">
        <v>21</v>
      </c>
      <c r="H5" s="1001" t="s">
        <v>21</v>
      </c>
      <c r="I5" s="1001"/>
      <c r="J5" s="1001"/>
      <c r="K5" s="1001" t="s">
        <v>21</v>
      </c>
    </row>
    <row r="6" ht="30" customHeight="1" spans="1:11">
      <c r="A6" s="760">
        <v>13</v>
      </c>
      <c r="B6" s="1002" t="s">
        <v>677</v>
      </c>
      <c r="C6" s="1003" t="s">
        <v>678</v>
      </c>
      <c r="D6" s="1008" t="s">
        <v>679</v>
      </c>
      <c r="E6" s="1002" t="s">
        <v>680</v>
      </c>
      <c r="F6" s="1005">
        <v>415320.666666667</v>
      </c>
      <c r="G6" s="1005">
        <v>432145.333333333</v>
      </c>
      <c r="H6" s="1005">
        <f>G6-F6</f>
        <v>16824.666666666</v>
      </c>
      <c r="I6" s="1003" t="s">
        <v>681</v>
      </c>
      <c r="J6" s="1006">
        <v>4</v>
      </c>
      <c r="K6" s="1005">
        <f>J6*H6</f>
        <v>67298.6666666642</v>
      </c>
    </row>
    <row r="7" ht="22" customHeight="1" spans="1:11">
      <c r="A7" s="1007"/>
      <c r="B7" s="1007" t="s">
        <v>120</v>
      </c>
      <c r="C7" s="1007"/>
      <c r="D7" s="1007"/>
      <c r="E7" s="1007"/>
      <c r="F7" s="1005"/>
      <c r="G7" s="1005"/>
      <c r="H7" s="1009">
        <f>SUM(H6:H6)</f>
        <v>16824.666666666</v>
      </c>
      <c r="I7" s="1007"/>
      <c r="J7" s="1010"/>
      <c r="K7" s="1011">
        <f>SUM(K6:K6)</f>
        <v>67298.6666666642</v>
      </c>
    </row>
    <row r="8" ht="14" spans="1:11">
      <c r="A8" s="1012"/>
      <c r="B8" s="1012"/>
      <c r="C8" s="1012"/>
      <c r="D8" s="1012"/>
      <c r="E8" s="1012"/>
      <c r="F8" s="1012"/>
      <c r="G8" s="1012"/>
      <c r="H8" s="1012"/>
      <c r="I8" s="1012"/>
      <c r="J8" s="1012"/>
      <c r="K8" s="1012"/>
    </row>
    <row r="9" ht="14" spans="1:11">
      <c r="A9" s="1012"/>
      <c r="B9" s="1012"/>
      <c r="C9" s="1012"/>
      <c r="D9" s="1012"/>
      <c r="E9" s="1012"/>
      <c r="F9" s="1012"/>
      <c r="G9" s="1012"/>
      <c r="H9" s="1012"/>
      <c r="I9" s="1012"/>
      <c r="J9" s="1012"/>
      <c r="K9" s="1012"/>
    </row>
    <row r="10" ht="14" spans="1:11">
      <c r="A10" s="1012"/>
      <c r="B10" s="1012"/>
      <c r="C10" s="1012"/>
      <c r="D10" s="1012"/>
      <c r="E10" s="1012"/>
      <c r="F10" s="1012"/>
      <c r="G10" s="1012"/>
      <c r="H10" s="1012"/>
      <c r="I10" s="1012"/>
      <c r="J10" s="1012"/>
      <c r="K10" s="1012"/>
    </row>
    <row r="11" ht="14" spans="1:11">
      <c r="A11" s="1012"/>
      <c r="B11" s="1012"/>
      <c r="C11" s="1012"/>
      <c r="D11" s="1012"/>
      <c r="E11" s="1012"/>
      <c r="F11" s="1012"/>
      <c r="G11" s="1012"/>
      <c r="H11" s="1012"/>
      <c r="I11" s="1012"/>
      <c r="J11" s="1012"/>
      <c r="K11" s="1012"/>
    </row>
    <row r="12" ht="14" spans="1:11">
      <c r="A12" s="1012"/>
      <c r="B12" s="1012"/>
      <c r="C12" s="1012"/>
      <c r="D12" s="1012"/>
      <c r="E12" s="1012"/>
      <c r="F12" s="1012"/>
      <c r="G12" s="1012"/>
      <c r="H12" s="1012"/>
      <c r="I12" s="1012"/>
      <c r="J12" s="1012"/>
      <c r="K12" s="1012"/>
    </row>
    <row r="13" ht="14" spans="1:11">
      <c r="A13" s="1012"/>
      <c r="B13" s="1012"/>
      <c r="C13" s="1012"/>
      <c r="D13" s="1012"/>
      <c r="E13" s="1012"/>
      <c r="F13" s="1012"/>
      <c r="G13" s="1012"/>
      <c r="H13" s="1012"/>
      <c r="I13" s="1012"/>
      <c r="J13" s="1012"/>
      <c r="K13" s="1012"/>
    </row>
    <row r="14" ht="14" spans="1:11">
      <c r="A14" s="1012"/>
      <c r="B14" s="1012"/>
      <c r="C14" s="1012"/>
      <c r="D14" s="1012"/>
      <c r="E14" s="1012"/>
      <c r="F14" s="1012"/>
      <c r="G14" s="1012"/>
      <c r="H14" s="1012"/>
      <c r="I14" s="1012"/>
      <c r="J14" s="1012"/>
      <c r="K14" s="1012"/>
    </row>
    <row r="15" ht="14" spans="1:11">
      <c r="A15" s="1012"/>
      <c r="B15" s="1012"/>
      <c r="C15" s="1012"/>
      <c r="D15" s="1012"/>
      <c r="E15" s="1012"/>
      <c r="F15" s="1012"/>
      <c r="G15" s="1012"/>
      <c r="H15" s="1012"/>
      <c r="I15" s="1012"/>
      <c r="J15" s="1012"/>
      <c r="K15" s="1012"/>
    </row>
    <row r="16" ht="14" spans="1:11">
      <c r="A16" s="1012"/>
      <c r="B16" s="1012"/>
      <c r="C16" s="1012"/>
      <c r="D16" s="1012"/>
      <c r="E16" s="1012"/>
      <c r="F16" s="1012"/>
      <c r="G16" s="1012"/>
      <c r="H16" s="1012"/>
      <c r="I16" s="1012"/>
      <c r="J16" s="1012"/>
      <c r="K16" s="1012"/>
    </row>
    <row r="17" ht="14" spans="1:11">
      <c r="A17" s="1012"/>
      <c r="B17" s="1012"/>
      <c r="C17" s="1012"/>
      <c r="D17" s="1012"/>
      <c r="E17" s="1012"/>
      <c r="F17" s="1012"/>
      <c r="G17" s="1012"/>
      <c r="H17" s="1012"/>
      <c r="I17" s="1012"/>
      <c r="J17" s="1012"/>
      <c r="K17" s="1012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2"/>
  <sheetViews>
    <sheetView zoomScale="90" zoomScaleNormal="90" zoomScaleSheetLayoutView="50" workbookViewId="0">
      <pane xSplit="3" ySplit="7" topLeftCell="D178" activePane="bottomRight" state="frozen"/>
      <selection/>
      <selection pane="topRight"/>
      <selection pane="bottomLeft"/>
      <selection pane="bottomRight" activeCell="E6" sqref="E6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682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809" t="s">
        <v>484</v>
      </c>
    </row>
    <row r="5" ht="8" customHeight="1" spans="1:5">
      <c r="C5" s="8"/>
      <c r="D5" s="8"/>
    </row>
    <row r="6" customHeight="1" spans="1:5">
      <c r="A6" s="9" t="s">
        <v>22</v>
      </c>
      <c r="B6" s="8" t="s">
        <v>23</v>
      </c>
      <c r="C6" s="8"/>
      <c r="D6" s="8"/>
      <c r="E6" s="810" t="s">
        <v>21</v>
      </c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11">
        <v>648000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11">
        <v>216000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11">
        <v>216000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11">
        <v>216000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210</v>
      </c>
      <c r="E11" s="811">
        <v>216000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50</v>
      </c>
      <c r="E12" s="811">
        <v>151200</v>
      </c>
    </row>
    <row r="13" customHeight="1" spans="1:5">
      <c r="A13" s="10">
        <v>7</v>
      </c>
      <c r="B13" s="11" t="s">
        <v>40</v>
      </c>
      <c r="C13" s="4" t="s">
        <v>41</v>
      </c>
      <c r="D13" s="15" t="s">
        <v>42</v>
      </c>
      <c r="E13" s="811">
        <v>151200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50</v>
      </c>
      <c r="E14" s="811">
        <v>151200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214</v>
      </c>
      <c r="E15" s="811">
        <v>108000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42</v>
      </c>
      <c r="E16" s="811">
        <v>151200</v>
      </c>
    </row>
    <row r="17" customHeight="1" spans="1:5">
      <c r="A17" s="10">
        <v>11</v>
      </c>
      <c r="B17" s="11" t="s">
        <v>51</v>
      </c>
      <c r="C17" s="12" t="s">
        <v>52</v>
      </c>
      <c r="D17" s="10" t="s">
        <v>600</v>
      </c>
      <c r="E17" s="811">
        <v>108000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601</v>
      </c>
      <c r="E18" s="811">
        <v>108000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602</v>
      </c>
      <c r="E19" s="811">
        <v>108000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602</v>
      </c>
      <c r="E20" s="811">
        <v>108000</v>
      </c>
    </row>
    <row r="21" customHeight="1" spans="1:5">
      <c r="A21" s="10">
        <v>15</v>
      </c>
      <c r="B21" s="11" t="s">
        <v>62</v>
      </c>
      <c r="C21" s="12" t="s">
        <v>63</v>
      </c>
      <c r="D21" s="15" t="s">
        <v>67</v>
      </c>
      <c r="E21" s="811">
        <v>108000</v>
      </c>
    </row>
    <row r="22" ht="18.75" customHeight="1" spans="1:5">
      <c r="A22" s="10">
        <v>16</v>
      </c>
      <c r="B22" s="11" t="s">
        <v>65</v>
      </c>
      <c r="C22" s="4" t="s">
        <v>66</v>
      </c>
      <c r="D22" s="15" t="s">
        <v>67</v>
      </c>
      <c r="E22" s="811">
        <v>108000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131</v>
      </c>
      <c r="E23" s="811">
        <v>81600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131</v>
      </c>
      <c r="E24" s="811">
        <v>81600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811">
        <v>81600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75</v>
      </c>
      <c r="E26" s="811">
        <v>81600</v>
      </c>
    </row>
    <row r="27" ht="18.75" customHeight="1" spans="1:5">
      <c r="A27" s="10">
        <v>21</v>
      </c>
      <c r="B27" s="18" t="s">
        <v>79</v>
      </c>
      <c r="C27" s="12" t="s">
        <v>80</v>
      </c>
      <c r="D27" s="15" t="s">
        <v>81</v>
      </c>
      <c r="E27" s="811">
        <v>81600</v>
      </c>
    </row>
    <row r="28" customHeight="1" spans="1:5">
      <c r="A28" s="10">
        <v>22</v>
      </c>
      <c r="B28" s="11" t="s">
        <v>82</v>
      </c>
      <c r="C28" s="4" t="s">
        <v>83</v>
      </c>
      <c r="D28" s="15" t="s">
        <v>81</v>
      </c>
      <c r="E28" s="811">
        <v>81600</v>
      </c>
    </row>
    <row r="29" ht="18.75" customHeight="1" spans="1:5">
      <c r="A29" s="10">
        <v>23</v>
      </c>
      <c r="B29" s="18" t="s">
        <v>84</v>
      </c>
      <c r="C29" s="12" t="s">
        <v>85</v>
      </c>
      <c r="D29" s="15" t="s">
        <v>86</v>
      </c>
      <c r="E29" s="811">
        <v>64800</v>
      </c>
    </row>
    <row r="30" ht="18.75" customHeight="1" spans="1:5">
      <c r="A30" s="10">
        <v>24</v>
      </c>
      <c r="B30" s="18" t="s">
        <v>87</v>
      </c>
      <c r="C30" s="4" t="s">
        <v>88</v>
      </c>
      <c r="D30" s="10" t="s">
        <v>99</v>
      </c>
      <c r="E30" s="811">
        <v>64800</v>
      </c>
    </row>
    <row r="31" ht="18.75" customHeight="1" spans="1:5">
      <c r="A31" s="10">
        <v>25</v>
      </c>
      <c r="B31" s="18" t="s">
        <v>89</v>
      </c>
      <c r="C31" s="4" t="s">
        <v>90</v>
      </c>
      <c r="D31" s="15" t="s">
        <v>81</v>
      </c>
      <c r="E31" s="811">
        <v>81600</v>
      </c>
    </row>
    <row r="32" ht="18.75" customHeight="1" spans="1:5">
      <c r="A32" s="10">
        <v>26</v>
      </c>
      <c r="B32" s="18" t="s">
        <v>91</v>
      </c>
      <c r="C32" s="4" t="s">
        <v>92</v>
      </c>
      <c r="D32" s="15" t="s">
        <v>81</v>
      </c>
      <c r="E32" s="811">
        <v>81600</v>
      </c>
    </row>
    <row r="33" ht="18.75" customHeight="1" spans="1:5">
      <c r="A33" s="10">
        <v>27</v>
      </c>
      <c r="B33" s="18" t="s">
        <v>93</v>
      </c>
      <c r="C33" s="4" t="s">
        <v>94</v>
      </c>
      <c r="D33" s="10" t="s">
        <v>99</v>
      </c>
      <c r="E33" s="811">
        <v>64800</v>
      </c>
    </row>
    <row r="34" ht="18.75" customHeight="1" spans="1:5">
      <c r="A34" s="10">
        <v>28</v>
      </c>
      <c r="B34" s="18" t="s">
        <v>95</v>
      </c>
      <c r="C34" s="4" t="s">
        <v>96</v>
      </c>
      <c r="D34" s="15" t="s">
        <v>81</v>
      </c>
      <c r="E34" s="811">
        <v>81600</v>
      </c>
    </row>
    <row r="35" s="1" customFormat="1" ht="18.75" customHeight="1" spans="1:5">
      <c r="A35" s="10">
        <v>29</v>
      </c>
      <c r="B35" s="18" t="s">
        <v>97</v>
      </c>
      <c r="C35" s="4" t="s">
        <v>98</v>
      </c>
      <c r="D35" s="10" t="s">
        <v>225</v>
      </c>
      <c r="E35" s="811">
        <v>64800</v>
      </c>
    </row>
    <row r="36" s="1" customFormat="1" ht="18.75" customHeight="1" spans="1:5">
      <c r="A36" s="10">
        <v>30</v>
      </c>
      <c r="B36" s="18" t="s">
        <v>100</v>
      </c>
      <c r="C36" s="4" t="s">
        <v>98</v>
      </c>
      <c r="D36" s="10" t="s">
        <v>225</v>
      </c>
      <c r="E36" s="811">
        <v>64800</v>
      </c>
    </row>
    <row r="37" s="1" customFormat="1" ht="18.75" customHeight="1" spans="1:5">
      <c r="A37" s="10">
        <v>31</v>
      </c>
      <c r="B37" s="18" t="s">
        <v>101</v>
      </c>
      <c r="C37" s="4" t="s">
        <v>85</v>
      </c>
      <c r="D37" s="10" t="s">
        <v>225</v>
      </c>
      <c r="E37" s="811">
        <v>64800</v>
      </c>
    </row>
    <row r="38" s="1" customFormat="1" ht="18.75" customHeight="1" spans="1:5">
      <c r="A38" s="10">
        <v>32</v>
      </c>
      <c r="B38" s="18" t="s">
        <v>102</v>
      </c>
      <c r="C38" s="4" t="s">
        <v>94</v>
      </c>
      <c r="D38" s="10" t="s">
        <v>225</v>
      </c>
      <c r="E38" s="811">
        <v>64800</v>
      </c>
    </row>
    <row r="39" ht="18.75" customHeight="1" spans="1:5">
      <c r="A39" s="10">
        <v>33</v>
      </c>
      <c r="B39" s="18" t="s">
        <v>103</v>
      </c>
      <c r="C39" s="12" t="s">
        <v>104</v>
      </c>
      <c r="D39" s="15" t="s">
        <v>108</v>
      </c>
      <c r="E39" s="811">
        <v>64800</v>
      </c>
    </row>
    <row r="40" ht="18.75" customHeight="1" spans="1:5">
      <c r="A40" s="10">
        <v>34</v>
      </c>
      <c r="B40" s="18" t="s">
        <v>106</v>
      </c>
      <c r="C40" s="12" t="s">
        <v>107</v>
      </c>
      <c r="D40" s="15" t="s">
        <v>111</v>
      </c>
      <c r="E40" s="813">
        <v>64800</v>
      </c>
    </row>
    <row r="41" s="1" customFormat="1" customHeight="1" spans="1:5">
      <c r="A41" s="10">
        <v>35</v>
      </c>
      <c r="B41" s="18" t="s">
        <v>109</v>
      </c>
      <c r="C41" s="12" t="s">
        <v>110</v>
      </c>
      <c r="D41" s="15" t="s">
        <v>275</v>
      </c>
      <c r="E41" s="811">
        <v>64800</v>
      </c>
    </row>
    <row r="42" s="1" customFormat="1" customHeight="1" spans="1:5">
      <c r="A42" s="10">
        <v>36</v>
      </c>
      <c r="B42" s="18" t="s">
        <v>112</v>
      </c>
      <c r="C42" s="12" t="s">
        <v>113</v>
      </c>
      <c r="D42" s="15" t="s">
        <v>275</v>
      </c>
      <c r="E42" s="811">
        <v>64800</v>
      </c>
    </row>
    <row r="43" s="1" customFormat="1" customHeight="1" spans="1:5">
      <c r="A43" s="10">
        <v>37</v>
      </c>
      <c r="B43" s="18" t="s">
        <v>114</v>
      </c>
      <c r="C43" s="12" t="s">
        <v>113</v>
      </c>
      <c r="D43" s="15" t="s">
        <v>275</v>
      </c>
      <c r="E43" s="811">
        <v>64800</v>
      </c>
    </row>
    <row r="44" s="1" customFormat="1" customHeight="1" spans="1:5">
      <c r="A44" s="10">
        <v>38</v>
      </c>
      <c r="B44" s="18" t="s">
        <v>115</v>
      </c>
      <c r="C44" s="12" t="s">
        <v>116</v>
      </c>
      <c r="D44" s="15" t="s">
        <v>275</v>
      </c>
      <c r="E44" s="811">
        <v>64800</v>
      </c>
    </row>
    <row r="45" s="1" customFormat="1" customHeight="1" spans="1:5">
      <c r="A45" s="10">
        <v>39</v>
      </c>
      <c r="B45" s="18" t="s">
        <v>117</v>
      </c>
      <c r="C45" s="12" t="s">
        <v>113</v>
      </c>
      <c r="D45" s="15" t="s">
        <v>275</v>
      </c>
      <c r="E45" s="811">
        <v>64800</v>
      </c>
    </row>
    <row r="46" s="1" customFormat="1" customHeight="1" spans="1:5">
      <c r="A46" s="10">
        <v>40</v>
      </c>
      <c r="B46" s="18" t="s">
        <v>118</v>
      </c>
      <c r="C46" s="12" t="s">
        <v>119</v>
      </c>
      <c r="D46" s="15" t="s">
        <v>275</v>
      </c>
      <c r="E46" s="811">
        <v>64800</v>
      </c>
    </row>
    <row r="47" ht="26.25" customHeight="1" spans="1:5">
      <c r="A47" s="10"/>
      <c r="B47" s="20" t="s">
        <v>120</v>
      </c>
      <c r="C47" s="21">
        <v>40</v>
      </c>
      <c r="D47" s="15"/>
      <c r="E47" s="812">
        <f>SUM(E7:E46)</f>
        <v>4579200</v>
      </c>
    </row>
    <row r="48" ht="18.75" customHeight="1" spans="1:5">
      <c r="A48" s="10"/>
      <c r="B48" s="22"/>
      <c r="C48" s="4"/>
      <c r="D48" s="15"/>
      <c r="E48" s="812"/>
    </row>
    <row r="49" ht="18.75" customHeight="1" spans="1:5">
      <c r="A49" s="10"/>
      <c r="B49" s="20" t="s">
        <v>121</v>
      </c>
      <c r="C49" s="4"/>
      <c r="D49" s="15"/>
      <c r="E49" s="811"/>
    </row>
    <row r="50" ht="18.75" customHeight="1" spans="1:5">
      <c r="A50" s="10">
        <v>1</v>
      </c>
      <c r="B50" s="18" t="s">
        <v>122</v>
      </c>
      <c r="C50" s="4" t="s">
        <v>123</v>
      </c>
      <c r="D50" s="10" t="s">
        <v>124</v>
      </c>
      <c r="E50" s="811">
        <v>324000</v>
      </c>
    </row>
    <row r="51" customHeight="1" spans="1:5">
      <c r="A51" s="10">
        <v>2</v>
      </c>
      <c r="B51" s="11" t="s">
        <v>125</v>
      </c>
      <c r="C51" s="12" t="s">
        <v>126</v>
      </c>
      <c r="D51" s="15" t="s">
        <v>42</v>
      </c>
      <c r="E51" s="811">
        <v>151200</v>
      </c>
    </row>
    <row r="52" ht="18.75" customHeight="1" spans="1:5">
      <c r="A52" s="10">
        <v>3</v>
      </c>
      <c r="B52" s="18" t="s">
        <v>127</v>
      </c>
      <c r="C52" s="4" t="s">
        <v>128</v>
      </c>
      <c r="D52" s="10" t="s">
        <v>75</v>
      </c>
      <c r="E52" s="811">
        <v>81600</v>
      </c>
    </row>
    <row r="53" ht="18.75" customHeight="1" spans="1:5">
      <c r="A53" s="10">
        <v>4</v>
      </c>
      <c r="B53" s="11" t="s">
        <v>129</v>
      </c>
      <c r="C53" s="4" t="s">
        <v>130</v>
      </c>
      <c r="D53" s="15" t="s">
        <v>180</v>
      </c>
      <c r="E53" s="811">
        <v>81600</v>
      </c>
    </row>
    <row r="54" s="1" customFormat="1" customHeight="1" spans="1:5">
      <c r="A54" s="10">
        <v>5</v>
      </c>
      <c r="B54" s="18" t="s">
        <v>132</v>
      </c>
      <c r="C54" s="4" t="s">
        <v>128</v>
      </c>
      <c r="D54" s="15" t="s">
        <v>225</v>
      </c>
      <c r="E54" s="811">
        <v>64800</v>
      </c>
    </row>
    <row r="55" ht="18.75" customHeight="1" spans="1:5">
      <c r="A55" s="10">
        <v>6</v>
      </c>
      <c r="B55" s="11" t="s">
        <v>133</v>
      </c>
      <c r="C55" s="4" t="s">
        <v>134</v>
      </c>
      <c r="D55" s="15" t="s">
        <v>99</v>
      </c>
      <c r="E55" s="811">
        <v>64800</v>
      </c>
    </row>
    <row r="56" s="1" customFormat="1" customHeight="1" spans="1:5">
      <c r="A56" s="10">
        <v>7</v>
      </c>
      <c r="B56" s="18" t="s">
        <v>135</v>
      </c>
      <c r="C56" s="12" t="s">
        <v>136</v>
      </c>
      <c r="D56" s="15" t="s">
        <v>275</v>
      </c>
      <c r="E56" s="811">
        <v>64800</v>
      </c>
    </row>
    <row r="57" ht="19.5" customHeight="1" spans="1:5">
      <c r="A57" s="10"/>
      <c r="B57" s="14"/>
      <c r="C57" s="21">
        <v>7</v>
      </c>
      <c r="D57" s="10"/>
      <c r="E57" s="812">
        <f>SUM(E50:E56)</f>
        <v>832800</v>
      </c>
    </row>
    <row r="58" customHeight="1" spans="1:5">
      <c r="A58" s="10"/>
      <c r="B58" s="14"/>
      <c r="C58" s="4"/>
      <c r="D58" s="10"/>
      <c r="E58" s="812"/>
    </row>
    <row r="59" customHeight="1" spans="1:5">
      <c r="A59" s="10"/>
      <c r="B59" s="23" t="s">
        <v>137</v>
      </c>
      <c r="C59" s="5"/>
      <c r="D59" s="24"/>
      <c r="E59" s="812"/>
    </row>
    <row r="60" customHeight="1" spans="1:5">
      <c r="A60" s="10">
        <v>1</v>
      </c>
      <c r="B60" s="11" t="s">
        <v>138</v>
      </c>
      <c r="C60" s="4" t="s">
        <v>139</v>
      </c>
      <c r="D60" s="10" t="s">
        <v>304</v>
      </c>
      <c r="E60" s="811">
        <v>324000</v>
      </c>
    </row>
    <row r="61" customHeight="1" spans="1:5">
      <c r="A61" s="10">
        <v>2</v>
      </c>
      <c r="B61" s="11" t="s">
        <v>141</v>
      </c>
      <c r="C61" s="4" t="s">
        <v>145</v>
      </c>
      <c r="D61" s="10" t="s">
        <v>39</v>
      </c>
      <c r="E61" s="811">
        <v>151200</v>
      </c>
    </row>
    <row r="62" customHeight="1" spans="1:5">
      <c r="A62" s="10">
        <v>3</v>
      </c>
      <c r="B62" s="11" t="s">
        <v>144</v>
      </c>
      <c r="C62" s="4" t="s">
        <v>145</v>
      </c>
      <c r="D62" s="10" t="s">
        <v>39</v>
      </c>
      <c r="E62" s="811">
        <v>151200</v>
      </c>
    </row>
    <row r="63" customHeight="1" spans="1:5">
      <c r="A63" s="10">
        <v>4</v>
      </c>
      <c r="B63" s="11" t="s">
        <v>146</v>
      </c>
      <c r="C63" s="4" t="s">
        <v>145</v>
      </c>
      <c r="D63" s="10" t="s">
        <v>50</v>
      </c>
      <c r="E63" s="811">
        <v>151200</v>
      </c>
    </row>
    <row r="64" customHeight="1" spans="1:5">
      <c r="A64" s="10">
        <v>5</v>
      </c>
      <c r="B64" s="14" t="s">
        <v>147</v>
      </c>
      <c r="C64" s="4" t="s">
        <v>145</v>
      </c>
      <c r="D64" s="10" t="s">
        <v>42</v>
      </c>
      <c r="E64" s="811">
        <v>151200</v>
      </c>
    </row>
    <row r="65" customFormat="1" customHeight="1" spans="1:5">
      <c r="A65" s="10">
        <v>6</v>
      </c>
      <c r="B65" s="14" t="s">
        <v>148</v>
      </c>
      <c r="C65" s="4" t="s">
        <v>145</v>
      </c>
      <c r="D65" s="10" t="s">
        <v>42</v>
      </c>
      <c r="E65" s="811">
        <v>151200</v>
      </c>
    </row>
    <row r="66" s="1" customFormat="1" customHeight="1" spans="1:5">
      <c r="A66" s="10">
        <v>7</v>
      </c>
      <c r="B66" s="18" t="s">
        <v>149</v>
      </c>
      <c r="C66" s="4" t="s">
        <v>150</v>
      </c>
      <c r="D66" s="15" t="s">
        <v>180</v>
      </c>
      <c r="E66" s="816">
        <v>81600</v>
      </c>
    </row>
    <row r="67" customHeight="1" spans="1:5">
      <c r="A67" s="10">
        <v>8</v>
      </c>
      <c r="B67" s="11" t="s">
        <v>151</v>
      </c>
      <c r="C67" s="4" t="s">
        <v>152</v>
      </c>
      <c r="D67" s="10" t="s">
        <v>78</v>
      </c>
      <c r="E67" s="816">
        <v>81600</v>
      </c>
    </row>
    <row r="68" s="1" customFormat="1" customHeight="1" spans="1:5">
      <c r="A68" s="10">
        <v>9</v>
      </c>
      <c r="B68" s="11" t="s">
        <v>154</v>
      </c>
      <c r="C68" s="4" t="s">
        <v>83</v>
      </c>
      <c r="D68" s="10" t="s">
        <v>81</v>
      </c>
      <c r="E68" s="816">
        <v>81600</v>
      </c>
    </row>
    <row r="69" customHeight="1" spans="1:5">
      <c r="A69" s="10">
        <v>10</v>
      </c>
      <c r="B69" s="11" t="s">
        <v>155</v>
      </c>
      <c r="C69" s="4" t="s">
        <v>152</v>
      </c>
      <c r="D69" s="10" t="s">
        <v>86</v>
      </c>
      <c r="E69" s="811">
        <v>64800</v>
      </c>
    </row>
    <row r="70" customHeight="1" spans="1:5">
      <c r="A70" s="10">
        <v>11</v>
      </c>
      <c r="B70" s="11" t="s">
        <v>157</v>
      </c>
      <c r="C70" s="4" t="s">
        <v>152</v>
      </c>
      <c r="D70" s="10" t="s">
        <v>86</v>
      </c>
      <c r="E70" s="811">
        <v>64800</v>
      </c>
    </row>
    <row r="71" s="1" customFormat="1" ht="18.75" customHeight="1" spans="1:5">
      <c r="A71" s="10">
        <v>12</v>
      </c>
      <c r="B71" s="18" t="s">
        <v>158</v>
      </c>
      <c r="C71" s="4" t="s">
        <v>152</v>
      </c>
      <c r="D71" s="10" t="s">
        <v>225</v>
      </c>
      <c r="E71" s="811">
        <v>64800</v>
      </c>
    </row>
    <row r="72" ht="25.5" customHeight="1" spans="1:5">
      <c r="A72" s="10"/>
      <c r="B72" s="20" t="s">
        <v>120</v>
      </c>
      <c r="C72" s="21">
        <v>12</v>
      </c>
      <c r="D72" s="21"/>
      <c r="E72" s="814">
        <f>SUM(E60:E71)</f>
        <v>1519200</v>
      </c>
    </row>
    <row r="73" customHeight="1" spans="1:5">
      <c r="A73" s="10"/>
      <c r="B73" s="22"/>
      <c r="C73" s="21"/>
      <c r="D73" s="21"/>
      <c r="E73" s="815"/>
    </row>
    <row r="74" customHeight="1" spans="1:5">
      <c r="A74" s="10"/>
      <c r="B74" s="20" t="s">
        <v>159</v>
      </c>
      <c r="C74" s="21"/>
      <c r="D74" s="21"/>
      <c r="E74" s="815"/>
    </row>
    <row r="75" customHeight="1" spans="1:5">
      <c r="A75" s="10">
        <v>1</v>
      </c>
      <c r="B75" s="11" t="s">
        <v>160</v>
      </c>
      <c r="C75" s="12" t="s">
        <v>161</v>
      </c>
      <c r="D75" s="15" t="s">
        <v>124</v>
      </c>
      <c r="E75" s="811">
        <v>324000</v>
      </c>
    </row>
    <row r="76" customHeight="1" spans="1:5">
      <c r="A76" s="10">
        <v>2</v>
      </c>
      <c r="B76" s="11" t="s">
        <v>162</v>
      </c>
      <c r="C76" s="12" t="s">
        <v>485</v>
      </c>
      <c r="D76" s="15" t="s">
        <v>486</v>
      </c>
      <c r="E76" s="811">
        <v>151200</v>
      </c>
    </row>
    <row r="77" customHeight="1" spans="1:5">
      <c r="A77" s="10"/>
      <c r="B77" s="20" t="s">
        <v>120</v>
      </c>
      <c r="C77" s="21">
        <v>2</v>
      </c>
      <c r="D77" s="21"/>
      <c r="E77" s="814">
        <f>SUM(E75:E76)</f>
        <v>475200</v>
      </c>
    </row>
    <row r="78" customHeight="1" spans="1:5">
      <c r="A78" s="10"/>
      <c r="B78" s="20"/>
      <c r="C78" s="21"/>
      <c r="D78" s="21"/>
      <c r="E78" s="815"/>
    </row>
    <row r="79" customHeight="1" spans="1:5">
      <c r="A79" s="10"/>
      <c r="B79" s="20" t="s">
        <v>164</v>
      </c>
      <c r="C79" s="21"/>
      <c r="D79" s="21"/>
      <c r="E79" s="815"/>
    </row>
    <row r="80" customHeight="1" spans="1:5">
      <c r="A80" s="10">
        <v>1</v>
      </c>
      <c r="B80" s="14" t="s">
        <v>165</v>
      </c>
      <c r="C80" s="4" t="s">
        <v>166</v>
      </c>
      <c r="D80" s="10" t="s">
        <v>36</v>
      </c>
      <c r="E80" s="811">
        <v>216000</v>
      </c>
    </row>
    <row r="81" customHeight="1" spans="1:5">
      <c r="A81" s="10">
        <v>2</v>
      </c>
      <c r="B81" s="11" t="s">
        <v>167</v>
      </c>
      <c r="C81" s="4" t="s">
        <v>52</v>
      </c>
      <c r="D81" s="10" t="s">
        <v>214</v>
      </c>
      <c r="E81" s="811">
        <v>108000</v>
      </c>
    </row>
    <row r="82" s="1" customFormat="1" customHeight="1" spans="1:5">
      <c r="A82" s="10">
        <v>3</v>
      </c>
      <c r="B82" s="18" t="s">
        <v>168</v>
      </c>
      <c r="C82" s="17" t="s">
        <v>217</v>
      </c>
      <c r="D82" s="15" t="s">
        <v>67</v>
      </c>
      <c r="E82" s="811">
        <v>108000</v>
      </c>
    </row>
    <row r="83" s="1" customFormat="1" customHeight="1" spans="1:5">
      <c r="A83" s="10">
        <v>4</v>
      </c>
      <c r="B83" s="18" t="s">
        <v>170</v>
      </c>
      <c r="C83" s="17" t="s">
        <v>217</v>
      </c>
      <c r="D83" s="15" t="s">
        <v>67</v>
      </c>
      <c r="E83" s="811">
        <v>108000</v>
      </c>
    </row>
    <row r="84" customHeight="1" spans="1:5">
      <c r="A84" s="10">
        <v>5</v>
      </c>
      <c r="B84" s="11" t="s">
        <v>171</v>
      </c>
      <c r="C84" s="4" t="s">
        <v>152</v>
      </c>
      <c r="D84" s="10" t="s">
        <v>70</v>
      </c>
      <c r="E84" s="811">
        <v>81600</v>
      </c>
    </row>
    <row r="85" customHeight="1" spans="1:5">
      <c r="A85" s="10">
        <v>6</v>
      </c>
      <c r="B85" s="11" t="s">
        <v>172</v>
      </c>
      <c r="C85" s="17" t="s">
        <v>72</v>
      </c>
      <c r="D85" s="10" t="s">
        <v>70</v>
      </c>
      <c r="E85" s="811">
        <v>81600</v>
      </c>
    </row>
    <row r="86" customHeight="1" spans="1:5">
      <c r="A86" s="10">
        <v>7</v>
      </c>
      <c r="B86" s="11" t="s">
        <v>174</v>
      </c>
      <c r="C86" s="17" t="s">
        <v>72</v>
      </c>
      <c r="D86" s="10" t="s">
        <v>70</v>
      </c>
      <c r="E86" s="811">
        <v>81600</v>
      </c>
    </row>
    <row r="87" customHeight="1" spans="1:5">
      <c r="A87" s="10">
        <v>8</v>
      </c>
      <c r="B87" s="11" t="s">
        <v>175</v>
      </c>
      <c r="C87" s="4" t="s">
        <v>176</v>
      </c>
      <c r="D87" s="15" t="s">
        <v>67</v>
      </c>
      <c r="E87" s="811">
        <v>108000</v>
      </c>
    </row>
    <row r="88" s="1" customFormat="1" customHeight="1" spans="1:5">
      <c r="A88" s="10">
        <v>9</v>
      </c>
      <c r="B88" s="14" t="s">
        <v>177</v>
      </c>
      <c r="C88" s="17" t="s">
        <v>178</v>
      </c>
      <c r="D88" s="10" t="s">
        <v>180</v>
      </c>
      <c r="E88" s="811">
        <v>81600</v>
      </c>
    </row>
    <row r="89" ht="21.6" customHeight="1" spans="1:5">
      <c r="A89" s="10">
        <v>10</v>
      </c>
      <c r="B89" s="11" t="s">
        <v>179</v>
      </c>
      <c r="C89" s="4" t="s">
        <v>152</v>
      </c>
      <c r="D89" s="10" t="s">
        <v>78</v>
      </c>
      <c r="E89" s="811">
        <v>81600</v>
      </c>
    </row>
    <row r="90" s="1" customFormat="1" ht="18.75" customHeight="1" spans="1:5">
      <c r="A90" s="10">
        <v>11</v>
      </c>
      <c r="B90" s="18" t="s">
        <v>181</v>
      </c>
      <c r="C90" s="4" t="s">
        <v>182</v>
      </c>
      <c r="D90" s="10" t="s">
        <v>225</v>
      </c>
      <c r="E90" s="811">
        <v>64800</v>
      </c>
    </row>
    <row r="91" ht="27" customHeight="1" spans="1:5">
      <c r="A91" s="10"/>
      <c r="B91" s="20" t="s">
        <v>120</v>
      </c>
      <c r="C91" s="21">
        <v>11</v>
      </c>
      <c r="D91" s="21"/>
      <c r="E91" s="814">
        <f>SUM(E80:E90)</f>
        <v>1120800</v>
      </c>
    </row>
    <row r="92" customHeight="1" spans="1:5">
      <c r="A92" s="10"/>
      <c r="B92" s="22"/>
      <c r="C92" s="21"/>
      <c r="D92" s="21"/>
      <c r="E92" s="815"/>
    </row>
    <row r="93" customHeight="1" spans="1:5">
      <c r="A93" s="10"/>
      <c r="B93" s="20" t="s">
        <v>183</v>
      </c>
      <c r="C93" s="21"/>
      <c r="D93" s="21"/>
      <c r="E93" s="815"/>
    </row>
    <row r="94" customHeight="1" spans="1:5">
      <c r="A94" s="10">
        <v>1</v>
      </c>
      <c r="B94" s="11" t="s">
        <v>184</v>
      </c>
      <c r="C94" s="4" t="s">
        <v>185</v>
      </c>
      <c r="D94" s="10" t="s">
        <v>124</v>
      </c>
      <c r="E94" s="811">
        <v>324000</v>
      </c>
    </row>
    <row r="95" customHeight="1" spans="1:5">
      <c r="A95" s="10">
        <v>2</v>
      </c>
      <c r="B95" s="11" t="s">
        <v>186</v>
      </c>
      <c r="C95" s="4" t="s">
        <v>187</v>
      </c>
      <c r="D95" s="10" t="s">
        <v>42</v>
      </c>
      <c r="E95" s="811">
        <v>151200</v>
      </c>
    </row>
    <row r="96" customHeight="1" spans="1:5">
      <c r="A96" s="10">
        <v>3</v>
      </c>
      <c r="B96" s="11" t="s">
        <v>188</v>
      </c>
      <c r="C96" s="4" t="s">
        <v>189</v>
      </c>
      <c r="D96" s="10" t="s">
        <v>42</v>
      </c>
      <c r="E96" s="811">
        <v>151200</v>
      </c>
    </row>
    <row r="97" customHeight="1" spans="1:5">
      <c r="A97" s="10">
        <v>4</v>
      </c>
      <c r="B97" s="11" t="s">
        <v>190</v>
      </c>
      <c r="C97" s="4" t="s">
        <v>191</v>
      </c>
      <c r="D97" s="15" t="s">
        <v>47</v>
      </c>
      <c r="E97" s="811">
        <v>108000</v>
      </c>
    </row>
    <row r="98" customHeight="1" spans="1:5">
      <c r="A98" s="10">
        <v>5</v>
      </c>
      <c r="B98" s="11" t="s">
        <v>193</v>
      </c>
      <c r="C98" s="12" t="s">
        <v>194</v>
      </c>
      <c r="D98" s="15" t="s">
        <v>67</v>
      </c>
      <c r="E98" s="811">
        <v>108000</v>
      </c>
    </row>
    <row r="99" s="1" customFormat="1" customHeight="1" spans="1:5">
      <c r="A99" s="10">
        <v>6</v>
      </c>
      <c r="B99" s="11" t="s">
        <v>195</v>
      </c>
      <c r="C99" s="4" t="s">
        <v>196</v>
      </c>
      <c r="D99" s="15" t="s">
        <v>67</v>
      </c>
      <c r="E99" s="811">
        <v>108000</v>
      </c>
    </row>
    <row r="100" customHeight="1" spans="1:5">
      <c r="A100" s="10">
        <v>7</v>
      </c>
      <c r="B100" s="11" t="s">
        <v>197</v>
      </c>
      <c r="C100" s="4" t="s">
        <v>198</v>
      </c>
      <c r="D100" s="10" t="s">
        <v>131</v>
      </c>
      <c r="E100" s="811">
        <v>81600</v>
      </c>
    </row>
    <row r="101" s="1" customFormat="1" customHeight="1" spans="1:5">
      <c r="A101" s="10">
        <v>8</v>
      </c>
      <c r="B101" s="11" t="s">
        <v>199</v>
      </c>
      <c r="C101" s="4" t="s">
        <v>200</v>
      </c>
      <c r="D101" s="10" t="s">
        <v>81</v>
      </c>
      <c r="E101" s="811">
        <v>81600</v>
      </c>
    </row>
    <row r="102" customHeight="1" spans="1:5">
      <c r="A102" s="10">
        <v>9</v>
      </c>
      <c r="B102" s="11" t="s">
        <v>201</v>
      </c>
      <c r="C102" s="4" t="s">
        <v>182</v>
      </c>
      <c r="D102" s="10" t="s">
        <v>99</v>
      </c>
      <c r="E102" s="811">
        <v>64800</v>
      </c>
    </row>
    <row r="103" s="1" customFormat="1" ht="18.75" customHeight="1" spans="1:5">
      <c r="A103" s="10">
        <v>10</v>
      </c>
      <c r="B103" s="18" t="s">
        <v>202</v>
      </c>
      <c r="C103" s="4" t="s">
        <v>182</v>
      </c>
      <c r="D103" s="10" t="s">
        <v>225</v>
      </c>
      <c r="E103" s="811">
        <v>64800</v>
      </c>
    </row>
    <row r="104" customHeight="1" spans="1:5">
      <c r="A104" s="10">
        <v>11</v>
      </c>
      <c r="B104" s="11" t="s">
        <v>203</v>
      </c>
      <c r="C104" s="4" t="s">
        <v>204</v>
      </c>
      <c r="D104" s="10" t="s">
        <v>108</v>
      </c>
      <c r="E104" s="811">
        <v>64800</v>
      </c>
    </row>
    <row r="105" customHeight="1" spans="1:5">
      <c r="A105" s="10"/>
      <c r="B105" s="20" t="s">
        <v>120</v>
      </c>
      <c r="C105" s="21">
        <v>11</v>
      </c>
      <c r="D105" s="21"/>
      <c r="E105" s="814">
        <f>SUM(E94:E104)</f>
        <v>1308000</v>
      </c>
    </row>
    <row r="106" customHeight="1" spans="1:5">
      <c r="A106" s="10"/>
      <c r="B106" s="20"/>
      <c r="C106" s="21"/>
      <c r="D106" s="21"/>
      <c r="E106" s="815"/>
    </row>
    <row r="107" customHeight="1" spans="1:5">
      <c r="A107" s="10"/>
      <c r="B107" s="20" t="s">
        <v>205</v>
      </c>
      <c r="C107" s="25"/>
      <c r="D107" s="21"/>
      <c r="E107" s="815"/>
    </row>
    <row r="108" customHeight="1" spans="1:5">
      <c r="A108" s="10">
        <v>1</v>
      </c>
      <c r="B108" s="11" t="s">
        <v>206</v>
      </c>
      <c r="C108" s="4" t="s">
        <v>207</v>
      </c>
      <c r="D108" s="10" t="s">
        <v>304</v>
      </c>
      <c r="E108" s="811">
        <v>324000</v>
      </c>
    </row>
    <row r="109" customHeight="1" spans="1:5">
      <c r="A109" s="10">
        <v>2</v>
      </c>
      <c r="B109" s="11" t="s">
        <v>208</v>
      </c>
      <c r="C109" s="4" t="s">
        <v>209</v>
      </c>
      <c r="D109" s="10" t="s">
        <v>143</v>
      </c>
      <c r="E109" s="811">
        <v>216000</v>
      </c>
    </row>
    <row r="110" customHeight="1" spans="1:5">
      <c r="A110" s="10">
        <v>3</v>
      </c>
      <c r="B110" s="11" t="s">
        <v>479</v>
      </c>
      <c r="C110" s="4" t="s">
        <v>145</v>
      </c>
      <c r="D110" s="10" t="s">
        <v>50</v>
      </c>
      <c r="E110" s="811">
        <v>151200</v>
      </c>
    </row>
    <row r="111" ht="21.6" customHeight="1" spans="1:5">
      <c r="A111" s="10">
        <v>4</v>
      </c>
      <c r="B111" s="11" t="s">
        <v>211</v>
      </c>
      <c r="C111" s="4" t="s">
        <v>52</v>
      </c>
      <c r="D111" s="15" t="s">
        <v>214</v>
      </c>
      <c r="E111" s="811">
        <v>108000</v>
      </c>
    </row>
    <row r="112" ht="21.6" customHeight="1" spans="1:5">
      <c r="A112" s="10">
        <v>5</v>
      </c>
      <c r="B112" s="11" t="s">
        <v>212</v>
      </c>
      <c r="C112" s="4" t="s">
        <v>52</v>
      </c>
      <c r="D112" s="15" t="s">
        <v>214</v>
      </c>
      <c r="E112" s="811">
        <v>108000</v>
      </c>
    </row>
    <row r="113" ht="21.6" customHeight="1" spans="1:5">
      <c r="A113" s="10">
        <v>6</v>
      </c>
      <c r="B113" s="11" t="s">
        <v>213</v>
      </c>
      <c r="C113" s="12" t="s">
        <v>52</v>
      </c>
      <c r="D113" s="15" t="s">
        <v>53</v>
      </c>
      <c r="E113" s="811">
        <v>108000</v>
      </c>
    </row>
    <row r="114" ht="21.6" customHeight="1" spans="1:5">
      <c r="A114" s="10">
        <v>7</v>
      </c>
      <c r="B114" s="11" t="s">
        <v>215</v>
      </c>
      <c r="C114" s="17" t="s">
        <v>72</v>
      </c>
      <c r="D114" s="15" t="s">
        <v>70</v>
      </c>
      <c r="E114" s="811">
        <v>81600</v>
      </c>
    </row>
    <row r="115" ht="21.6" customHeight="1" spans="1:5">
      <c r="A115" s="10">
        <v>8</v>
      </c>
      <c r="B115" s="11" t="s">
        <v>216</v>
      </c>
      <c r="C115" s="17" t="s">
        <v>217</v>
      </c>
      <c r="D115" s="15" t="s">
        <v>64</v>
      </c>
      <c r="E115" s="811">
        <v>108000</v>
      </c>
    </row>
    <row r="116" s="1" customFormat="1" customHeight="1" spans="1:5">
      <c r="A116" s="10">
        <v>9</v>
      </c>
      <c r="B116" s="18" t="s">
        <v>219</v>
      </c>
      <c r="C116" s="4" t="s">
        <v>150</v>
      </c>
      <c r="D116" s="15" t="s">
        <v>180</v>
      </c>
      <c r="E116" s="816">
        <v>81600</v>
      </c>
    </row>
    <row r="117" ht="21.6" customHeight="1" spans="1:5">
      <c r="A117" s="10">
        <v>10</v>
      </c>
      <c r="B117" s="11" t="s">
        <v>220</v>
      </c>
      <c r="C117" s="4" t="s">
        <v>221</v>
      </c>
      <c r="D117" s="10" t="s">
        <v>78</v>
      </c>
      <c r="E117" s="816">
        <v>81600</v>
      </c>
    </row>
    <row r="118" s="1" customFormat="1" ht="18.75" customHeight="1" spans="1:5">
      <c r="A118" s="10">
        <v>11</v>
      </c>
      <c r="B118" s="18" t="s">
        <v>222</v>
      </c>
      <c r="C118" s="4" t="s">
        <v>152</v>
      </c>
      <c r="D118" s="10" t="s">
        <v>225</v>
      </c>
      <c r="E118" s="811">
        <v>64800</v>
      </c>
    </row>
    <row r="119" s="1" customFormat="1" ht="18.75" customHeight="1" spans="1:5">
      <c r="A119" s="10">
        <v>12</v>
      </c>
      <c r="B119" s="18" t="s">
        <v>223</v>
      </c>
      <c r="C119" s="4" t="s">
        <v>152</v>
      </c>
      <c r="D119" s="10" t="s">
        <v>225</v>
      </c>
      <c r="E119" s="811">
        <v>64800</v>
      </c>
    </row>
    <row r="120" ht="21.6" customHeight="1" spans="1:5">
      <c r="A120" s="10">
        <v>13</v>
      </c>
      <c r="B120" s="11" t="s">
        <v>224</v>
      </c>
      <c r="C120" s="17" t="s">
        <v>505</v>
      </c>
      <c r="D120" s="15" t="s">
        <v>105</v>
      </c>
      <c r="E120" s="811">
        <v>64800</v>
      </c>
    </row>
    <row r="121" customHeight="1" spans="1:5">
      <c r="A121" s="10"/>
      <c r="B121" s="20" t="s">
        <v>120</v>
      </c>
      <c r="C121" s="21">
        <v>13</v>
      </c>
      <c r="D121" s="21"/>
      <c r="E121" s="814">
        <f>SUM(E108:E120)</f>
        <v>1562400</v>
      </c>
    </row>
    <row r="122" customHeight="1" spans="1:5">
      <c r="A122" s="10"/>
      <c r="B122" s="22"/>
      <c r="C122" s="21"/>
      <c r="D122" s="21"/>
      <c r="E122" s="815"/>
    </row>
    <row r="123" customHeight="1" spans="1:5">
      <c r="A123" s="10"/>
      <c r="B123" s="20" t="s">
        <v>226</v>
      </c>
      <c r="C123" s="21"/>
      <c r="D123" s="21"/>
      <c r="E123" s="815"/>
    </row>
    <row r="124" customHeight="1" spans="1:5">
      <c r="A124" s="10">
        <v>1</v>
      </c>
      <c r="B124" s="14" t="s">
        <v>227</v>
      </c>
      <c r="C124" s="4" t="s">
        <v>228</v>
      </c>
      <c r="D124" s="16" t="s">
        <v>140</v>
      </c>
      <c r="E124" s="811">
        <v>324000</v>
      </c>
    </row>
    <row r="125" customHeight="1" spans="1:5">
      <c r="A125" s="10">
        <v>2</v>
      </c>
      <c r="B125" s="11" t="s">
        <v>229</v>
      </c>
      <c r="C125" s="4" t="s">
        <v>230</v>
      </c>
      <c r="D125" s="15" t="s">
        <v>47</v>
      </c>
      <c r="E125" s="811">
        <v>108000</v>
      </c>
    </row>
    <row r="126" customHeight="1" spans="1:5">
      <c r="A126" s="10">
        <v>3</v>
      </c>
      <c r="B126" s="11" t="s">
        <v>231</v>
      </c>
      <c r="C126" s="12" t="s">
        <v>232</v>
      </c>
      <c r="D126" s="15" t="s">
        <v>64</v>
      </c>
      <c r="E126" s="811">
        <v>108000</v>
      </c>
    </row>
    <row r="127" s="1" customFormat="1" customHeight="1" spans="1:5">
      <c r="A127" s="10">
        <v>4</v>
      </c>
      <c r="B127" s="11" t="s">
        <v>233</v>
      </c>
      <c r="C127" s="4" t="s">
        <v>234</v>
      </c>
      <c r="D127" s="15" t="s">
        <v>67</v>
      </c>
      <c r="E127" s="811">
        <v>108000</v>
      </c>
    </row>
    <row r="128" customHeight="1" spans="1:5">
      <c r="A128" s="10">
        <v>5</v>
      </c>
      <c r="B128" s="11" t="s">
        <v>235</v>
      </c>
      <c r="C128" s="4" t="s">
        <v>234</v>
      </c>
      <c r="D128" s="15" t="s">
        <v>67</v>
      </c>
      <c r="E128" s="811">
        <v>108000</v>
      </c>
    </row>
    <row r="129" customHeight="1" spans="1:5">
      <c r="A129" s="10">
        <v>6</v>
      </c>
      <c r="B129" s="11" t="s">
        <v>236</v>
      </c>
      <c r="C129" s="4" t="s">
        <v>200</v>
      </c>
      <c r="D129" s="15" t="s">
        <v>78</v>
      </c>
      <c r="E129" s="816">
        <v>81600</v>
      </c>
    </row>
    <row r="130" s="1" customFormat="1" customHeight="1" spans="1:5">
      <c r="A130" s="10">
        <v>7</v>
      </c>
      <c r="B130" s="18" t="s">
        <v>237</v>
      </c>
      <c r="C130" s="12" t="s">
        <v>238</v>
      </c>
      <c r="D130" s="15" t="s">
        <v>81</v>
      </c>
      <c r="E130" s="816">
        <v>81600</v>
      </c>
    </row>
    <row r="131" customHeight="1" spans="1:5">
      <c r="A131" s="4"/>
      <c r="B131" s="20" t="s">
        <v>120</v>
      </c>
      <c r="C131" s="21">
        <v>7</v>
      </c>
      <c r="D131" s="26"/>
      <c r="E131" s="814">
        <f>SUM(E124:E130)</f>
        <v>919200</v>
      </c>
    </row>
    <row r="132" customHeight="1" spans="1:5">
      <c r="A132" s="4"/>
      <c r="B132" s="22"/>
      <c r="C132" s="21"/>
      <c r="D132" s="26"/>
      <c r="E132" s="815"/>
    </row>
    <row r="133" customHeight="1" spans="1:5">
      <c r="A133" s="4"/>
      <c r="B133" s="20" t="s">
        <v>239</v>
      </c>
      <c r="C133" s="4"/>
      <c r="D133" s="4"/>
      <c r="E133" s="817"/>
    </row>
    <row r="134" customHeight="1" spans="1:5">
      <c r="A134" s="4">
        <v>1</v>
      </c>
      <c r="B134" s="11" t="s">
        <v>240</v>
      </c>
      <c r="C134" s="12" t="s">
        <v>241</v>
      </c>
      <c r="D134" s="15" t="s">
        <v>124</v>
      </c>
      <c r="E134" s="811">
        <v>324000</v>
      </c>
    </row>
    <row r="135" customHeight="1" spans="1:5">
      <c r="A135" s="4">
        <v>2</v>
      </c>
      <c r="B135" s="11" t="s">
        <v>242</v>
      </c>
      <c r="C135" s="4" t="s">
        <v>243</v>
      </c>
      <c r="D135" s="16" t="s">
        <v>36</v>
      </c>
      <c r="E135" s="811">
        <v>216000</v>
      </c>
    </row>
    <row r="136" customHeight="1" spans="1:5">
      <c r="A136" s="4">
        <v>3</v>
      </c>
      <c r="B136" s="11" t="s">
        <v>244</v>
      </c>
      <c r="C136" s="4" t="s">
        <v>245</v>
      </c>
      <c r="D136" s="10" t="s">
        <v>600</v>
      </c>
      <c r="E136" s="811">
        <v>108000</v>
      </c>
    </row>
    <row r="137" customHeight="1" spans="1:5">
      <c r="A137" s="4">
        <v>4</v>
      </c>
      <c r="B137" s="11" t="s">
        <v>246</v>
      </c>
      <c r="C137" s="4" t="s">
        <v>245</v>
      </c>
      <c r="D137" s="10" t="s">
        <v>600</v>
      </c>
      <c r="E137" s="811">
        <v>108000</v>
      </c>
    </row>
    <row r="138" s="1" customFormat="1" customHeight="1" spans="1:5">
      <c r="A138" s="4">
        <v>5</v>
      </c>
      <c r="B138" s="18" t="s">
        <v>247</v>
      </c>
      <c r="C138" s="4" t="s">
        <v>248</v>
      </c>
      <c r="D138" s="15" t="s">
        <v>180</v>
      </c>
      <c r="E138" s="816">
        <v>81600</v>
      </c>
    </row>
    <row r="139" customHeight="1" spans="1:5">
      <c r="A139" s="4">
        <v>6</v>
      </c>
      <c r="B139" s="11" t="s">
        <v>249</v>
      </c>
      <c r="C139" s="4" t="s">
        <v>250</v>
      </c>
      <c r="D139" s="15" t="s">
        <v>603</v>
      </c>
      <c r="E139" s="816">
        <v>64800</v>
      </c>
    </row>
    <row r="140" customHeight="1" spans="1:5">
      <c r="A140" s="4">
        <v>7</v>
      </c>
      <c r="B140" s="18" t="s">
        <v>252</v>
      </c>
      <c r="C140" s="4" t="s">
        <v>250</v>
      </c>
      <c r="D140" s="10" t="s">
        <v>225</v>
      </c>
      <c r="E140" s="816">
        <v>64800</v>
      </c>
    </row>
    <row r="141" customHeight="1" spans="1:5">
      <c r="A141" s="4">
        <v>8</v>
      </c>
      <c r="B141" s="18" t="s">
        <v>253</v>
      </c>
      <c r="C141" s="4" t="s">
        <v>250</v>
      </c>
      <c r="D141" s="15" t="s">
        <v>105</v>
      </c>
      <c r="E141" s="816">
        <v>64800</v>
      </c>
    </row>
    <row r="142" s="1" customFormat="1" customHeight="1" spans="1:5">
      <c r="A142" s="4">
        <v>9</v>
      </c>
      <c r="B142" s="18" t="s">
        <v>254</v>
      </c>
      <c r="C142" s="4" t="s">
        <v>250</v>
      </c>
      <c r="D142" s="15" t="s">
        <v>275</v>
      </c>
      <c r="E142" s="816">
        <v>64800</v>
      </c>
    </row>
    <row r="143" s="1" customFormat="1" customHeight="1" spans="1:5">
      <c r="A143" s="4">
        <v>10</v>
      </c>
      <c r="B143" s="18" t="s">
        <v>255</v>
      </c>
      <c r="C143" s="4" t="s">
        <v>250</v>
      </c>
      <c r="D143" s="15" t="s">
        <v>275</v>
      </c>
      <c r="E143" s="816">
        <v>64800</v>
      </c>
    </row>
    <row r="144" s="1" customFormat="1" customHeight="1" spans="1:5">
      <c r="A144" s="4">
        <v>11</v>
      </c>
      <c r="B144" s="18" t="s">
        <v>256</v>
      </c>
      <c r="C144" s="4" t="s">
        <v>250</v>
      </c>
      <c r="D144" s="15" t="s">
        <v>275</v>
      </c>
      <c r="E144" s="816">
        <v>64800</v>
      </c>
    </row>
    <row r="145" ht="25.5" customHeight="1" spans="1:5">
      <c r="A145" s="4"/>
      <c r="B145" s="20" t="s">
        <v>120</v>
      </c>
      <c r="C145" s="21">
        <v>11</v>
      </c>
      <c r="D145" s="4"/>
      <c r="E145" s="818">
        <f>SUM(E134:E144)</f>
        <v>1226400</v>
      </c>
    </row>
    <row r="146" customHeight="1" spans="1:5">
      <c r="A146" s="4"/>
      <c r="B146" s="20"/>
      <c r="C146" s="21"/>
      <c r="D146" s="4"/>
      <c r="E146" s="818"/>
    </row>
    <row r="147" customHeight="1" spans="1:5">
      <c r="A147" s="10"/>
      <c r="B147" s="20" t="s">
        <v>257</v>
      </c>
      <c r="C147" s="21"/>
      <c r="D147" s="21"/>
      <c r="E147" s="815"/>
    </row>
    <row r="148" s="1" customFormat="1" customHeight="1" spans="1:5">
      <c r="A148" s="10">
        <v>1</v>
      </c>
      <c r="B148" s="11" t="s">
        <v>258</v>
      </c>
      <c r="C148" s="17" t="s">
        <v>145</v>
      </c>
      <c r="D148" s="10" t="s">
        <v>42</v>
      </c>
      <c r="E148" s="811">
        <v>151600</v>
      </c>
    </row>
    <row r="149" ht="18.75" customHeight="1" spans="1:5">
      <c r="A149" s="10">
        <v>2</v>
      </c>
      <c r="B149" s="11" t="s">
        <v>259</v>
      </c>
      <c r="C149" s="4" t="s">
        <v>260</v>
      </c>
      <c r="D149" s="15" t="s">
        <v>173</v>
      </c>
      <c r="E149" s="811">
        <v>81600</v>
      </c>
    </row>
    <row r="150" ht="18.75" customHeight="1" spans="1:5">
      <c r="A150" s="10">
        <v>3</v>
      </c>
      <c r="B150" s="11" t="s">
        <v>480</v>
      </c>
      <c r="C150" s="4" t="s">
        <v>72</v>
      </c>
      <c r="D150" s="15" t="s">
        <v>70</v>
      </c>
      <c r="E150" s="811">
        <v>81600</v>
      </c>
    </row>
    <row r="151" s="1" customFormat="1" ht="18.75" customHeight="1" spans="1:5">
      <c r="A151" s="10">
        <v>4</v>
      </c>
      <c r="B151" s="18" t="s">
        <v>262</v>
      </c>
      <c r="C151" s="4" t="s">
        <v>152</v>
      </c>
      <c r="D151" s="10" t="s">
        <v>225</v>
      </c>
      <c r="E151" s="811">
        <v>64800</v>
      </c>
    </row>
    <row r="152" s="1" customFormat="1" ht="18.75" customHeight="1" spans="1:5">
      <c r="A152" s="10">
        <v>5</v>
      </c>
      <c r="B152" s="18" t="s">
        <v>263</v>
      </c>
      <c r="C152" s="4" t="s">
        <v>152</v>
      </c>
      <c r="D152" s="10" t="s">
        <v>225</v>
      </c>
      <c r="E152" s="811">
        <v>64800</v>
      </c>
    </row>
    <row r="153" s="1" customFormat="1" ht="18.75" customHeight="1" spans="1:5">
      <c r="A153" s="10">
        <v>6</v>
      </c>
      <c r="B153" s="18" t="s">
        <v>264</v>
      </c>
      <c r="C153" s="4" t="s">
        <v>152</v>
      </c>
      <c r="D153" s="10" t="s">
        <v>225</v>
      </c>
      <c r="E153" s="811">
        <v>64800</v>
      </c>
    </row>
    <row r="154" s="1" customFormat="1" ht="18.75" customHeight="1" spans="1:5">
      <c r="A154" s="10">
        <v>7</v>
      </c>
      <c r="B154" s="18" t="s">
        <v>265</v>
      </c>
      <c r="C154" s="4" t="s">
        <v>152</v>
      </c>
      <c r="D154" s="10" t="s">
        <v>225</v>
      </c>
      <c r="E154" s="811">
        <v>64800</v>
      </c>
    </row>
    <row r="155" s="1" customFormat="1" customHeight="1" spans="1:5">
      <c r="A155" s="10">
        <v>8</v>
      </c>
      <c r="B155" s="18" t="s">
        <v>266</v>
      </c>
      <c r="C155" s="12" t="s">
        <v>267</v>
      </c>
      <c r="D155" s="15" t="s">
        <v>275</v>
      </c>
      <c r="E155" s="811">
        <v>64800</v>
      </c>
    </row>
    <row r="156" ht="24.75" customHeight="1" spans="1:5">
      <c r="A156" s="4"/>
      <c r="B156" s="20" t="s">
        <v>120</v>
      </c>
      <c r="C156" s="21">
        <v>8</v>
      </c>
      <c r="D156" s="26"/>
      <c r="E156" s="814">
        <f>SUM(E148:E155)</f>
        <v>638800</v>
      </c>
    </row>
    <row r="157" ht="24.75" customHeight="1" spans="1:5">
      <c r="A157" s="4"/>
      <c r="B157" s="20"/>
      <c r="C157" s="21"/>
      <c r="D157" s="26"/>
      <c r="E157" s="814"/>
    </row>
    <row r="158" ht="24.75" customHeight="1" spans="1:5">
      <c r="A158" s="10"/>
      <c r="B158" s="20" t="s">
        <v>268</v>
      </c>
      <c r="C158" s="21"/>
      <c r="D158" s="21"/>
      <c r="E158" s="815"/>
    </row>
    <row r="159" s="1" customFormat="1" customHeight="1" spans="1:5">
      <c r="A159" s="4">
        <v>1</v>
      </c>
      <c r="B159" s="18" t="s">
        <v>481</v>
      </c>
      <c r="C159" s="12" t="s">
        <v>604</v>
      </c>
      <c r="D159" s="15" t="s">
        <v>81</v>
      </c>
      <c r="E159" s="811">
        <v>81600</v>
      </c>
    </row>
    <row r="160" s="1" customFormat="1" ht="18.75" customHeight="1" spans="1:5">
      <c r="A160" s="4">
        <v>2</v>
      </c>
      <c r="B160" s="18" t="s">
        <v>269</v>
      </c>
      <c r="C160" s="4" t="s">
        <v>270</v>
      </c>
      <c r="D160" s="10" t="s">
        <v>225</v>
      </c>
      <c r="E160" s="811">
        <v>64800</v>
      </c>
    </row>
    <row r="161" ht="24.75" customHeight="1" spans="1:5">
      <c r="A161" s="4">
        <v>3</v>
      </c>
      <c r="B161" s="11" t="s">
        <v>271</v>
      </c>
      <c r="C161" s="4" t="s">
        <v>272</v>
      </c>
      <c r="D161" s="10" t="s">
        <v>275</v>
      </c>
      <c r="E161" s="811">
        <v>64800</v>
      </c>
    </row>
    <row r="162" s="1" customFormat="1" customHeight="1" spans="1:5">
      <c r="A162" s="4">
        <v>4</v>
      </c>
      <c r="B162" s="18" t="s">
        <v>273</v>
      </c>
      <c r="C162" s="12" t="s">
        <v>274</v>
      </c>
      <c r="D162" s="15" t="s">
        <v>275</v>
      </c>
      <c r="E162" s="811">
        <v>64800</v>
      </c>
    </row>
    <row r="163" ht="24.75" customHeight="1" spans="1:5">
      <c r="A163" s="4">
        <v>5</v>
      </c>
      <c r="B163" s="11" t="s">
        <v>276</v>
      </c>
      <c r="C163" s="4" t="s">
        <v>277</v>
      </c>
      <c r="D163" s="10" t="s">
        <v>275</v>
      </c>
      <c r="E163" s="811">
        <v>64800</v>
      </c>
    </row>
    <row r="164" customHeight="1" spans="1:5">
      <c r="A164" s="4"/>
      <c r="B164" s="20" t="s">
        <v>120</v>
      </c>
      <c r="C164" s="21">
        <v>5</v>
      </c>
      <c r="D164" s="26"/>
      <c r="E164" s="814">
        <f>SUM(E159:E163)</f>
        <v>340800</v>
      </c>
    </row>
    <row r="165" customHeight="1" spans="1:5">
      <c r="A165" s="4"/>
      <c r="B165" s="20"/>
      <c r="C165" s="21"/>
      <c r="D165" s="26"/>
      <c r="E165" s="814"/>
    </row>
    <row r="166" customHeight="1" spans="1:5">
      <c r="A166" s="4"/>
      <c r="B166" s="20" t="s">
        <v>278</v>
      </c>
      <c r="C166" s="21"/>
      <c r="D166" s="21"/>
      <c r="E166" s="815"/>
    </row>
    <row r="167" customHeight="1" spans="1:5">
      <c r="A167" s="4">
        <v>1</v>
      </c>
      <c r="B167" s="11" t="s">
        <v>279</v>
      </c>
      <c r="C167" s="12" t="s">
        <v>280</v>
      </c>
      <c r="D167" s="15" t="s">
        <v>124</v>
      </c>
      <c r="E167" s="811">
        <v>324000</v>
      </c>
    </row>
    <row r="168" customHeight="1" spans="1:5">
      <c r="A168" s="4">
        <v>2</v>
      </c>
      <c r="B168" s="11" t="s">
        <v>281</v>
      </c>
      <c r="C168" s="12" t="s">
        <v>282</v>
      </c>
      <c r="D168" s="15" t="s">
        <v>36</v>
      </c>
      <c r="E168" s="811">
        <v>216000</v>
      </c>
    </row>
    <row r="169" customHeight="1" spans="1:5">
      <c r="A169" s="4">
        <v>3</v>
      </c>
      <c r="B169" s="14" t="s">
        <v>283</v>
      </c>
      <c r="C169" s="12" t="s">
        <v>282</v>
      </c>
      <c r="D169" s="15" t="s">
        <v>143</v>
      </c>
      <c r="E169" s="811">
        <v>216000</v>
      </c>
    </row>
    <row r="170" customHeight="1" spans="1:5">
      <c r="A170" s="4">
        <v>4</v>
      </c>
      <c r="B170" s="11" t="s">
        <v>284</v>
      </c>
      <c r="C170" s="12" t="s">
        <v>285</v>
      </c>
      <c r="D170" s="15" t="s">
        <v>42</v>
      </c>
      <c r="E170" s="811">
        <v>151200</v>
      </c>
    </row>
    <row r="171" customHeight="1" spans="1:5">
      <c r="A171" s="4">
        <v>5</v>
      </c>
      <c r="B171" s="11" t="s">
        <v>286</v>
      </c>
      <c r="C171" s="12" t="s">
        <v>285</v>
      </c>
      <c r="D171" s="15" t="s">
        <v>42</v>
      </c>
      <c r="E171" s="811">
        <v>151200</v>
      </c>
    </row>
    <row r="172" customHeight="1" spans="1:5">
      <c r="A172" s="4">
        <v>6</v>
      </c>
      <c r="B172" s="11" t="s">
        <v>287</v>
      </c>
      <c r="C172" s="12" t="s">
        <v>288</v>
      </c>
      <c r="D172" s="15" t="s">
        <v>214</v>
      </c>
      <c r="E172" s="811">
        <v>108000</v>
      </c>
    </row>
    <row r="173" customHeight="1" spans="1:5">
      <c r="A173" s="4">
        <v>7</v>
      </c>
      <c r="B173" s="11" t="s">
        <v>289</v>
      </c>
      <c r="C173" s="12" t="s">
        <v>288</v>
      </c>
      <c r="D173" s="15" t="s">
        <v>47</v>
      </c>
      <c r="E173" s="811">
        <v>108000</v>
      </c>
    </row>
    <row r="174" s="1" customFormat="1" customHeight="1" spans="1:5">
      <c r="A174" s="4">
        <v>8</v>
      </c>
      <c r="B174" s="18" t="s">
        <v>290</v>
      </c>
      <c r="C174" s="12" t="s">
        <v>291</v>
      </c>
      <c r="D174" s="15" t="s">
        <v>225</v>
      </c>
      <c r="E174" s="811">
        <v>64800</v>
      </c>
    </row>
    <row r="175" customHeight="1" spans="1:5">
      <c r="A175" s="4">
        <v>9</v>
      </c>
      <c r="B175" s="11" t="s">
        <v>292</v>
      </c>
      <c r="C175" s="4" t="s">
        <v>293</v>
      </c>
      <c r="D175" s="15" t="s">
        <v>81</v>
      </c>
      <c r="E175" s="811">
        <v>81600</v>
      </c>
    </row>
    <row r="176" customHeight="1" spans="1:5">
      <c r="A176" s="4">
        <v>10</v>
      </c>
      <c r="B176" s="18" t="s">
        <v>294</v>
      </c>
      <c r="C176" s="12" t="s">
        <v>295</v>
      </c>
      <c r="D176" s="15" t="s">
        <v>108</v>
      </c>
      <c r="E176" s="811">
        <v>64800</v>
      </c>
    </row>
    <row r="177" customHeight="1" spans="1:5">
      <c r="A177" s="4">
        <v>11</v>
      </c>
      <c r="B177" s="18" t="s">
        <v>296</v>
      </c>
      <c r="C177" s="12" t="s">
        <v>291</v>
      </c>
      <c r="D177" s="15" t="s">
        <v>108</v>
      </c>
      <c r="E177" s="811">
        <v>64800</v>
      </c>
    </row>
    <row r="178" customHeight="1" spans="1:5">
      <c r="A178" s="4">
        <v>12</v>
      </c>
      <c r="B178" s="18" t="s">
        <v>297</v>
      </c>
      <c r="C178" s="12" t="s">
        <v>295</v>
      </c>
      <c r="D178" s="15" t="s">
        <v>111</v>
      </c>
      <c r="E178" s="811">
        <v>64800</v>
      </c>
    </row>
    <row r="179" ht="28.5" customHeight="1" spans="1:5">
      <c r="A179" s="4"/>
      <c r="B179" s="20" t="s">
        <v>120</v>
      </c>
      <c r="C179" s="26" t="s">
        <v>298</v>
      </c>
      <c r="D179" s="15"/>
      <c r="E179" s="812">
        <f>SUM(E167:E178)</f>
        <v>1615200</v>
      </c>
    </row>
    <row r="180" customHeight="1" spans="1:5">
      <c r="A180" s="4"/>
      <c r="B180" s="22"/>
      <c r="C180" s="26"/>
      <c r="D180" s="15"/>
      <c r="E180" s="815"/>
    </row>
    <row r="181" customHeight="1" spans="1:5">
      <c r="A181" s="4"/>
      <c r="B181" s="20" t="s">
        <v>299</v>
      </c>
      <c r="C181" s="12"/>
      <c r="D181" s="15"/>
      <c r="E181" s="811"/>
    </row>
    <row r="182" customHeight="1" spans="1:5">
      <c r="A182" s="27">
        <v>1</v>
      </c>
      <c r="B182" s="14" t="s">
        <v>300</v>
      </c>
      <c r="C182" s="4" t="s">
        <v>301</v>
      </c>
      <c r="D182" s="10" t="s">
        <v>511</v>
      </c>
      <c r="E182" s="811">
        <v>324000</v>
      </c>
    </row>
    <row r="183" customHeight="1" spans="1:5">
      <c r="A183" s="27">
        <v>2</v>
      </c>
      <c r="B183" s="14" t="s">
        <v>302</v>
      </c>
      <c r="C183" s="4" t="s">
        <v>488</v>
      </c>
      <c r="D183" s="16" t="s">
        <v>36</v>
      </c>
      <c r="E183" s="811">
        <v>216000</v>
      </c>
    </row>
    <row r="184" customHeight="1" spans="1:5">
      <c r="A184" s="27">
        <v>3</v>
      </c>
      <c r="B184" s="11" t="s">
        <v>305</v>
      </c>
      <c r="C184" s="12" t="s">
        <v>306</v>
      </c>
      <c r="D184" s="15" t="s">
        <v>42</v>
      </c>
      <c r="E184" s="811">
        <v>151200</v>
      </c>
    </row>
    <row r="185" customHeight="1" spans="1:5">
      <c r="A185" s="27">
        <v>4</v>
      </c>
      <c r="B185" s="11" t="s">
        <v>307</v>
      </c>
      <c r="C185" s="4" t="s">
        <v>489</v>
      </c>
      <c r="D185" s="15" t="s">
        <v>42</v>
      </c>
      <c r="E185" s="811">
        <v>151201</v>
      </c>
    </row>
    <row r="186" customHeight="1" spans="1:5">
      <c r="A186" s="27">
        <v>5</v>
      </c>
      <c r="B186" s="11" t="s">
        <v>309</v>
      </c>
      <c r="C186" s="4" t="s">
        <v>489</v>
      </c>
      <c r="D186" s="15" t="s">
        <v>42</v>
      </c>
      <c r="E186" s="811">
        <v>151202</v>
      </c>
    </row>
    <row r="187" customHeight="1" spans="1:5">
      <c r="A187" s="27">
        <v>6</v>
      </c>
      <c r="B187" s="11" t="s">
        <v>310</v>
      </c>
      <c r="C187" s="4" t="s">
        <v>311</v>
      </c>
      <c r="D187" s="10" t="s">
        <v>600</v>
      </c>
      <c r="E187" s="811">
        <v>108000</v>
      </c>
    </row>
    <row r="188" customHeight="1" spans="1:5">
      <c r="A188" s="27">
        <v>7</v>
      </c>
      <c r="B188" s="11" t="s">
        <v>312</v>
      </c>
      <c r="C188" s="12" t="s">
        <v>232</v>
      </c>
      <c r="D188" s="15" t="s">
        <v>67</v>
      </c>
      <c r="E188" s="811">
        <v>108000</v>
      </c>
    </row>
    <row r="189" customHeight="1" spans="1:5">
      <c r="A189" s="27">
        <v>8</v>
      </c>
      <c r="B189" s="11" t="s">
        <v>313</v>
      </c>
      <c r="C189" s="4" t="s">
        <v>314</v>
      </c>
      <c r="D189" s="15" t="s">
        <v>67</v>
      </c>
      <c r="E189" s="811">
        <v>108000</v>
      </c>
    </row>
    <row r="190" customHeight="1" spans="1:5">
      <c r="A190" s="27">
        <v>9</v>
      </c>
      <c r="B190" s="11" t="s">
        <v>315</v>
      </c>
      <c r="C190" s="12" t="s">
        <v>316</v>
      </c>
      <c r="D190" s="15" t="s">
        <v>67</v>
      </c>
      <c r="E190" s="811">
        <v>108000</v>
      </c>
    </row>
    <row r="191" customHeight="1" spans="1:5">
      <c r="A191" s="27">
        <v>10</v>
      </c>
      <c r="B191" s="11" t="s">
        <v>317</v>
      </c>
      <c r="C191" s="12" t="s">
        <v>318</v>
      </c>
      <c r="D191" s="15" t="s">
        <v>70</v>
      </c>
      <c r="E191" s="811">
        <v>81600</v>
      </c>
    </row>
    <row r="192" customHeight="1" spans="1:5">
      <c r="A192" s="27">
        <v>11</v>
      </c>
      <c r="B192" s="18" t="s">
        <v>319</v>
      </c>
      <c r="C192" s="4" t="s">
        <v>320</v>
      </c>
      <c r="D192" s="15" t="s">
        <v>131</v>
      </c>
      <c r="E192" s="811">
        <v>81600</v>
      </c>
    </row>
    <row r="193" customHeight="1" spans="1:5">
      <c r="A193" s="27">
        <v>12</v>
      </c>
      <c r="B193" s="11" t="s">
        <v>321</v>
      </c>
      <c r="C193" s="4" t="s">
        <v>320</v>
      </c>
      <c r="D193" s="15" t="s">
        <v>180</v>
      </c>
      <c r="E193" s="811">
        <v>81600</v>
      </c>
    </row>
    <row r="194" customHeight="1" spans="1:5">
      <c r="A194" s="27">
        <v>13</v>
      </c>
      <c r="B194" s="11" t="s">
        <v>322</v>
      </c>
      <c r="C194" s="4" t="s">
        <v>320</v>
      </c>
      <c r="D194" s="15" t="s">
        <v>180</v>
      </c>
      <c r="E194" s="811">
        <v>81600</v>
      </c>
    </row>
    <row r="195" customHeight="1" spans="1:5">
      <c r="A195" s="27">
        <v>14</v>
      </c>
      <c r="B195" s="11" t="s">
        <v>323</v>
      </c>
      <c r="C195" s="4" t="s">
        <v>320</v>
      </c>
      <c r="D195" s="15" t="s">
        <v>180</v>
      </c>
      <c r="E195" s="811">
        <v>81600</v>
      </c>
    </row>
    <row r="196" customHeight="1" spans="1:5">
      <c r="A196" s="27">
        <v>15</v>
      </c>
      <c r="B196" s="11" t="s">
        <v>324</v>
      </c>
      <c r="C196" s="4" t="s">
        <v>320</v>
      </c>
      <c r="D196" s="15" t="s">
        <v>131</v>
      </c>
      <c r="E196" s="811">
        <v>81600</v>
      </c>
    </row>
    <row r="197" customHeight="1" spans="1:5">
      <c r="A197" s="27">
        <v>16</v>
      </c>
      <c r="B197" s="11" t="s">
        <v>325</v>
      </c>
      <c r="C197" s="12" t="s">
        <v>326</v>
      </c>
      <c r="D197" s="15" t="s">
        <v>78</v>
      </c>
      <c r="E197" s="811">
        <v>81600</v>
      </c>
    </row>
    <row r="198" customHeight="1" spans="1:5">
      <c r="A198" s="27">
        <v>17</v>
      </c>
      <c r="B198" s="11" t="s">
        <v>327</v>
      </c>
      <c r="C198" s="12" t="s">
        <v>328</v>
      </c>
      <c r="D198" s="10" t="s">
        <v>81</v>
      </c>
      <c r="E198" s="811">
        <v>81600</v>
      </c>
    </row>
    <row r="199" customHeight="1" spans="1:5">
      <c r="A199" s="27">
        <v>18</v>
      </c>
      <c r="B199" s="11" t="s">
        <v>329</v>
      </c>
      <c r="C199" s="4" t="s">
        <v>330</v>
      </c>
      <c r="D199" s="15" t="s">
        <v>180</v>
      </c>
      <c r="E199" s="811">
        <v>81600</v>
      </c>
    </row>
    <row r="200" customHeight="1" spans="1:5">
      <c r="A200" s="27">
        <v>19</v>
      </c>
      <c r="B200" s="11" t="s">
        <v>331</v>
      </c>
      <c r="C200" s="4" t="s">
        <v>332</v>
      </c>
      <c r="D200" s="15" t="s">
        <v>81</v>
      </c>
      <c r="E200" s="811">
        <v>81600</v>
      </c>
    </row>
    <row r="201" customHeight="1" spans="1:5">
      <c r="A201" s="27">
        <v>20</v>
      </c>
      <c r="B201" s="11" t="s">
        <v>333</v>
      </c>
      <c r="C201" s="4" t="s">
        <v>330</v>
      </c>
      <c r="D201" s="15" t="s">
        <v>180</v>
      </c>
      <c r="E201" s="811">
        <v>81600</v>
      </c>
    </row>
    <row r="202" customHeight="1" spans="1:5">
      <c r="A202" s="27">
        <v>21</v>
      </c>
      <c r="B202" s="11" t="s">
        <v>334</v>
      </c>
      <c r="C202" s="4" t="s">
        <v>335</v>
      </c>
      <c r="D202" s="15" t="s">
        <v>81</v>
      </c>
      <c r="E202" s="811">
        <v>81600</v>
      </c>
    </row>
    <row r="203" customHeight="1" spans="1:5">
      <c r="A203" s="27">
        <v>22</v>
      </c>
      <c r="B203" s="18" t="s">
        <v>336</v>
      </c>
      <c r="C203" s="12" t="s">
        <v>337</v>
      </c>
      <c r="D203" s="15" t="s">
        <v>99</v>
      </c>
      <c r="E203" s="816">
        <v>64800</v>
      </c>
    </row>
    <row r="204" customHeight="1" spans="1:5">
      <c r="A204" s="27">
        <v>23</v>
      </c>
      <c r="B204" s="18" t="s">
        <v>338</v>
      </c>
      <c r="C204" s="12" t="s">
        <v>337</v>
      </c>
      <c r="D204" s="15" t="s">
        <v>99</v>
      </c>
      <c r="E204" s="816">
        <v>64800</v>
      </c>
    </row>
    <row r="205" s="1" customFormat="1" ht="18.75" customHeight="1" spans="1:5">
      <c r="A205" s="27">
        <v>24</v>
      </c>
      <c r="B205" s="18" t="s">
        <v>339</v>
      </c>
      <c r="C205" s="4" t="s">
        <v>340</v>
      </c>
      <c r="D205" s="10" t="s">
        <v>225</v>
      </c>
      <c r="E205" s="816">
        <v>64800</v>
      </c>
    </row>
    <row r="206" s="1" customFormat="1" customHeight="1" spans="1:5">
      <c r="A206" s="27">
        <v>25</v>
      </c>
      <c r="B206" s="18" t="s">
        <v>341</v>
      </c>
      <c r="C206" s="12" t="s">
        <v>342</v>
      </c>
      <c r="D206" s="15" t="s">
        <v>225</v>
      </c>
      <c r="E206" s="816">
        <v>64800</v>
      </c>
    </row>
    <row r="207" customHeight="1" spans="1:5">
      <c r="A207" s="27">
        <v>26</v>
      </c>
      <c r="B207" s="18" t="s">
        <v>343</v>
      </c>
      <c r="C207" s="12" t="s">
        <v>344</v>
      </c>
      <c r="D207" s="15" t="s">
        <v>108</v>
      </c>
      <c r="E207" s="816">
        <v>64800</v>
      </c>
    </row>
    <row r="208" customHeight="1" spans="1:5">
      <c r="A208" s="27">
        <v>27</v>
      </c>
      <c r="B208" s="18" t="s">
        <v>345</v>
      </c>
      <c r="C208" s="12" t="s">
        <v>346</v>
      </c>
      <c r="D208" s="15" t="s">
        <v>108</v>
      </c>
      <c r="E208" s="816">
        <v>64800</v>
      </c>
    </row>
    <row r="209" customHeight="1" spans="1:5">
      <c r="A209" s="27">
        <v>28</v>
      </c>
      <c r="B209" s="18" t="s">
        <v>347</v>
      </c>
      <c r="C209" s="12" t="s">
        <v>348</v>
      </c>
      <c r="D209" s="15" t="s">
        <v>108</v>
      </c>
      <c r="E209" s="816">
        <v>64800</v>
      </c>
    </row>
    <row r="210" customHeight="1" spans="1:5">
      <c r="A210" s="27">
        <v>29</v>
      </c>
      <c r="B210" s="18" t="s">
        <v>349</v>
      </c>
      <c r="C210" s="4" t="s">
        <v>88</v>
      </c>
      <c r="D210" s="10" t="s">
        <v>225</v>
      </c>
      <c r="E210" s="816">
        <v>64800</v>
      </c>
    </row>
    <row r="211" customHeight="1" spans="1:5">
      <c r="A211" s="27">
        <v>30</v>
      </c>
      <c r="B211" s="18" t="s">
        <v>350</v>
      </c>
      <c r="C211" s="12" t="s">
        <v>346</v>
      </c>
      <c r="D211" s="15" t="s">
        <v>108</v>
      </c>
      <c r="E211" s="816">
        <v>64800</v>
      </c>
    </row>
    <row r="212" customHeight="1" spans="1:5">
      <c r="A212" s="27">
        <v>31</v>
      </c>
      <c r="B212" s="18" t="s">
        <v>351</v>
      </c>
      <c r="C212" s="12" t="s">
        <v>352</v>
      </c>
      <c r="D212" s="15" t="s">
        <v>111</v>
      </c>
      <c r="E212" s="816">
        <v>64800</v>
      </c>
    </row>
    <row r="213" customHeight="1" spans="1:5">
      <c r="A213" s="27">
        <v>32</v>
      </c>
      <c r="B213" s="18" t="s">
        <v>353</v>
      </c>
      <c r="C213" s="12" t="s">
        <v>352</v>
      </c>
      <c r="D213" s="15" t="s">
        <v>111</v>
      </c>
      <c r="E213" s="816">
        <v>64800</v>
      </c>
    </row>
    <row r="214" s="1" customFormat="1" customHeight="1" spans="1:5">
      <c r="A214" s="27">
        <v>33</v>
      </c>
      <c r="B214" s="18" t="s">
        <v>482</v>
      </c>
      <c r="C214" s="12" t="s">
        <v>605</v>
      </c>
      <c r="D214" s="15" t="s">
        <v>275</v>
      </c>
      <c r="E214" s="816">
        <v>64800</v>
      </c>
    </row>
    <row r="215" s="1" customFormat="1" customHeight="1" spans="1:5">
      <c r="A215" s="27">
        <v>34</v>
      </c>
      <c r="B215" s="18" t="s">
        <v>354</v>
      </c>
      <c r="C215" s="12" t="s">
        <v>342</v>
      </c>
      <c r="D215" s="15" t="s">
        <v>275</v>
      </c>
      <c r="E215" s="816">
        <v>64800</v>
      </c>
    </row>
    <row r="216" s="1" customFormat="1" customHeight="1" spans="1:5">
      <c r="A216" s="27">
        <v>35</v>
      </c>
      <c r="B216" s="18" t="s">
        <v>355</v>
      </c>
      <c r="C216" s="12" t="s">
        <v>342</v>
      </c>
      <c r="D216" s="15" t="s">
        <v>275</v>
      </c>
      <c r="E216" s="816">
        <v>64800</v>
      </c>
    </row>
    <row r="217" s="1" customFormat="1" customHeight="1" spans="1:5">
      <c r="A217" s="27">
        <v>36</v>
      </c>
      <c r="B217" s="18" t="s">
        <v>356</v>
      </c>
      <c r="C217" s="12" t="s">
        <v>342</v>
      </c>
      <c r="D217" s="15" t="s">
        <v>275</v>
      </c>
      <c r="E217" s="816">
        <v>64800</v>
      </c>
    </row>
    <row r="218" s="1" customFormat="1" customHeight="1" spans="1:5">
      <c r="A218" s="27">
        <v>37</v>
      </c>
      <c r="B218" s="18" t="s">
        <v>357</v>
      </c>
      <c r="C218" s="12" t="s">
        <v>342</v>
      </c>
      <c r="D218" s="15" t="s">
        <v>275</v>
      </c>
      <c r="E218" s="816">
        <v>64800</v>
      </c>
    </row>
    <row r="219" s="1" customFormat="1" customHeight="1" spans="1:5">
      <c r="A219" s="27">
        <v>38</v>
      </c>
      <c r="B219" s="18" t="s">
        <v>358</v>
      </c>
      <c r="C219" s="12" t="s">
        <v>342</v>
      </c>
      <c r="D219" s="15" t="s">
        <v>275</v>
      </c>
      <c r="E219" s="816">
        <v>64800</v>
      </c>
    </row>
    <row r="220" customHeight="1" spans="1:5">
      <c r="A220" s="27">
        <v>39</v>
      </c>
      <c r="B220" s="11" t="s">
        <v>359</v>
      </c>
      <c r="C220" s="12" t="s">
        <v>512</v>
      </c>
      <c r="D220" s="15" t="s">
        <v>372</v>
      </c>
      <c r="E220" s="813">
        <v>54000</v>
      </c>
    </row>
    <row r="221" customHeight="1" spans="1:5">
      <c r="A221" s="27">
        <v>40</v>
      </c>
      <c r="B221" s="11" t="s">
        <v>362</v>
      </c>
      <c r="C221" s="12" t="s">
        <v>512</v>
      </c>
      <c r="D221" s="15" t="s">
        <v>372</v>
      </c>
      <c r="E221" s="813">
        <v>54000</v>
      </c>
    </row>
    <row r="222" customHeight="1" spans="1:5">
      <c r="A222" s="27">
        <v>41</v>
      </c>
      <c r="B222" s="11" t="s">
        <v>363</v>
      </c>
      <c r="C222" s="12" t="s">
        <v>512</v>
      </c>
      <c r="D222" s="15" t="s">
        <v>372</v>
      </c>
      <c r="E222" s="813">
        <v>54000</v>
      </c>
    </row>
    <row r="223" customHeight="1" spans="1:5">
      <c r="A223" s="27">
        <v>42</v>
      </c>
      <c r="B223" s="11" t="s">
        <v>364</v>
      </c>
      <c r="C223" s="12" t="s">
        <v>512</v>
      </c>
      <c r="D223" s="15" t="s">
        <v>372</v>
      </c>
      <c r="E223" s="813">
        <v>54000</v>
      </c>
    </row>
    <row r="224" customHeight="1" spans="1:5">
      <c r="A224" s="27">
        <v>43</v>
      </c>
      <c r="B224" s="11" t="s">
        <v>365</v>
      </c>
      <c r="C224" s="12" t="s">
        <v>512</v>
      </c>
      <c r="D224" s="15" t="s">
        <v>384</v>
      </c>
      <c r="E224" s="813">
        <v>54000</v>
      </c>
    </row>
    <row r="225" customHeight="1" spans="1:5">
      <c r="A225" s="27">
        <v>44</v>
      </c>
      <c r="B225" s="11" t="s">
        <v>367</v>
      </c>
      <c r="C225" s="12" t="s">
        <v>512</v>
      </c>
      <c r="D225" s="15" t="s">
        <v>384</v>
      </c>
      <c r="E225" s="813">
        <v>54000</v>
      </c>
    </row>
    <row r="226" customHeight="1" spans="1:5">
      <c r="A226" s="27">
        <v>45</v>
      </c>
      <c r="B226" s="14" t="s">
        <v>368</v>
      </c>
      <c r="C226" s="12" t="s">
        <v>512</v>
      </c>
      <c r="D226" s="15" t="s">
        <v>384</v>
      </c>
      <c r="E226" s="813">
        <v>54000</v>
      </c>
    </row>
    <row r="227" customHeight="1" spans="1:5">
      <c r="A227" s="27">
        <v>46</v>
      </c>
      <c r="B227" s="11" t="s">
        <v>369</v>
      </c>
      <c r="C227" s="12" t="s">
        <v>512</v>
      </c>
      <c r="D227" s="15" t="s">
        <v>384</v>
      </c>
      <c r="E227" s="813">
        <v>54000</v>
      </c>
    </row>
    <row r="228" customHeight="1" spans="1:5">
      <c r="A228" s="27">
        <v>47</v>
      </c>
      <c r="B228" s="18" t="s">
        <v>370</v>
      </c>
      <c r="C228" s="12" t="s">
        <v>512</v>
      </c>
      <c r="D228" s="15" t="s">
        <v>384</v>
      </c>
      <c r="E228" s="813">
        <v>54000</v>
      </c>
    </row>
    <row r="229" customHeight="1" spans="1:5">
      <c r="A229" s="27">
        <v>48</v>
      </c>
      <c r="B229" s="11" t="s">
        <v>371</v>
      </c>
      <c r="C229" s="12" t="s">
        <v>360</v>
      </c>
      <c r="D229" s="15" t="s">
        <v>606</v>
      </c>
      <c r="E229" s="813">
        <v>54000</v>
      </c>
    </row>
    <row r="230" customHeight="1" spans="1:5">
      <c r="A230" s="27">
        <v>49</v>
      </c>
      <c r="B230" s="11" t="s">
        <v>373</v>
      </c>
      <c r="C230" s="12" t="s">
        <v>360</v>
      </c>
      <c r="D230" s="15" t="s">
        <v>606</v>
      </c>
      <c r="E230" s="813">
        <v>54000</v>
      </c>
    </row>
    <row r="231" customHeight="1" spans="1:5">
      <c r="A231" s="27">
        <v>50</v>
      </c>
      <c r="B231" s="18" t="s">
        <v>374</v>
      </c>
      <c r="C231" s="12" t="s">
        <v>360</v>
      </c>
      <c r="D231" s="15" t="s">
        <v>377</v>
      </c>
      <c r="E231" s="813">
        <v>54000</v>
      </c>
    </row>
    <row r="232" customHeight="1" spans="1:5">
      <c r="A232" s="27">
        <v>51</v>
      </c>
      <c r="B232" s="11" t="s">
        <v>376</v>
      </c>
      <c r="C232" s="12" t="s">
        <v>513</v>
      </c>
      <c r="D232" s="15" t="s">
        <v>607</v>
      </c>
      <c r="E232" s="813">
        <v>54000</v>
      </c>
    </row>
    <row r="233" customHeight="1" spans="1:5">
      <c r="A233" s="27">
        <v>52</v>
      </c>
      <c r="B233" s="11" t="s">
        <v>378</v>
      </c>
      <c r="C233" s="12" t="s">
        <v>513</v>
      </c>
      <c r="D233" s="15" t="s">
        <v>607</v>
      </c>
      <c r="E233" s="813">
        <v>54000</v>
      </c>
    </row>
    <row r="234" customHeight="1" spans="1:5">
      <c r="A234" s="27">
        <v>53</v>
      </c>
      <c r="B234" s="11" t="s">
        <v>379</v>
      </c>
      <c r="C234" s="12" t="s">
        <v>513</v>
      </c>
      <c r="D234" s="15" t="s">
        <v>607</v>
      </c>
      <c r="E234" s="813">
        <v>54000</v>
      </c>
    </row>
    <row r="235" customHeight="1" spans="1:5">
      <c r="A235" s="27">
        <v>54</v>
      </c>
      <c r="B235" s="11" t="s">
        <v>380</v>
      </c>
      <c r="C235" s="12" t="s">
        <v>513</v>
      </c>
      <c r="D235" s="15" t="s">
        <v>607</v>
      </c>
      <c r="E235" s="813">
        <v>54000</v>
      </c>
    </row>
    <row r="236" customHeight="1" spans="1:5">
      <c r="A236" s="27">
        <v>55</v>
      </c>
      <c r="B236" s="11" t="s">
        <v>381</v>
      </c>
      <c r="C236" s="12" t="s">
        <v>513</v>
      </c>
      <c r="D236" s="15" t="s">
        <v>607</v>
      </c>
      <c r="E236" s="813">
        <v>54000</v>
      </c>
    </row>
    <row r="237" customHeight="1" spans="1:5">
      <c r="A237" s="27">
        <v>56</v>
      </c>
      <c r="B237" s="11" t="s">
        <v>382</v>
      </c>
      <c r="C237" s="12" t="s">
        <v>513</v>
      </c>
      <c r="D237" s="15" t="s">
        <v>607</v>
      </c>
      <c r="E237" s="813">
        <v>54000</v>
      </c>
    </row>
    <row r="238" customHeight="1" spans="1:5">
      <c r="A238" s="27">
        <v>57</v>
      </c>
      <c r="B238" s="18" t="s">
        <v>383</v>
      </c>
      <c r="C238" s="12" t="s">
        <v>513</v>
      </c>
      <c r="D238" s="15" t="s">
        <v>607</v>
      </c>
      <c r="E238" s="813">
        <v>54000</v>
      </c>
    </row>
    <row r="239" customHeight="1" spans="1:5">
      <c r="A239" s="27">
        <v>58</v>
      </c>
      <c r="B239" s="18" t="s">
        <v>385</v>
      </c>
      <c r="C239" s="12" t="s">
        <v>514</v>
      </c>
      <c r="D239" s="15" t="s">
        <v>608</v>
      </c>
      <c r="E239" s="811">
        <v>43200</v>
      </c>
    </row>
    <row r="240" customHeight="1" spans="1:5">
      <c r="A240" s="27">
        <v>59</v>
      </c>
      <c r="B240" s="11" t="s">
        <v>386</v>
      </c>
      <c r="C240" s="12" t="s">
        <v>387</v>
      </c>
      <c r="D240" s="15" t="s">
        <v>608</v>
      </c>
      <c r="E240" s="811">
        <v>43200</v>
      </c>
    </row>
    <row r="241" customHeight="1" spans="1:5">
      <c r="A241" s="27">
        <v>60</v>
      </c>
      <c r="B241" s="18" t="s">
        <v>389</v>
      </c>
      <c r="C241" s="12" t="s">
        <v>390</v>
      </c>
      <c r="D241" s="15" t="s">
        <v>393</v>
      </c>
      <c r="E241" s="811">
        <v>43200</v>
      </c>
    </row>
    <row r="242" customHeight="1" spans="1:5">
      <c r="A242" s="27">
        <v>61</v>
      </c>
      <c r="B242" s="18" t="s">
        <v>392</v>
      </c>
      <c r="C242" s="12" t="s">
        <v>390</v>
      </c>
      <c r="D242" s="15" t="s">
        <v>395</v>
      </c>
      <c r="E242" s="811">
        <v>43200</v>
      </c>
    </row>
    <row r="243" customHeight="1" spans="1:5">
      <c r="A243" s="27">
        <v>62</v>
      </c>
      <c r="B243" s="18" t="s">
        <v>394</v>
      </c>
      <c r="C243" s="12" t="s">
        <v>390</v>
      </c>
      <c r="D243" s="15" t="s">
        <v>395</v>
      </c>
      <c r="E243" s="811">
        <v>43200</v>
      </c>
    </row>
    <row r="244" customHeight="1" spans="1:5">
      <c r="A244" s="27">
        <v>63</v>
      </c>
      <c r="B244" s="18" t="s">
        <v>396</v>
      </c>
      <c r="C244" s="12" t="s">
        <v>397</v>
      </c>
      <c r="D244" s="15" t="s">
        <v>609</v>
      </c>
      <c r="E244" s="811">
        <v>43200</v>
      </c>
    </row>
    <row r="245" customHeight="1" spans="1:5">
      <c r="A245" s="27">
        <v>64</v>
      </c>
      <c r="B245" s="18" t="s">
        <v>399</v>
      </c>
      <c r="C245" s="12" t="s">
        <v>397</v>
      </c>
      <c r="D245" s="15" t="s">
        <v>609</v>
      </c>
      <c r="E245" s="811">
        <v>43200</v>
      </c>
    </row>
    <row r="246" customHeight="1" spans="1:5">
      <c r="A246" s="27">
        <v>65</v>
      </c>
      <c r="B246" s="18" t="s">
        <v>400</v>
      </c>
      <c r="C246" s="12" t="s">
        <v>397</v>
      </c>
      <c r="D246" s="15" t="s">
        <v>609</v>
      </c>
      <c r="E246" s="811">
        <v>43200</v>
      </c>
    </row>
    <row r="247" customHeight="1" spans="1:5">
      <c r="A247" s="27">
        <v>66</v>
      </c>
      <c r="B247" s="18" t="s">
        <v>401</v>
      </c>
      <c r="C247" s="12" t="s">
        <v>402</v>
      </c>
      <c r="D247" s="15" t="s">
        <v>391</v>
      </c>
      <c r="E247" s="811">
        <v>43200</v>
      </c>
    </row>
    <row r="248" customHeight="1" spans="1:5">
      <c r="A248" s="27">
        <v>67</v>
      </c>
      <c r="B248" s="18" t="s">
        <v>404</v>
      </c>
      <c r="C248" s="12" t="s">
        <v>402</v>
      </c>
      <c r="D248" s="15" t="s">
        <v>391</v>
      </c>
      <c r="E248" s="811">
        <v>43200</v>
      </c>
    </row>
    <row r="249" ht="30.75" customHeight="1" spans="1:5">
      <c r="A249" s="27"/>
      <c r="B249" s="8" t="s">
        <v>120</v>
      </c>
      <c r="C249" s="28" t="s">
        <v>610</v>
      </c>
      <c r="D249" s="29"/>
      <c r="E249" s="814">
        <f>SUM(E182:E248)</f>
        <v>4964403</v>
      </c>
    </row>
    <row r="250" ht="30" customHeight="1" spans="1:5">
      <c r="A250" s="4"/>
      <c r="B250" s="30" t="s">
        <v>406</v>
      </c>
      <c r="C250" s="31">
        <f>C47+C57+C72+C77+C91+C105+C121+C131+C145+C164+C179+C249</f>
        <v>198</v>
      </c>
      <c r="D250" s="32"/>
      <c r="E250" s="1014">
        <f>E249+E179+E164+E156+E145+E131+E121+E105+E91+E77+E72+E57+E47</f>
        <v>21102403</v>
      </c>
    </row>
    <row r="251" ht="38.25" customHeight="1" spans="1:5">
      <c r="B251" s="33"/>
      <c r="D251" s="34"/>
      <c r="E251" s="34"/>
    </row>
    <row r="252" ht="36.75" customHeight="1" spans="1:5">
      <c r="B252" s="33"/>
      <c r="C252" s="34"/>
      <c r="D252" s="34"/>
      <c r="E252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8" max="4" man="1"/>
    <brk id="105" max="4" man="1"/>
    <brk id="157" max="4" man="1"/>
    <brk id="208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3" sqref="C3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5" customHeight="1" spans="1:3">
      <c r="A1" s="1013" t="s">
        <v>490</v>
      </c>
      <c r="B1" s="1013"/>
      <c r="C1" s="1013"/>
    </row>
    <row r="2" ht="16" customHeight="1" spans="1:3">
      <c r="A2" s="721"/>
      <c r="B2" s="721"/>
      <c r="C2" s="82" t="s">
        <v>21</v>
      </c>
    </row>
    <row r="3" ht="23.1" customHeight="1" spans="1:3">
      <c r="A3" s="722">
        <v>1</v>
      </c>
      <c r="B3" s="722" t="s">
        <v>491</v>
      </c>
      <c r="C3" s="610">
        <f>'Christmas Welfare 2025 (2)'!E250</f>
        <v>21102403</v>
      </c>
    </row>
    <row r="4" ht="23.1" customHeight="1" spans="1:3">
      <c r="A4" s="722">
        <v>2</v>
      </c>
      <c r="B4" s="722" t="s">
        <v>492</v>
      </c>
      <c r="C4" s="610"/>
    </row>
    <row r="5" ht="23.1" customHeight="1" spans="1:3">
      <c r="A5" s="722">
        <v>3</v>
      </c>
      <c r="B5" s="722" t="s">
        <v>493</v>
      </c>
      <c r="C5" s="610">
        <f>'[20]Chr. Welfare Contract'!$E$32</f>
        <v>2611200</v>
      </c>
    </row>
    <row r="6" ht="23.1" customHeight="1" spans="1:3">
      <c r="A6" s="722">
        <v>4</v>
      </c>
      <c r="B6" s="722" t="s">
        <v>494</v>
      </c>
      <c r="C6" s="610"/>
    </row>
    <row r="7" ht="23.1" customHeight="1" spans="1:3">
      <c r="A7" s="722">
        <v>5</v>
      </c>
      <c r="B7" s="722" t="s">
        <v>495</v>
      </c>
      <c r="C7" s="610">
        <f>'[20]CASUAL, SABB &amp; NYSC Chr Welfare'!$D$93</f>
        <v>4250400</v>
      </c>
    </row>
    <row r="8" ht="23.1" customHeight="1" spans="1:3">
      <c r="A8" s="722">
        <v>6</v>
      </c>
      <c r="B8" s="722" t="s">
        <v>496</v>
      </c>
      <c r="C8" s="610">
        <f>'[20]CONSULTANTS Chr. Welfare'!$D$20</f>
        <v>1296000</v>
      </c>
    </row>
    <row r="9" ht="23.1" customHeight="1" spans="1:3">
      <c r="A9" s="722">
        <v>7</v>
      </c>
      <c r="B9" s="722" t="s">
        <v>497</v>
      </c>
      <c r="C9" s="610"/>
    </row>
    <row r="10" ht="23.1" customHeight="1" spans="1:3">
      <c r="A10" s="722"/>
      <c r="B10" s="267" t="s">
        <v>498</v>
      </c>
      <c r="C10" s="723">
        <f>SUM(C3:C9)</f>
        <v>29260003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E15" activePane="bottomRight" state="frozen"/>
      <selection/>
      <selection pane="topRight"/>
      <selection pane="bottomLeft"/>
      <selection pane="bottomRight" activeCell="H16" sqref="H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683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612</v>
      </c>
      <c r="F4" s="906" t="s">
        <v>589</v>
      </c>
      <c r="G4" s="907" t="s">
        <v>619</v>
      </c>
      <c r="H4" s="907" t="s">
        <v>620</v>
      </c>
      <c r="I4" s="907" t="s">
        <v>598</v>
      </c>
      <c r="J4" s="907" t="s">
        <v>622</v>
      </c>
    </row>
    <row r="5" ht="17.25" customHeight="1" spans="1:10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</row>
    <row r="6" ht="17.25" customHeight="1" spans="1:10">
      <c r="A6" s="4"/>
      <c r="B6" s="4"/>
      <c r="C6" s="8"/>
      <c r="D6" s="8"/>
      <c r="E6" s="10" t="s">
        <v>623</v>
      </c>
      <c r="F6" s="909" t="s">
        <v>624</v>
      </c>
      <c r="G6" s="910" t="s">
        <v>631</v>
      </c>
      <c r="H6" s="910" t="s">
        <v>632</v>
      </c>
      <c r="I6" s="910" t="s">
        <v>633</v>
      </c>
      <c r="J6" s="910" t="s">
        <v>635</v>
      </c>
    </row>
    <row r="7" customHeight="1" spans="1:10">
      <c r="A7" s="9" t="s">
        <v>22</v>
      </c>
      <c r="B7" s="8" t="s">
        <v>23</v>
      </c>
      <c r="C7" s="8"/>
      <c r="D7" s="8"/>
      <c r="E7" s="10"/>
      <c r="F7" s="909"/>
      <c r="G7" s="910"/>
      <c r="H7" s="910" t="s">
        <v>641</v>
      </c>
      <c r="I7" s="910" t="s">
        <v>642</v>
      </c>
      <c r="J7" s="910" t="s">
        <v>642</v>
      </c>
    </row>
    <row r="8" customHeight="1" spans="1:10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912"/>
      <c r="H8" s="912"/>
      <c r="I8" s="912">
        <f t="shared" ref="I8:I38" si="0">H8-G8</f>
        <v>0</v>
      </c>
      <c r="J8" s="912">
        <f t="shared" ref="J8:J38" si="1">H8*12</f>
        <v>0</v>
      </c>
    </row>
    <row r="9" customHeight="1" spans="1:10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912"/>
      <c r="H9" s="912"/>
      <c r="I9" s="912">
        <f t="shared" si="0"/>
        <v>0</v>
      </c>
      <c r="J9" s="912">
        <f t="shared" si="1"/>
        <v>0</v>
      </c>
    </row>
    <row r="10" customHeight="1" spans="1:10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912"/>
      <c r="H10" s="912"/>
      <c r="I10" s="912">
        <f t="shared" si="0"/>
        <v>0</v>
      </c>
      <c r="J10" s="912">
        <f t="shared" si="1"/>
        <v>0</v>
      </c>
    </row>
    <row r="11" customHeight="1" spans="1:10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912">
        <v>10293.3979166667</v>
      </c>
      <c r="H11" s="912">
        <f t="shared" ref="H11:H38" si="2">0.025*F11</f>
        <v>13866.7375</v>
      </c>
      <c r="I11" s="912">
        <f t="shared" si="0"/>
        <v>3573.3395833333</v>
      </c>
      <c r="J11" s="912">
        <f t="shared" si="1"/>
        <v>166400.85</v>
      </c>
    </row>
    <row r="12" customHeight="1" spans="1:10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912">
        <v>10293.3979166667</v>
      </c>
      <c r="H12" s="912">
        <f t="shared" si="2"/>
        <v>13084.6625</v>
      </c>
      <c r="I12" s="912">
        <f t="shared" si="0"/>
        <v>2791.2645833333</v>
      </c>
      <c r="J12" s="912">
        <f t="shared" si="1"/>
        <v>157015.95</v>
      </c>
    </row>
    <row r="13" customHeight="1" spans="1:10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912">
        <v>7859.63125</v>
      </c>
      <c r="H13" s="912">
        <f t="shared" si="2"/>
        <v>11149.8958333333</v>
      </c>
      <c r="I13" s="912">
        <f t="shared" si="0"/>
        <v>3290.26458333333</v>
      </c>
      <c r="J13" s="912">
        <f t="shared" si="1"/>
        <v>133798.75</v>
      </c>
    </row>
    <row r="14" customHeight="1" spans="1:10">
      <c r="A14" s="10">
        <v>7</v>
      </c>
      <c r="B14" s="11" t="s">
        <v>40</v>
      </c>
      <c r="C14" s="4" t="s">
        <v>643</v>
      </c>
      <c r="D14" s="15" t="s">
        <v>192</v>
      </c>
      <c r="E14" s="85">
        <v>484373.75</v>
      </c>
      <c r="F14" s="911">
        <v>366417.5</v>
      </c>
      <c r="G14" s="912"/>
      <c r="H14" s="912">
        <f t="shared" si="2"/>
        <v>9160.4375</v>
      </c>
      <c r="I14" s="912">
        <f t="shared" si="0"/>
        <v>9160.4375</v>
      </c>
      <c r="J14" s="912">
        <f t="shared" si="1"/>
        <v>109925.25</v>
      </c>
    </row>
    <row r="15" customHeight="1" spans="1:10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912"/>
      <c r="H15" s="912">
        <f t="shared" si="2"/>
        <v>11149.8958333333</v>
      </c>
      <c r="I15" s="912">
        <f t="shared" si="0"/>
        <v>11149.8958333333</v>
      </c>
      <c r="J15" s="912">
        <f t="shared" si="1"/>
        <v>133798.75</v>
      </c>
    </row>
    <row r="16" customHeight="1" spans="1:10">
      <c r="A16" s="10">
        <v>9</v>
      </c>
      <c r="B16" s="11" t="s">
        <v>45</v>
      </c>
      <c r="C16" s="4" t="s">
        <v>46</v>
      </c>
      <c r="D16" s="10" t="s">
        <v>214</v>
      </c>
      <c r="E16" s="85">
        <v>456622.25</v>
      </c>
      <c r="F16" s="911">
        <v>347715.916666667</v>
      </c>
      <c r="G16" s="912"/>
      <c r="H16" s="912">
        <f t="shared" si="2"/>
        <v>8692.89791666667</v>
      </c>
      <c r="I16" s="912">
        <f t="shared" si="0"/>
        <v>8692.89791666667</v>
      </c>
      <c r="J16" s="912">
        <f t="shared" si="1"/>
        <v>104314.775</v>
      </c>
    </row>
    <row r="17" customHeight="1" spans="1:10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912"/>
      <c r="H17" s="912">
        <f t="shared" si="2"/>
        <v>10824.5270833333</v>
      </c>
      <c r="I17" s="912">
        <f t="shared" si="0"/>
        <v>10824.5270833333</v>
      </c>
      <c r="J17" s="912">
        <f t="shared" si="1"/>
        <v>129894.325</v>
      </c>
    </row>
    <row r="18" customHeight="1" spans="1:10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912"/>
      <c r="H18" s="912">
        <f t="shared" si="2"/>
        <v>8443.27083333333</v>
      </c>
      <c r="I18" s="912">
        <f t="shared" si="0"/>
        <v>8443.27083333333</v>
      </c>
      <c r="J18" s="912">
        <f t="shared" si="1"/>
        <v>101319.25</v>
      </c>
    </row>
    <row r="19" customHeight="1" spans="1:10">
      <c r="A19" s="10">
        <v>12</v>
      </c>
      <c r="B19" s="18" t="s">
        <v>54</v>
      </c>
      <c r="C19" s="4" t="s">
        <v>55</v>
      </c>
      <c r="D19" s="15" t="s">
        <v>644</v>
      </c>
      <c r="E19" s="85">
        <v>428915.916666667</v>
      </c>
      <c r="F19" s="911">
        <v>329044.916666667</v>
      </c>
      <c r="G19" s="912">
        <v>5607.17708333333</v>
      </c>
      <c r="H19" s="912">
        <f t="shared" si="2"/>
        <v>8226.12291666667</v>
      </c>
      <c r="I19" s="912">
        <f t="shared" si="0"/>
        <v>2618.94583333334</v>
      </c>
      <c r="J19" s="912">
        <f t="shared" si="1"/>
        <v>98713.4750000001</v>
      </c>
    </row>
    <row r="20" customHeight="1" spans="1:10">
      <c r="A20" s="10">
        <v>13</v>
      </c>
      <c r="B20" s="18" t="s">
        <v>57</v>
      </c>
      <c r="C20" s="4" t="s">
        <v>58</v>
      </c>
      <c r="D20" s="15" t="s">
        <v>602</v>
      </c>
      <c r="E20" s="680">
        <v>403138</v>
      </c>
      <c r="F20" s="911">
        <v>311673.25</v>
      </c>
      <c r="G20" s="912">
        <v>5967.30625</v>
      </c>
      <c r="H20" s="912">
        <f t="shared" si="2"/>
        <v>7791.83125</v>
      </c>
      <c r="I20" s="912">
        <f t="shared" si="0"/>
        <v>1824.525</v>
      </c>
      <c r="J20" s="912">
        <f t="shared" si="1"/>
        <v>93501.975</v>
      </c>
    </row>
    <row r="21" customHeight="1" spans="1:10">
      <c r="A21" s="10">
        <v>14</v>
      </c>
      <c r="B21" s="18" t="s">
        <v>60</v>
      </c>
      <c r="C21" s="4" t="s">
        <v>61</v>
      </c>
      <c r="D21" s="15" t="s">
        <v>602</v>
      </c>
      <c r="E21" s="680">
        <v>403138</v>
      </c>
      <c r="F21" s="911">
        <v>311673.25</v>
      </c>
      <c r="G21" s="912"/>
      <c r="H21" s="912">
        <f t="shared" si="2"/>
        <v>7791.83125</v>
      </c>
      <c r="I21" s="912">
        <f t="shared" si="0"/>
        <v>7791.83125</v>
      </c>
      <c r="J21" s="912">
        <f t="shared" si="1"/>
        <v>93501.975</v>
      </c>
    </row>
    <row r="22" customHeight="1" spans="1:10">
      <c r="A22" s="10">
        <v>15</v>
      </c>
      <c r="B22" s="11" t="s">
        <v>62</v>
      </c>
      <c r="C22" s="12" t="s">
        <v>645</v>
      </c>
      <c r="D22" s="15" t="s">
        <v>261</v>
      </c>
      <c r="E22" s="85">
        <v>402278</v>
      </c>
      <c r="F22" s="911">
        <f>'[18] FGN 2024 MGT Monthly'!$L$40</f>
        <v>311094.416666667</v>
      </c>
      <c r="G22" s="912">
        <v>5257.5625</v>
      </c>
      <c r="H22" s="912">
        <f t="shared" si="2"/>
        <v>7777.36041666667</v>
      </c>
      <c r="I22" s="912">
        <f t="shared" si="0"/>
        <v>2519.79791666667</v>
      </c>
      <c r="J22" s="912">
        <f t="shared" si="1"/>
        <v>93328.325</v>
      </c>
    </row>
    <row r="23" ht="18.75" customHeight="1" spans="1:10">
      <c r="A23" s="10">
        <v>16</v>
      </c>
      <c r="B23" s="11" t="s">
        <v>65</v>
      </c>
      <c r="C23" s="12" t="s">
        <v>178</v>
      </c>
      <c r="D23" s="15" t="s">
        <v>173</v>
      </c>
      <c r="E23" s="85">
        <v>390086.5</v>
      </c>
      <c r="F23" s="911">
        <v>302878.666666667</v>
      </c>
      <c r="G23" s="912"/>
      <c r="H23" s="912">
        <f t="shared" si="2"/>
        <v>7571.96666666667</v>
      </c>
      <c r="I23" s="912">
        <f t="shared" si="0"/>
        <v>7571.96666666667</v>
      </c>
      <c r="J23" s="912">
        <f t="shared" si="1"/>
        <v>90863.6000000001</v>
      </c>
    </row>
    <row r="24" customHeight="1" spans="1:10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912"/>
      <c r="H24" s="912">
        <f t="shared" si="2"/>
        <v>7161.17708333333</v>
      </c>
      <c r="I24" s="912">
        <f t="shared" si="0"/>
        <v>7161.17708333333</v>
      </c>
      <c r="J24" s="912">
        <f t="shared" si="1"/>
        <v>85934.1249999999</v>
      </c>
    </row>
    <row r="25" ht="21.6" customHeight="1" spans="1:10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912"/>
      <c r="H25" s="912">
        <f t="shared" si="2"/>
        <v>7161.17708333333</v>
      </c>
      <c r="I25" s="912">
        <f t="shared" si="0"/>
        <v>7161.17708333333</v>
      </c>
      <c r="J25" s="912">
        <f t="shared" si="1"/>
        <v>85934.1249999999</v>
      </c>
    </row>
    <row r="26" customHeight="1" spans="1:10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912"/>
      <c r="H26" s="912">
        <f t="shared" si="2"/>
        <v>6021.86458333332</v>
      </c>
      <c r="I26" s="912">
        <f t="shared" si="0"/>
        <v>6021.86458333332</v>
      </c>
      <c r="J26" s="912">
        <f t="shared" si="1"/>
        <v>72262.3749999999</v>
      </c>
    </row>
    <row r="27" customHeight="1" spans="1:10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912"/>
      <c r="H27" s="912">
        <f t="shared" si="2"/>
        <v>6021.86458333332</v>
      </c>
      <c r="I27" s="912">
        <f t="shared" si="0"/>
        <v>6021.86458333332</v>
      </c>
      <c r="J27" s="912">
        <f t="shared" si="1"/>
        <v>72262.3749999999</v>
      </c>
    </row>
    <row r="28" ht="18.75" customHeight="1" spans="1:10">
      <c r="A28" s="10">
        <v>21</v>
      </c>
      <c r="B28" s="4" t="s">
        <v>478</v>
      </c>
      <c r="C28" s="4" t="s">
        <v>94</v>
      </c>
      <c r="D28" s="10" t="s">
        <v>156</v>
      </c>
      <c r="E28" s="85">
        <v>277798</v>
      </c>
      <c r="F28" s="911">
        <v>227615.75</v>
      </c>
      <c r="G28" s="912"/>
      <c r="H28" s="912">
        <f t="shared" si="2"/>
        <v>5690.39375</v>
      </c>
      <c r="I28" s="912">
        <f t="shared" si="0"/>
        <v>5690.39375</v>
      </c>
      <c r="J28" s="912">
        <f t="shared" si="1"/>
        <v>68284.725</v>
      </c>
    </row>
    <row r="29" ht="18.75" customHeight="1" spans="1:10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912"/>
      <c r="H29" s="912">
        <f t="shared" si="2"/>
        <v>5690.39375</v>
      </c>
      <c r="I29" s="912">
        <f t="shared" si="0"/>
        <v>5690.39375</v>
      </c>
      <c r="J29" s="912">
        <f t="shared" si="1"/>
        <v>68284.725</v>
      </c>
    </row>
    <row r="30" customHeight="1" spans="1:10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912"/>
      <c r="H30" s="912">
        <f t="shared" si="2"/>
        <v>5690.39375</v>
      </c>
      <c r="I30" s="912">
        <f t="shared" si="0"/>
        <v>5690.39375</v>
      </c>
      <c r="J30" s="912">
        <f t="shared" si="1"/>
        <v>68284.725</v>
      </c>
    </row>
    <row r="31" ht="18.75" customHeight="1" spans="1:10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912"/>
      <c r="H31" s="912">
        <f t="shared" si="2"/>
        <v>5566.86458333332</v>
      </c>
      <c r="I31" s="912">
        <f t="shared" si="0"/>
        <v>5566.86458333332</v>
      </c>
      <c r="J31" s="912">
        <f t="shared" si="1"/>
        <v>66802.3749999999</v>
      </c>
    </row>
    <row r="32" ht="18.75" customHeight="1" spans="1:10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912"/>
      <c r="H32" s="912">
        <f t="shared" si="2"/>
        <v>5443.33541666668</v>
      </c>
      <c r="I32" s="912">
        <f t="shared" si="0"/>
        <v>5443.33541666668</v>
      </c>
      <c r="J32" s="912">
        <f t="shared" si="1"/>
        <v>65320.0250000001</v>
      </c>
    </row>
    <row r="33" ht="18.75" customHeight="1" spans="1:10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912"/>
      <c r="H33" s="912">
        <f t="shared" si="2"/>
        <v>5443.33541666668</v>
      </c>
      <c r="I33" s="912">
        <f t="shared" si="0"/>
        <v>5443.33541666668</v>
      </c>
      <c r="J33" s="912">
        <f t="shared" si="1"/>
        <v>65320.0250000001</v>
      </c>
    </row>
    <row r="34" ht="18.75" customHeight="1" spans="1:10">
      <c r="A34" s="10">
        <v>27</v>
      </c>
      <c r="B34" s="18" t="s">
        <v>91</v>
      </c>
      <c r="C34" s="17" t="s">
        <v>646</v>
      </c>
      <c r="D34" s="15" t="s">
        <v>156</v>
      </c>
      <c r="E34" s="85">
        <v>277798</v>
      </c>
      <c r="F34" s="911">
        <v>227615.75</v>
      </c>
      <c r="G34" s="912">
        <v>3653.5</v>
      </c>
      <c r="H34" s="912">
        <f t="shared" si="2"/>
        <v>5690.39375</v>
      </c>
      <c r="I34" s="912">
        <f t="shared" si="0"/>
        <v>2036.89375</v>
      </c>
      <c r="J34" s="912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912"/>
      <c r="H35" s="912">
        <f t="shared" si="2"/>
        <v>5443.33541666668</v>
      </c>
      <c r="I35" s="912">
        <f t="shared" si="0"/>
        <v>5443.33541666668</v>
      </c>
      <c r="J35" s="912">
        <f t="shared" si="1"/>
        <v>65320.0250000001</v>
      </c>
    </row>
    <row r="36" ht="18.75" customHeight="1" spans="1:10">
      <c r="A36" s="10">
        <v>29</v>
      </c>
      <c r="B36" s="18" t="s">
        <v>95</v>
      </c>
      <c r="C36" s="4" t="s">
        <v>647</v>
      </c>
      <c r="D36" s="10" t="s">
        <v>99</v>
      </c>
      <c r="E36" s="85">
        <v>263165.333333333</v>
      </c>
      <c r="F36" s="911">
        <v>217733.416666667</v>
      </c>
      <c r="G36" s="912"/>
      <c r="H36" s="912">
        <f t="shared" si="2"/>
        <v>5443.33541666668</v>
      </c>
      <c r="I36" s="912">
        <f t="shared" si="0"/>
        <v>5443.33541666668</v>
      </c>
      <c r="J36" s="912">
        <f t="shared" si="1"/>
        <v>65320.0250000001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912"/>
      <c r="H37" s="912">
        <f t="shared" si="2"/>
        <v>4909.11041666668</v>
      </c>
      <c r="I37" s="912">
        <f t="shared" si="0"/>
        <v>4909.11041666668</v>
      </c>
      <c r="J37" s="912">
        <f t="shared" si="1"/>
        <v>58909.3250000001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912"/>
      <c r="H38" s="912">
        <f t="shared" si="2"/>
        <v>4804.48541666668</v>
      </c>
      <c r="I38" s="912">
        <f t="shared" si="0"/>
        <v>4804.48541666668</v>
      </c>
      <c r="J38" s="912">
        <f t="shared" si="1"/>
        <v>57653.8250000001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3">SUM(E8:E38)</f>
        <v>14073003.667</v>
      </c>
      <c r="F39" s="913">
        <f t="shared" si="3"/>
        <v>10664632</v>
      </c>
      <c r="G39" s="221">
        <f t="shared" si="3"/>
        <v>48931.9729166667</v>
      </c>
      <c r="H39" s="221">
        <f t="shared" si="3"/>
        <v>211712.897916667</v>
      </c>
      <c r="I39" s="221">
        <f t="shared" si="3"/>
        <v>162780.925</v>
      </c>
      <c r="J39" s="221">
        <f t="shared" si="3"/>
        <v>2540554.775</v>
      </c>
    </row>
    <row r="40" ht="18.75" customHeight="1" spans="1:10">
      <c r="A40" s="10"/>
      <c r="B40" s="22"/>
      <c r="C40" s="4"/>
      <c r="D40" s="15"/>
      <c r="E40" s="221"/>
      <c r="F40" s="913"/>
      <c r="G40" s="912"/>
      <c r="H40" s="912"/>
      <c r="I40" s="912"/>
      <c r="J40" s="912"/>
    </row>
    <row r="41" ht="18.75" customHeight="1" spans="1:10">
      <c r="A41" s="10"/>
      <c r="B41" s="20" t="s">
        <v>121</v>
      </c>
      <c r="C41" s="4"/>
      <c r="D41" s="15"/>
      <c r="E41" s="85"/>
      <c r="F41" s="911"/>
      <c r="G41" s="912"/>
      <c r="H41" s="912"/>
      <c r="I41" s="912"/>
      <c r="J41" s="912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912"/>
      <c r="H42" s="912">
        <f t="shared" ref="H42:H45" si="4">0.025*F42</f>
        <v>27169.4270833333</v>
      </c>
      <c r="I42" s="912">
        <f t="shared" ref="I42:I45" si="5">H42-G42</f>
        <v>27169.4270833333</v>
      </c>
      <c r="J42" s="912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912"/>
      <c r="H43" s="912">
        <f t="shared" si="4"/>
        <v>6021.86458333332</v>
      </c>
      <c r="I43" s="912">
        <f t="shared" si="5"/>
        <v>6021.86458333332</v>
      </c>
      <c r="J43" s="912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912"/>
      <c r="H44" s="912">
        <f t="shared" si="4"/>
        <v>6154.27916666668</v>
      </c>
      <c r="I44" s="912">
        <f t="shared" si="5"/>
        <v>6154.27916666668</v>
      </c>
      <c r="J44" s="912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912"/>
      <c r="H45" s="912">
        <f t="shared" si="4"/>
        <v>5443.33541666668</v>
      </c>
      <c r="I45" s="912">
        <f t="shared" si="5"/>
        <v>5443.33541666668</v>
      </c>
      <c r="J45" s="912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3">
        <f t="shared" si="6"/>
        <v>1791556.25</v>
      </c>
      <c r="G46" s="221">
        <f t="shared" si="6"/>
        <v>0</v>
      </c>
      <c r="H46" s="221">
        <f t="shared" si="6"/>
        <v>44788.9062499999</v>
      </c>
      <c r="I46" s="221">
        <f t="shared" si="6"/>
        <v>44788.9062499999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3"/>
      <c r="G47" s="912"/>
      <c r="H47" s="912"/>
      <c r="I47" s="912"/>
      <c r="J47" s="912"/>
    </row>
    <row r="48" customHeight="1" spans="1:10">
      <c r="A48" s="10"/>
      <c r="B48" s="23" t="s">
        <v>137</v>
      </c>
      <c r="C48" s="5"/>
      <c r="D48" s="24"/>
      <c r="E48" s="221"/>
      <c r="F48" s="913"/>
      <c r="G48" s="912"/>
      <c r="H48" s="912"/>
      <c r="I48" s="912"/>
      <c r="J48" s="912"/>
    </row>
    <row r="49" customHeight="1" spans="1:10">
      <c r="A49" s="10">
        <v>1</v>
      </c>
      <c r="B49" s="11" t="s">
        <v>138</v>
      </c>
      <c r="C49" s="4" t="s">
        <v>648</v>
      </c>
      <c r="D49" s="10" t="s">
        <v>36</v>
      </c>
      <c r="E49" s="85">
        <v>762373.166666667</v>
      </c>
      <c r="F49" s="911">
        <v>554669.5</v>
      </c>
      <c r="G49" s="912"/>
      <c r="H49" s="912">
        <f t="shared" ref="H49:H56" si="7">0.025*F49</f>
        <v>13866.7375</v>
      </c>
      <c r="I49" s="912">
        <f t="shared" ref="I49:I56" si="8">H49-G49</f>
        <v>13866.7375</v>
      </c>
      <c r="J49" s="912"/>
    </row>
    <row r="50" customHeight="1" spans="1:10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912"/>
      <c r="H50" s="912">
        <f t="shared" si="7"/>
        <v>11475.2625</v>
      </c>
      <c r="I50" s="912">
        <f t="shared" si="8"/>
        <v>11475.2625</v>
      </c>
      <c r="J50" s="912"/>
    </row>
    <row r="51" customHeight="1" spans="1:10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912">
        <v>8380.22708333333</v>
      </c>
      <c r="H51" s="912">
        <f t="shared" si="7"/>
        <v>11475.2625</v>
      </c>
      <c r="I51" s="912">
        <f t="shared" si="8"/>
        <v>3095.03541666667</v>
      </c>
      <c r="J51" s="912">
        <f>H51*12</f>
        <v>137703.15</v>
      </c>
    </row>
    <row r="52" customHeight="1" spans="1:10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912"/>
      <c r="H52" s="912">
        <f t="shared" si="7"/>
        <v>11149.8958333333</v>
      </c>
      <c r="I52" s="912">
        <f t="shared" si="8"/>
        <v>11149.8958333333</v>
      </c>
      <c r="J52" s="912"/>
    </row>
    <row r="53" customHeight="1" spans="1:10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912"/>
      <c r="H53" s="912">
        <f t="shared" si="7"/>
        <v>10824.5270833333</v>
      </c>
      <c r="I53" s="912">
        <f t="shared" si="8"/>
        <v>10824.5270833333</v>
      </c>
      <c r="J53" s="912"/>
    </row>
    <row r="54" customHeight="1" spans="1:10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912"/>
      <c r="H54" s="912">
        <f t="shared" si="7"/>
        <v>6154.27916666668</v>
      </c>
      <c r="I54" s="912">
        <f t="shared" si="8"/>
        <v>6154.27916666668</v>
      </c>
      <c r="J54" s="912"/>
    </row>
    <row r="55" customHeight="1" spans="1:10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912"/>
      <c r="H55" s="912">
        <f t="shared" si="7"/>
        <v>5566.86458333332</v>
      </c>
      <c r="I55" s="912">
        <f t="shared" si="8"/>
        <v>5566.86458333332</v>
      </c>
      <c r="J55" s="912"/>
    </row>
    <row r="56" customHeight="1" spans="1:10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912"/>
      <c r="H56" s="912">
        <f t="shared" si="7"/>
        <v>5566.86458333332</v>
      </c>
      <c r="I56" s="912">
        <f t="shared" si="8"/>
        <v>5566.86458333332</v>
      </c>
      <c r="J56" s="912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9">SUM(E49:E56)</f>
        <v>4037104.08333333</v>
      </c>
      <c r="F57" s="915">
        <f t="shared" si="9"/>
        <v>3043187.75</v>
      </c>
      <c r="G57" s="93">
        <f t="shared" si="9"/>
        <v>8380.22708333333</v>
      </c>
      <c r="H57" s="93">
        <f t="shared" si="9"/>
        <v>76079.69375</v>
      </c>
      <c r="I57" s="93">
        <f t="shared" si="9"/>
        <v>67699.4666666667</v>
      </c>
      <c r="J57" s="93">
        <f t="shared" si="9"/>
        <v>137703.15</v>
      </c>
    </row>
    <row r="58" customHeight="1" spans="1:10">
      <c r="A58" s="10"/>
      <c r="B58" s="22"/>
      <c r="C58" s="21"/>
      <c r="D58" s="21"/>
      <c r="E58" s="156"/>
      <c r="F58" s="916"/>
      <c r="G58" s="912"/>
      <c r="H58" s="912"/>
      <c r="I58" s="912"/>
      <c r="J58" s="912"/>
    </row>
    <row r="59" customHeight="1" spans="1:10">
      <c r="A59" s="10"/>
      <c r="B59" s="20" t="s">
        <v>159</v>
      </c>
      <c r="C59" s="21"/>
      <c r="D59" s="21"/>
      <c r="E59" s="156"/>
      <c r="F59" s="916"/>
      <c r="G59" s="912"/>
      <c r="H59" s="912"/>
      <c r="I59" s="912"/>
      <c r="J59" s="912"/>
    </row>
    <row r="60" customHeight="1" spans="1:10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912"/>
      <c r="H60" s="912">
        <f t="shared" ref="H60:H71" si="10">0.025*F60</f>
        <v>27169.4270833333</v>
      </c>
      <c r="I60" s="912">
        <f t="shared" ref="I60:I71" si="11">H60-G60</f>
        <v>27169.4270833333</v>
      </c>
      <c r="J60" s="912"/>
    </row>
    <row r="61" customHeight="1" spans="1:10">
      <c r="A61" s="10">
        <v>2</v>
      </c>
      <c r="B61" s="11" t="s">
        <v>162</v>
      </c>
      <c r="C61" s="12" t="s">
        <v>485</v>
      </c>
      <c r="D61" s="15" t="s">
        <v>486</v>
      </c>
      <c r="E61" s="85">
        <v>620675.583333333</v>
      </c>
      <c r="F61" s="911">
        <v>459010.5</v>
      </c>
      <c r="G61" s="912"/>
      <c r="H61" s="912">
        <f t="shared" si="10"/>
        <v>11475.2625</v>
      </c>
      <c r="I61" s="912">
        <f t="shared" si="11"/>
        <v>11475.2625</v>
      </c>
      <c r="J61" s="912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2">SUM(E60:E61)</f>
        <v>2056395.58333333</v>
      </c>
      <c r="F62" s="915">
        <f t="shared" si="12"/>
        <v>1545787.58333333</v>
      </c>
      <c r="G62" s="93">
        <f t="shared" si="12"/>
        <v>0</v>
      </c>
      <c r="H62" s="93">
        <f t="shared" si="12"/>
        <v>38644.6895833333</v>
      </c>
      <c r="I62" s="93">
        <f t="shared" si="12"/>
        <v>38644.6895833333</v>
      </c>
      <c r="J62" s="93">
        <f t="shared" si="12"/>
        <v>0</v>
      </c>
    </row>
    <row r="63" customHeight="1" spans="1:10">
      <c r="A63" s="10"/>
      <c r="B63" s="20"/>
      <c r="C63" s="21"/>
      <c r="D63" s="21"/>
      <c r="E63" s="156"/>
      <c r="F63" s="916"/>
      <c r="G63" s="912"/>
      <c r="H63" s="912"/>
      <c r="I63" s="912"/>
      <c r="J63" s="912"/>
    </row>
    <row r="64" customHeight="1" spans="1:10">
      <c r="A64" s="10"/>
      <c r="B64" s="20" t="s">
        <v>164</v>
      </c>
      <c r="C64" s="21"/>
      <c r="D64" s="21"/>
      <c r="E64" s="156"/>
      <c r="F64" s="916"/>
      <c r="G64" s="912"/>
      <c r="H64" s="912"/>
      <c r="I64" s="912"/>
      <c r="J64" s="912"/>
    </row>
    <row r="65" customHeight="1" spans="1:10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912">
        <v>10293.3979166667</v>
      </c>
      <c r="H65" s="912">
        <f t="shared" si="10"/>
        <v>13866.7375</v>
      </c>
      <c r="I65" s="912">
        <f t="shared" si="11"/>
        <v>3573.3395833333</v>
      </c>
      <c r="J65" s="912">
        <f>H65*12</f>
        <v>166400.85</v>
      </c>
    </row>
    <row r="66" customHeight="1" spans="1:10">
      <c r="A66" s="10">
        <v>2</v>
      </c>
      <c r="B66" s="11" t="s">
        <v>167</v>
      </c>
      <c r="C66" s="4" t="s">
        <v>52</v>
      </c>
      <c r="D66" s="10" t="s">
        <v>214</v>
      </c>
      <c r="E66" s="85">
        <v>456622.25</v>
      </c>
      <c r="F66" s="911">
        <v>347715.916666667</v>
      </c>
      <c r="G66" s="912"/>
      <c r="H66" s="912">
        <f t="shared" si="10"/>
        <v>8692.89791666667</v>
      </c>
      <c r="I66" s="912">
        <f t="shared" si="11"/>
        <v>8692.89791666667</v>
      </c>
      <c r="J66" s="912"/>
    </row>
    <row r="67" customHeight="1" spans="1:10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912"/>
      <c r="H67" s="912">
        <f t="shared" si="10"/>
        <v>7366.57291666668</v>
      </c>
      <c r="I67" s="912">
        <f t="shared" si="11"/>
        <v>7366.57291666668</v>
      </c>
      <c r="J67" s="912"/>
    </row>
    <row r="68" customHeight="1" spans="1:10">
      <c r="A68" s="10">
        <v>4</v>
      </c>
      <c r="B68" s="11" t="s">
        <v>172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912"/>
      <c r="H68" s="912">
        <f t="shared" si="10"/>
        <v>7366.57291666668</v>
      </c>
      <c r="I68" s="912">
        <f t="shared" si="11"/>
        <v>7366.57291666668</v>
      </c>
      <c r="J68" s="912"/>
    </row>
    <row r="69" customHeight="1" spans="1:10">
      <c r="A69" s="10">
        <v>5</v>
      </c>
      <c r="B69" s="11" t="s">
        <v>174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912"/>
      <c r="H69" s="912">
        <f t="shared" si="10"/>
        <v>7366.57291666668</v>
      </c>
      <c r="I69" s="912">
        <f t="shared" si="11"/>
        <v>7366.57291666668</v>
      </c>
      <c r="J69" s="912"/>
    </row>
    <row r="70" customHeight="1" spans="1:10">
      <c r="A70" s="10">
        <v>6</v>
      </c>
      <c r="B70" s="11" t="s">
        <v>175</v>
      </c>
      <c r="C70" s="4" t="s">
        <v>649</v>
      </c>
      <c r="D70" s="10" t="s">
        <v>173</v>
      </c>
      <c r="E70" s="457">
        <v>390086.5</v>
      </c>
      <c r="F70" s="911">
        <v>302878.666666667</v>
      </c>
      <c r="G70" s="912"/>
      <c r="H70" s="912">
        <f t="shared" si="10"/>
        <v>7571.96666666667</v>
      </c>
      <c r="I70" s="912">
        <f t="shared" si="11"/>
        <v>7571.96666666667</v>
      </c>
      <c r="J70" s="912"/>
    </row>
    <row r="71" ht="21.6" customHeight="1" spans="1:10">
      <c r="A71" s="10">
        <v>7</v>
      </c>
      <c r="B71" s="11" t="s">
        <v>179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912"/>
      <c r="H71" s="912">
        <f t="shared" si="10"/>
        <v>6154.27916666668</v>
      </c>
      <c r="I71" s="912">
        <f t="shared" si="11"/>
        <v>6154.27916666668</v>
      </c>
      <c r="J71" s="912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3">SUM(E65:E71)</f>
        <v>3051668.91666667</v>
      </c>
      <c r="F72" s="915">
        <f t="shared" si="13"/>
        <v>2335424</v>
      </c>
      <c r="G72" s="93">
        <f t="shared" si="13"/>
        <v>10293.3979166667</v>
      </c>
      <c r="H72" s="93">
        <f t="shared" si="13"/>
        <v>58385.6</v>
      </c>
      <c r="I72" s="93">
        <f t="shared" si="13"/>
        <v>48092.2020833334</v>
      </c>
      <c r="J72" s="93">
        <f t="shared" si="13"/>
        <v>166400.85</v>
      </c>
    </row>
    <row r="73" customHeight="1" spans="1:10">
      <c r="A73" s="10"/>
      <c r="B73" s="22"/>
      <c r="C73" s="21"/>
      <c r="D73" s="21"/>
      <c r="E73" s="156"/>
      <c r="F73" s="916"/>
      <c r="G73" s="912"/>
      <c r="H73" s="912"/>
      <c r="I73" s="912"/>
      <c r="J73" s="912"/>
    </row>
    <row r="74" customHeight="1" spans="1:10">
      <c r="A74" s="10"/>
      <c r="B74" s="20" t="s">
        <v>183</v>
      </c>
      <c r="C74" s="21"/>
      <c r="D74" s="21"/>
      <c r="E74" s="156"/>
      <c r="F74" s="916"/>
      <c r="G74" s="912"/>
      <c r="H74" s="912"/>
      <c r="I74" s="912"/>
      <c r="J74" s="912"/>
    </row>
    <row r="75" customHeight="1" spans="1:10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911">
        <v>1086777.08333333</v>
      </c>
      <c r="G75" s="912"/>
      <c r="H75" s="912">
        <f t="shared" ref="H75:H80" si="14">0.025*F75</f>
        <v>27169.4270833333</v>
      </c>
      <c r="I75" s="912">
        <f t="shared" ref="I75:I80" si="15">H75-G75</f>
        <v>27169.4270833333</v>
      </c>
      <c r="J75" s="912"/>
    </row>
    <row r="76" customHeight="1" spans="1:10">
      <c r="A76" s="10">
        <v>2</v>
      </c>
      <c r="B76" s="11" t="s">
        <v>188</v>
      </c>
      <c r="C76" s="4" t="s">
        <v>189</v>
      </c>
      <c r="D76" s="10" t="s">
        <v>42</v>
      </c>
      <c r="E76" s="85">
        <v>582118.083333333</v>
      </c>
      <c r="F76" s="911">
        <v>445995.833333333</v>
      </c>
      <c r="G76" s="912"/>
      <c r="H76" s="912">
        <f t="shared" si="14"/>
        <v>11149.8958333333</v>
      </c>
      <c r="I76" s="912">
        <f t="shared" si="15"/>
        <v>11149.8958333333</v>
      </c>
      <c r="J76" s="912"/>
    </row>
    <row r="77" customHeight="1" spans="1:10">
      <c r="A77" s="10">
        <v>3</v>
      </c>
      <c r="B77" s="11" t="s">
        <v>190</v>
      </c>
      <c r="C77" s="4" t="s">
        <v>191</v>
      </c>
      <c r="D77" s="15" t="s">
        <v>47</v>
      </c>
      <c r="E77" s="85">
        <v>470498</v>
      </c>
      <c r="F77" s="911">
        <v>357066.666666667</v>
      </c>
      <c r="G77" s="912">
        <v>6154.32291666667</v>
      </c>
      <c r="H77" s="912">
        <f t="shared" si="14"/>
        <v>8926.66666666668</v>
      </c>
      <c r="I77" s="912">
        <f t="shared" si="15"/>
        <v>2772.34375000001</v>
      </c>
      <c r="J77" s="912">
        <f>H77*12</f>
        <v>107120</v>
      </c>
    </row>
    <row r="78" customHeight="1" spans="1:10">
      <c r="A78" s="10">
        <v>4</v>
      </c>
      <c r="B78" s="11" t="s">
        <v>197</v>
      </c>
      <c r="C78" s="4" t="s">
        <v>198</v>
      </c>
      <c r="D78" s="10" t="s">
        <v>131</v>
      </c>
      <c r="E78" s="85">
        <v>365703.833333333</v>
      </c>
      <c r="F78" s="911">
        <v>286447.083333333</v>
      </c>
      <c r="G78" s="912"/>
      <c r="H78" s="912">
        <f t="shared" si="14"/>
        <v>7161.17708333333</v>
      </c>
      <c r="I78" s="912">
        <f t="shared" si="15"/>
        <v>7161.17708333333</v>
      </c>
      <c r="J78" s="912"/>
    </row>
    <row r="79" customHeight="1" spans="1:10">
      <c r="A79" s="10">
        <v>5</v>
      </c>
      <c r="B79" s="11" t="s">
        <v>201</v>
      </c>
      <c r="C79" s="4" t="s">
        <v>182</v>
      </c>
      <c r="D79" s="10" t="s">
        <v>99</v>
      </c>
      <c r="E79" s="85">
        <v>263165.333333333</v>
      </c>
      <c r="F79" s="911">
        <v>222674.583333333</v>
      </c>
      <c r="G79" s="912"/>
      <c r="H79" s="912">
        <f t="shared" si="14"/>
        <v>5566.86458333332</v>
      </c>
      <c r="I79" s="912">
        <f t="shared" si="15"/>
        <v>5566.86458333332</v>
      </c>
      <c r="J79" s="912"/>
    </row>
    <row r="80" customHeight="1" spans="1:10">
      <c r="A80" s="10">
        <v>6</v>
      </c>
      <c r="B80" s="11" t="s">
        <v>203</v>
      </c>
      <c r="C80" s="4" t="s">
        <v>204</v>
      </c>
      <c r="D80" s="10" t="s">
        <v>108</v>
      </c>
      <c r="E80" s="85">
        <v>230631.916666667</v>
      </c>
      <c r="F80" s="911">
        <v>196364.416666667</v>
      </c>
      <c r="G80" s="912"/>
      <c r="H80" s="912">
        <f t="shared" si="14"/>
        <v>4909.11041666668</v>
      </c>
      <c r="I80" s="912">
        <f t="shared" si="15"/>
        <v>4909.11041666668</v>
      </c>
      <c r="J80" s="912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6">SUM(E75:E80)</f>
        <v>3347837.16666667</v>
      </c>
      <c r="F81" s="915">
        <f t="shared" si="16"/>
        <v>2595325.66666666</v>
      </c>
      <c r="G81" s="93">
        <f t="shared" si="16"/>
        <v>6154.32291666667</v>
      </c>
      <c r="H81" s="93">
        <f t="shared" si="16"/>
        <v>64883.1416666666</v>
      </c>
      <c r="I81" s="93">
        <f t="shared" si="16"/>
        <v>58728.8187499999</v>
      </c>
      <c r="J81" s="93">
        <f t="shared" si="16"/>
        <v>107120</v>
      </c>
    </row>
    <row r="82" customHeight="1" spans="1:10">
      <c r="A82" s="10"/>
      <c r="B82" s="20"/>
      <c r="C82" s="21"/>
      <c r="D82" s="21"/>
      <c r="E82" s="156"/>
      <c r="F82" s="916"/>
      <c r="G82" s="912"/>
      <c r="H82" s="912"/>
      <c r="I82" s="912"/>
      <c r="J82" s="912"/>
    </row>
    <row r="83" customHeight="1" spans="1:10">
      <c r="A83" s="10"/>
      <c r="B83" s="20" t="s">
        <v>205</v>
      </c>
      <c r="C83" s="25"/>
      <c r="D83" s="21"/>
      <c r="E83" s="156"/>
      <c r="F83" s="916"/>
      <c r="G83" s="912"/>
      <c r="H83" s="912"/>
      <c r="I83" s="912"/>
      <c r="J83" s="912"/>
    </row>
    <row r="84" customHeight="1" spans="1:10">
      <c r="A84" s="10">
        <v>1</v>
      </c>
      <c r="B84" s="11" t="s">
        <v>206</v>
      </c>
      <c r="C84" s="4" t="s">
        <v>145</v>
      </c>
      <c r="D84" s="10" t="s">
        <v>304</v>
      </c>
      <c r="E84" s="85">
        <f>'[3]Annual &amp; Monthly'!$H$44</f>
        <v>1352042.66666667</v>
      </c>
      <c r="F84" s="911">
        <v>1025768.33333333</v>
      </c>
      <c r="G84" s="912">
        <v>18254.975</v>
      </c>
      <c r="H84" s="912">
        <f t="shared" ref="H84:H93" si="17">0.025*F84</f>
        <v>25644.2083333333</v>
      </c>
      <c r="I84" s="912">
        <f t="shared" ref="I84:I93" si="18">H84-G84</f>
        <v>7389.23333333325</v>
      </c>
      <c r="J84" s="912">
        <f>H84*12</f>
        <v>307730.499999999</v>
      </c>
    </row>
    <row r="85" customHeight="1" spans="1:10">
      <c r="A85" s="10">
        <v>2</v>
      </c>
      <c r="B85" s="11" t="s">
        <v>208</v>
      </c>
      <c r="C85" s="4" t="s">
        <v>209</v>
      </c>
      <c r="D85" s="10" t="s">
        <v>143</v>
      </c>
      <c r="E85" s="85">
        <v>716034</v>
      </c>
      <c r="F85" s="911">
        <v>523386.5</v>
      </c>
      <c r="G85" s="912"/>
      <c r="H85" s="912">
        <f t="shared" si="17"/>
        <v>13084.6625</v>
      </c>
      <c r="I85" s="912">
        <f t="shared" si="18"/>
        <v>13084.6625</v>
      </c>
      <c r="J85" s="912"/>
    </row>
    <row r="86" customHeight="1" spans="1:10">
      <c r="A86" s="10">
        <v>3</v>
      </c>
      <c r="B86" s="11" t="s">
        <v>479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912"/>
      <c r="H86" s="912">
        <f t="shared" si="17"/>
        <v>11149.8958333333</v>
      </c>
      <c r="I86" s="912">
        <f t="shared" si="18"/>
        <v>11149.8958333333</v>
      </c>
      <c r="J86" s="912"/>
    </row>
    <row r="87" ht="21.6" customHeight="1" spans="1:10">
      <c r="A87" s="10">
        <v>4</v>
      </c>
      <c r="B87" s="11" t="s">
        <v>211</v>
      </c>
      <c r="C87" s="4" t="s">
        <v>52</v>
      </c>
      <c r="D87" s="15" t="s">
        <v>214</v>
      </c>
      <c r="E87" s="85">
        <v>456622.25</v>
      </c>
      <c r="F87" s="911">
        <v>442746.5</v>
      </c>
      <c r="G87" s="912"/>
      <c r="H87" s="912">
        <f t="shared" si="17"/>
        <v>11068.6625</v>
      </c>
      <c r="I87" s="912">
        <f t="shared" si="18"/>
        <v>11068.6625</v>
      </c>
      <c r="J87" s="912"/>
    </row>
    <row r="88" ht="21.6" customHeight="1" spans="1:10">
      <c r="A88" s="10">
        <v>5</v>
      </c>
      <c r="B88" s="11" t="s">
        <v>212</v>
      </c>
      <c r="C88" s="4" t="s">
        <v>52</v>
      </c>
      <c r="D88" s="15" t="s">
        <v>214</v>
      </c>
      <c r="E88" s="85">
        <v>456622.25</v>
      </c>
      <c r="F88" s="911">
        <v>442746.5</v>
      </c>
      <c r="G88" s="912"/>
      <c r="H88" s="912">
        <f t="shared" si="17"/>
        <v>11068.6625</v>
      </c>
      <c r="I88" s="912">
        <f t="shared" si="18"/>
        <v>11068.6625</v>
      </c>
      <c r="J88" s="912"/>
    </row>
    <row r="89" ht="21.6" customHeight="1" spans="1:10">
      <c r="A89" s="10">
        <v>6</v>
      </c>
      <c r="B89" s="11" t="s">
        <v>213</v>
      </c>
      <c r="C89" s="12" t="s">
        <v>52</v>
      </c>
      <c r="D89" s="15" t="s">
        <v>53</v>
      </c>
      <c r="E89" s="85">
        <v>442746.5</v>
      </c>
      <c r="F89" s="911">
        <v>428870.75</v>
      </c>
      <c r="G89" s="912"/>
      <c r="H89" s="912">
        <f t="shared" si="17"/>
        <v>10721.76875</v>
      </c>
      <c r="I89" s="912">
        <f t="shared" si="18"/>
        <v>10721.76875</v>
      </c>
      <c r="J89" s="912"/>
    </row>
    <row r="90" ht="21.6" customHeight="1" spans="1:10">
      <c r="A90" s="10">
        <v>7</v>
      </c>
      <c r="B90" s="11" t="s">
        <v>215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912"/>
      <c r="H90" s="912">
        <f t="shared" si="17"/>
        <v>7366.57291666668</v>
      </c>
      <c r="I90" s="912">
        <f t="shared" si="18"/>
        <v>7366.57291666668</v>
      </c>
      <c r="J90" s="912"/>
    </row>
    <row r="91" ht="21.6" customHeight="1" spans="1:10">
      <c r="A91" s="10">
        <v>8</v>
      </c>
      <c r="B91" s="11" t="s">
        <v>216</v>
      </c>
      <c r="C91" s="17" t="s">
        <v>217</v>
      </c>
      <c r="D91" s="15" t="s">
        <v>64</v>
      </c>
      <c r="E91" s="85">
        <v>403137.916666667</v>
      </c>
      <c r="F91" s="911">
        <v>311673.25</v>
      </c>
      <c r="G91" s="912">
        <v>5259.74375</v>
      </c>
      <c r="H91" s="912">
        <f t="shared" si="17"/>
        <v>7791.83125</v>
      </c>
      <c r="I91" s="912">
        <f t="shared" si="18"/>
        <v>2532.0875</v>
      </c>
      <c r="J91" s="912">
        <f>H91*12</f>
        <v>93501.975</v>
      </c>
    </row>
    <row r="92" ht="21.6" customHeight="1" spans="1:10">
      <c r="A92" s="10">
        <v>9</v>
      </c>
      <c r="B92" s="11" t="s">
        <v>220</v>
      </c>
      <c r="C92" s="4" t="s">
        <v>221</v>
      </c>
      <c r="D92" s="10" t="s">
        <v>78</v>
      </c>
      <c r="E92" s="220">
        <v>308901.5</v>
      </c>
      <c r="F92" s="911">
        <v>246171.166666667</v>
      </c>
      <c r="G92" s="912"/>
      <c r="H92" s="912">
        <f t="shared" si="17"/>
        <v>6154.27916666668</v>
      </c>
      <c r="I92" s="912">
        <f t="shared" si="18"/>
        <v>6154.27916666668</v>
      </c>
      <c r="J92" s="912"/>
    </row>
    <row r="93" ht="21.6" customHeight="1" spans="1:10">
      <c r="A93" s="10">
        <v>10</v>
      </c>
      <c r="B93" s="11" t="s">
        <v>224</v>
      </c>
      <c r="C93" s="17" t="s">
        <v>505</v>
      </c>
      <c r="D93" s="15" t="s">
        <v>105</v>
      </c>
      <c r="E93" s="220">
        <v>236804.083333333</v>
      </c>
      <c r="F93" s="911">
        <v>200549.416666667</v>
      </c>
      <c r="G93" s="912"/>
      <c r="H93" s="912">
        <f t="shared" si="17"/>
        <v>5013.73541666668</v>
      </c>
      <c r="I93" s="912">
        <f t="shared" si="18"/>
        <v>5013.73541666668</v>
      </c>
      <c r="J93" s="912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19">SUM(E84:E93)</f>
        <v>5352203.16666667</v>
      </c>
      <c r="F94" s="915">
        <f t="shared" si="19"/>
        <v>4362571.16666666</v>
      </c>
      <c r="G94" s="93">
        <f t="shared" si="19"/>
        <v>23514.71875</v>
      </c>
      <c r="H94" s="93">
        <f t="shared" si="19"/>
        <v>109064.279166667</v>
      </c>
      <c r="I94" s="93">
        <f t="shared" si="19"/>
        <v>85549.5604166666</v>
      </c>
      <c r="J94" s="93">
        <f t="shared" si="19"/>
        <v>401232.474999999</v>
      </c>
    </row>
    <row r="95" customHeight="1" spans="1:10">
      <c r="A95" s="10"/>
      <c r="B95" s="22"/>
      <c r="C95" s="21"/>
      <c r="D95" s="21"/>
      <c r="E95" s="156"/>
      <c r="F95" s="916"/>
      <c r="G95" s="912"/>
      <c r="H95" s="912"/>
      <c r="I95" s="912"/>
      <c r="J95" s="912"/>
    </row>
    <row r="96" customHeight="1" spans="1:10">
      <c r="A96" s="10"/>
      <c r="B96" s="20" t="s">
        <v>226</v>
      </c>
      <c r="C96" s="21"/>
      <c r="D96" s="21"/>
      <c r="E96" s="156"/>
      <c r="F96" s="916"/>
      <c r="G96" s="912"/>
      <c r="H96" s="912"/>
      <c r="I96" s="912"/>
      <c r="J96" s="912"/>
    </row>
    <row r="97" customHeight="1" spans="1:10">
      <c r="A97" s="10">
        <v>1</v>
      </c>
      <c r="B97" s="14" t="s">
        <v>227</v>
      </c>
      <c r="C97" s="4" t="s">
        <v>650</v>
      </c>
      <c r="D97" s="16" t="s">
        <v>140</v>
      </c>
      <c r="E97" s="85">
        <v>1393881.33333333</v>
      </c>
      <c r="F97" s="911">
        <v>1056272.83333333</v>
      </c>
      <c r="G97" s="912">
        <v>18254.975</v>
      </c>
      <c r="H97" s="912">
        <f t="shared" ref="H97:H101" si="20">0.025*F97</f>
        <v>26406.8208333333</v>
      </c>
      <c r="I97" s="912">
        <f t="shared" ref="I97:I101" si="21">H97-G97</f>
        <v>8151.84583333325</v>
      </c>
      <c r="J97" s="912">
        <f t="shared" ref="J97:J101" si="22">H97*12</f>
        <v>316881.849999999</v>
      </c>
    </row>
    <row r="98" customHeight="1" spans="1:10">
      <c r="A98" s="10">
        <v>2</v>
      </c>
      <c r="B98" s="11" t="s">
        <v>229</v>
      </c>
      <c r="C98" s="4" t="s">
        <v>230</v>
      </c>
      <c r="D98" s="15" t="s">
        <v>47</v>
      </c>
      <c r="E98" s="85">
        <v>470498</v>
      </c>
      <c r="F98" s="911">
        <v>357066.666666667</v>
      </c>
      <c r="G98" s="912"/>
      <c r="H98" s="912">
        <f t="shared" si="20"/>
        <v>8926.66666666668</v>
      </c>
      <c r="I98" s="912">
        <f t="shared" si="21"/>
        <v>8926.66666666668</v>
      </c>
      <c r="J98" s="912">
        <f t="shared" si="22"/>
        <v>107120</v>
      </c>
    </row>
    <row r="99" customHeight="1" spans="1:10">
      <c r="A99" s="10">
        <v>3</v>
      </c>
      <c r="B99" s="11" t="s">
        <v>231</v>
      </c>
      <c r="C99" s="12" t="s">
        <v>232</v>
      </c>
      <c r="D99" s="15" t="s">
        <v>64</v>
      </c>
      <c r="E99" s="85">
        <v>403137.916666667</v>
      </c>
      <c r="F99" s="911">
        <v>311673.25</v>
      </c>
      <c r="G99" s="912">
        <v>5967.30625</v>
      </c>
      <c r="H99" s="912">
        <f t="shared" si="20"/>
        <v>7791.83125</v>
      </c>
      <c r="I99" s="912">
        <f t="shared" si="21"/>
        <v>1824.525</v>
      </c>
      <c r="J99" s="912">
        <f t="shared" si="22"/>
        <v>93501.975</v>
      </c>
    </row>
    <row r="100" customHeight="1" spans="1:10">
      <c r="A100" s="10">
        <v>4</v>
      </c>
      <c r="B100" s="11" t="s">
        <v>235</v>
      </c>
      <c r="C100" s="4" t="s">
        <v>651</v>
      </c>
      <c r="D100" s="15" t="s">
        <v>173</v>
      </c>
      <c r="E100" s="85">
        <v>390086.5</v>
      </c>
      <c r="F100" s="911">
        <v>302878.666666667</v>
      </c>
      <c r="G100" s="912"/>
      <c r="H100" s="912">
        <f t="shared" si="20"/>
        <v>7571.96666666667</v>
      </c>
      <c r="I100" s="912">
        <f t="shared" si="21"/>
        <v>7571.96666666667</v>
      </c>
      <c r="J100" s="912">
        <f t="shared" si="22"/>
        <v>90863.6000000001</v>
      </c>
    </row>
    <row r="101" customHeight="1" spans="1:10">
      <c r="A101" s="10">
        <v>5</v>
      </c>
      <c r="B101" s="11" t="s">
        <v>236</v>
      </c>
      <c r="C101" s="4" t="s">
        <v>200</v>
      </c>
      <c r="D101" s="15" t="s">
        <v>78</v>
      </c>
      <c r="E101" s="220">
        <v>308901.5</v>
      </c>
      <c r="F101" s="911">
        <v>246171.166666667</v>
      </c>
      <c r="G101" s="912"/>
      <c r="H101" s="912">
        <f t="shared" si="20"/>
        <v>6154.27916666668</v>
      </c>
      <c r="I101" s="912">
        <f t="shared" si="21"/>
        <v>6154.27916666668</v>
      </c>
      <c r="J101" s="912">
        <f t="shared" si="22"/>
        <v>73851.3500000001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23">SUM(E97:E101)</f>
        <v>2966505.25</v>
      </c>
      <c r="F102" s="915">
        <f t="shared" si="23"/>
        <v>2274062.58333333</v>
      </c>
      <c r="G102" s="93">
        <f t="shared" si="23"/>
        <v>24222.28125</v>
      </c>
      <c r="H102" s="93">
        <f t="shared" si="23"/>
        <v>56851.5645833333</v>
      </c>
      <c r="I102" s="93">
        <f t="shared" si="23"/>
        <v>32629.2833333333</v>
      </c>
      <c r="J102" s="93">
        <f t="shared" si="23"/>
        <v>682218.774999999</v>
      </c>
    </row>
    <row r="103" customHeight="1" spans="1:10">
      <c r="A103" s="4"/>
      <c r="B103" s="22"/>
      <c r="C103" s="21"/>
      <c r="D103" s="26"/>
      <c r="E103" s="156"/>
      <c r="F103" s="916"/>
      <c r="G103" s="912"/>
      <c r="H103" s="912"/>
      <c r="I103" s="912"/>
      <c r="J103" s="912"/>
    </row>
    <row r="104" customHeight="1" spans="1:10">
      <c r="A104" s="4"/>
      <c r="B104" s="20" t="s">
        <v>239</v>
      </c>
      <c r="C104" s="4"/>
      <c r="D104" s="4"/>
      <c r="E104" s="4"/>
      <c r="F104" s="917"/>
      <c r="G104" s="912"/>
      <c r="H104" s="912"/>
      <c r="I104" s="912"/>
      <c r="J104" s="912"/>
    </row>
    <row r="105" customHeight="1" spans="1:10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911">
        <v>1086777.08333333</v>
      </c>
      <c r="G105" s="912">
        <v>0</v>
      </c>
      <c r="H105" s="912">
        <f t="shared" ref="H105:H111" si="24">0.025*F105</f>
        <v>27169.4270833333</v>
      </c>
      <c r="I105" s="912">
        <f t="shared" ref="I105:I111" si="25">H105-G105</f>
        <v>27169.4270833333</v>
      </c>
      <c r="J105" s="912"/>
    </row>
    <row r="106" customHeight="1" spans="1:10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911">
        <v>554669.5</v>
      </c>
      <c r="G106" s="912">
        <v>10293.3979166667</v>
      </c>
      <c r="H106" s="912">
        <f t="shared" si="24"/>
        <v>13866.7375</v>
      </c>
      <c r="I106" s="912">
        <f t="shared" si="25"/>
        <v>3573.3395833333</v>
      </c>
      <c r="J106" s="912">
        <f>H106*12</f>
        <v>166400.85</v>
      </c>
    </row>
    <row r="107" customHeight="1" spans="1:10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911">
        <v>337730.833333333</v>
      </c>
      <c r="G107" s="912">
        <v>5954.61041666667</v>
      </c>
      <c r="H107" s="912">
        <f t="shared" si="24"/>
        <v>8443.27083333333</v>
      </c>
      <c r="I107" s="912">
        <f t="shared" si="25"/>
        <v>2488.66041666666</v>
      </c>
      <c r="J107" s="912">
        <f>H107*12</f>
        <v>101319.25</v>
      </c>
    </row>
    <row r="108" customHeight="1" spans="1:10">
      <c r="A108" s="4">
        <v>4</v>
      </c>
      <c r="B108" s="11" t="s">
        <v>246</v>
      </c>
      <c r="C108" s="4" t="s">
        <v>653</v>
      </c>
      <c r="D108" s="10" t="s">
        <v>56</v>
      </c>
      <c r="E108" s="85">
        <v>441804.916666667</v>
      </c>
      <c r="F108" s="911">
        <v>337730.833333333</v>
      </c>
      <c r="G108" s="912"/>
      <c r="H108" s="912">
        <f t="shared" si="24"/>
        <v>8443.27083333333</v>
      </c>
      <c r="I108" s="912">
        <f t="shared" si="25"/>
        <v>8443.27083333333</v>
      </c>
      <c r="J108" s="912"/>
    </row>
    <row r="109" customHeight="1" spans="1:10">
      <c r="A109" s="4">
        <v>5</v>
      </c>
      <c r="B109" s="11" t="s">
        <v>249</v>
      </c>
      <c r="C109" s="4" t="s">
        <v>250</v>
      </c>
      <c r="D109" s="15" t="s">
        <v>603</v>
      </c>
      <c r="E109" s="220">
        <v>255320.583333333</v>
      </c>
      <c r="F109" s="911">
        <v>213104.416666667</v>
      </c>
      <c r="G109" s="912"/>
      <c r="H109" s="912">
        <f t="shared" si="24"/>
        <v>5327.61041666668</v>
      </c>
      <c r="I109" s="912">
        <f t="shared" si="25"/>
        <v>5327.61041666668</v>
      </c>
      <c r="J109" s="912"/>
    </row>
    <row r="110" customHeight="1" spans="1:10">
      <c r="A110" s="4">
        <v>6</v>
      </c>
      <c r="B110" s="18" t="s">
        <v>252</v>
      </c>
      <c r="C110" s="4" t="s">
        <v>250</v>
      </c>
      <c r="D110" s="10" t="s">
        <v>225</v>
      </c>
      <c r="E110" s="220">
        <v>255849</v>
      </c>
      <c r="F110" s="911">
        <v>212792.166666667</v>
      </c>
      <c r="G110" s="912"/>
      <c r="H110" s="912">
        <f t="shared" si="24"/>
        <v>5319.80416666668</v>
      </c>
      <c r="I110" s="912">
        <f t="shared" si="25"/>
        <v>5319.80416666668</v>
      </c>
      <c r="J110" s="912"/>
    </row>
    <row r="111" customHeight="1" spans="1:10">
      <c r="A111" s="4">
        <v>7</v>
      </c>
      <c r="B111" s="18" t="s">
        <v>253</v>
      </c>
      <c r="C111" s="4" t="s">
        <v>250</v>
      </c>
      <c r="D111" s="15" t="s">
        <v>105</v>
      </c>
      <c r="E111" s="220">
        <v>236804.083333333</v>
      </c>
      <c r="F111" s="911">
        <v>200549.416666667</v>
      </c>
      <c r="G111" s="912"/>
      <c r="H111" s="912">
        <f t="shared" si="24"/>
        <v>5013.73541666668</v>
      </c>
      <c r="I111" s="912">
        <f t="shared" si="25"/>
        <v>5013.73541666668</v>
      </c>
      <c r="J111" s="912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6">SUM(E105:E111)</f>
        <v>3829676.66666667</v>
      </c>
      <c r="F112" s="918">
        <f t="shared" si="26"/>
        <v>2943354.25</v>
      </c>
      <c r="G112" s="223">
        <f t="shared" si="26"/>
        <v>16248.0083333334</v>
      </c>
      <c r="H112" s="223">
        <f t="shared" si="26"/>
        <v>73583.8562499999</v>
      </c>
      <c r="I112" s="223">
        <f t="shared" si="26"/>
        <v>57335.8479166666</v>
      </c>
      <c r="J112" s="223">
        <f t="shared" si="26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2"/>
      <c r="H113" s="912"/>
      <c r="I113" s="912"/>
      <c r="J113" s="912"/>
    </row>
    <row r="114" customHeight="1" spans="1:10">
      <c r="A114" s="10"/>
      <c r="B114" s="20" t="s">
        <v>257</v>
      </c>
      <c r="C114" s="21"/>
      <c r="D114" s="21"/>
      <c r="E114" s="156"/>
      <c r="F114" s="916"/>
      <c r="G114" s="912"/>
      <c r="H114" s="912"/>
      <c r="I114" s="912"/>
      <c r="J114" s="912"/>
    </row>
    <row r="115" ht="18.75" customHeight="1" spans="1:10">
      <c r="A115" s="10">
        <v>1</v>
      </c>
      <c r="B115" s="11" t="s">
        <v>259</v>
      </c>
      <c r="C115" s="4" t="s">
        <v>260</v>
      </c>
      <c r="D115" s="15" t="s">
        <v>173</v>
      </c>
      <c r="E115" s="85">
        <v>390086.5</v>
      </c>
      <c r="F115" s="911">
        <v>302878.666666667</v>
      </c>
      <c r="G115" s="912"/>
      <c r="H115" s="912">
        <f t="shared" ref="H115:H117" si="27">0.025*F115</f>
        <v>7571.96666666667</v>
      </c>
      <c r="I115" s="912">
        <f t="shared" ref="I115:I117" si="28">H115-G115</f>
        <v>7571.96666666667</v>
      </c>
      <c r="J115" s="912"/>
    </row>
    <row r="116" ht="18.75" customHeight="1" spans="1:10">
      <c r="A116" s="10">
        <v>2</v>
      </c>
      <c r="B116" s="11" t="s">
        <v>480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912"/>
      <c r="H116" s="912">
        <f t="shared" si="27"/>
        <v>7366.57291666668</v>
      </c>
      <c r="I116" s="912">
        <f t="shared" si="28"/>
        <v>7366.57291666668</v>
      </c>
      <c r="J116" s="912"/>
    </row>
    <row r="117" customHeight="1" spans="1:10">
      <c r="A117" s="10">
        <v>3</v>
      </c>
      <c r="B117" s="11" t="s">
        <v>193</v>
      </c>
      <c r="C117" s="12" t="s">
        <v>194</v>
      </c>
      <c r="D117" s="15" t="s">
        <v>67</v>
      </c>
      <c r="E117" s="85">
        <v>390248.916666667</v>
      </c>
      <c r="F117" s="911">
        <v>302987.416666667</v>
      </c>
      <c r="G117" s="912">
        <v>5967.30625</v>
      </c>
      <c r="H117" s="912">
        <f t="shared" si="27"/>
        <v>7574.68541666667</v>
      </c>
      <c r="I117" s="912">
        <f t="shared" si="28"/>
        <v>1607.37916666667</v>
      </c>
      <c r="J117" s="912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29">SUM(E115:E117)</f>
        <v>1158230.58333333</v>
      </c>
      <c r="F118" s="915">
        <f t="shared" si="29"/>
        <v>900529.000000001</v>
      </c>
      <c r="G118" s="93">
        <f t="shared" si="29"/>
        <v>5967.30625</v>
      </c>
      <c r="H118" s="93">
        <f t="shared" si="29"/>
        <v>22513.225</v>
      </c>
      <c r="I118" s="93">
        <f t="shared" si="29"/>
        <v>16545.91875</v>
      </c>
      <c r="J118" s="93">
        <f t="shared" si="29"/>
        <v>90896.2250000001</v>
      </c>
    </row>
    <row r="119" ht="24.75" customHeight="1" spans="1:10">
      <c r="A119" s="4"/>
      <c r="B119" s="20"/>
      <c r="C119" s="21"/>
      <c r="D119" s="26"/>
      <c r="E119" s="93"/>
      <c r="F119" s="915"/>
      <c r="G119" s="912"/>
      <c r="H119" s="912"/>
      <c r="I119" s="912"/>
      <c r="J119" s="912"/>
    </row>
    <row r="120" ht="24.75" customHeight="1" spans="1:10">
      <c r="A120" s="10"/>
      <c r="B120" s="20" t="s">
        <v>268</v>
      </c>
      <c r="C120" s="21"/>
      <c r="D120" s="21"/>
      <c r="E120" s="156"/>
      <c r="F120" s="916"/>
      <c r="G120" s="912"/>
      <c r="H120" s="912"/>
      <c r="I120" s="912"/>
      <c r="J120" s="912"/>
    </row>
    <row r="121" ht="24.75" customHeight="1" spans="1:10">
      <c r="A121" s="10">
        <v>2</v>
      </c>
      <c r="B121" s="11" t="s">
        <v>271</v>
      </c>
      <c r="C121" s="4" t="s">
        <v>272</v>
      </c>
      <c r="D121" s="10" t="s">
        <v>275</v>
      </c>
      <c r="E121" s="85">
        <v>218287.583333333</v>
      </c>
      <c r="F121" s="911">
        <v>187994.416666667</v>
      </c>
      <c r="G121" s="912"/>
      <c r="H121" s="912">
        <f t="shared" ref="H121:H135" si="30">0.025*F121</f>
        <v>4699.86041666668</v>
      </c>
      <c r="I121" s="912">
        <f t="shared" ref="I121:I135" si="31">H121-G121</f>
        <v>4699.86041666668</v>
      </c>
      <c r="J121" s="912"/>
    </row>
    <row r="122" ht="24.75" customHeight="1" spans="1:10">
      <c r="A122" s="10">
        <v>3</v>
      </c>
      <c r="B122" s="11" t="s">
        <v>276</v>
      </c>
      <c r="C122" s="4" t="s">
        <v>277</v>
      </c>
      <c r="D122" s="10" t="s">
        <v>275</v>
      </c>
      <c r="E122" s="85">
        <v>218287.583333333</v>
      </c>
      <c r="F122" s="911">
        <v>187994.416666667</v>
      </c>
      <c r="G122" s="912"/>
      <c r="H122" s="912">
        <f t="shared" si="30"/>
        <v>4699.86041666668</v>
      </c>
      <c r="I122" s="912">
        <f t="shared" si="31"/>
        <v>4699.86041666668</v>
      </c>
      <c r="J122" s="912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32">SUM(E121:E122)</f>
        <v>436575.166666666</v>
      </c>
      <c r="F123" s="915">
        <f t="shared" si="32"/>
        <v>375988.833333334</v>
      </c>
      <c r="G123" s="93">
        <f t="shared" si="32"/>
        <v>0</v>
      </c>
      <c r="H123" s="93">
        <f t="shared" si="32"/>
        <v>9399.72083333335</v>
      </c>
      <c r="I123" s="93">
        <f t="shared" si="32"/>
        <v>9399.72083333335</v>
      </c>
      <c r="J123" s="93">
        <f t="shared" si="32"/>
        <v>0</v>
      </c>
    </row>
    <row r="124" customHeight="1" spans="1:10">
      <c r="A124" s="4"/>
      <c r="B124" s="20"/>
      <c r="C124" s="21"/>
      <c r="D124" s="26"/>
      <c r="E124" s="93"/>
      <c r="F124" s="915"/>
      <c r="G124" s="912"/>
      <c r="H124" s="912"/>
      <c r="I124" s="912"/>
      <c r="J124" s="912"/>
    </row>
    <row r="125" customHeight="1" spans="1:10">
      <c r="A125" s="4"/>
      <c r="B125" s="20" t="s">
        <v>278</v>
      </c>
      <c r="C125" s="21"/>
      <c r="D125" s="21"/>
      <c r="E125" s="156"/>
      <c r="F125" s="916"/>
      <c r="G125" s="912"/>
      <c r="H125" s="912"/>
      <c r="I125" s="912"/>
      <c r="J125" s="912"/>
    </row>
    <row r="126" customHeight="1" spans="1:10">
      <c r="A126" s="4">
        <v>1</v>
      </c>
      <c r="B126" s="11" t="s">
        <v>279</v>
      </c>
      <c r="C126" s="12" t="s">
        <v>280</v>
      </c>
      <c r="D126" s="15" t="s">
        <v>124</v>
      </c>
      <c r="E126" s="85">
        <v>1435720</v>
      </c>
      <c r="F126" s="911">
        <v>1086777.08333333</v>
      </c>
      <c r="G126" s="912">
        <v>19384.7666666667</v>
      </c>
      <c r="H126" s="912">
        <f t="shared" si="30"/>
        <v>27169.4270833333</v>
      </c>
      <c r="I126" s="912">
        <f t="shared" si="31"/>
        <v>7784.66041666655</v>
      </c>
      <c r="J126" s="912">
        <f t="shared" ref="J126:J135" si="33">H126*12</f>
        <v>326033.124999999</v>
      </c>
    </row>
    <row r="127" customHeight="1" spans="1:10">
      <c r="A127" s="4">
        <v>2</v>
      </c>
      <c r="B127" s="11" t="s">
        <v>281</v>
      </c>
      <c r="C127" s="12" t="s">
        <v>654</v>
      </c>
      <c r="D127" s="15" t="s">
        <v>36</v>
      </c>
      <c r="E127" s="85">
        <v>762373.166666667</v>
      </c>
      <c r="F127" s="911">
        <v>554669.5</v>
      </c>
      <c r="G127" s="912">
        <v>9980.56666666667</v>
      </c>
      <c r="H127" s="912">
        <f t="shared" si="30"/>
        <v>13866.7375</v>
      </c>
      <c r="I127" s="912">
        <f t="shared" si="31"/>
        <v>3886.17083333333</v>
      </c>
      <c r="J127" s="912">
        <f t="shared" si="33"/>
        <v>166400.85</v>
      </c>
    </row>
    <row r="128" customHeight="1" spans="1:10">
      <c r="A128" s="4">
        <v>3</v>
      </c>
      <c r="B128" s="14" t="s">
        <v>283</v>
      </c>
      <c r="C128" s="12" t="s">
        <v>655</v>
      </c>
      <c r="D128" s="15" t="s">
        <v>143</v>
      </c>
      <c r="E128" s="85">
        <v>716034</v>
      </c>
      <c r="F128" s="911">
        <v>523386.5</v>
      </c>
      <c r="G128" s="912">
        <v>9980.56666666667</v>
      </c>
      <c r="H128" s="912">
        <f t="shared" si="30"/>
        <v>13084.6625</v>
      </c>
      <c r="I128" s="912">
        <f t="shared" si="31"/>
        <v>3104.09583333333</v>
      </c>
      <c r="J128" s="912">
        <f t="shared" si="33"/>
        <v>157015.95</v>
      </c>
    </row>
    <row r="129" customHeight="1" spans="1:10">
      <c r="A129" s="4">
        <v>4</v>
      </c>
      <c r="B129" s="11" t="s">
        <v>286</v>
      </c>
      <c r="C129" s="12" t="s">
        <v>288</v>
      </c>
      <c r="D129" s="15" t="s">
        <v>192</v>
      </c>
      <c r="E129" s="85">
        <v>484373.75</v>
      </c>
      <c r="F129" s="911">
        <v>366417.5</v>
      </c>
      <c r="G129" s="912">
        <v>0</v>
      </c>
      <c r="H129" s="912">
        <f t="shared" si="30"/>
        <v>9160.4375</v>
      </c>
      <c r="I129" s="912">
        <f t="shared" si="31"/>
        <v>9160.4375</v>
      </c>
      <c r="J129" s="912">
        <f t="shared" si="33"/>
        <v>109925.25</v>
      </c>
    </row>
    <row r="130" customHeight="1" spans="1:10">
      <c r="A130" s="4">
        <v>5</v>
      </c>
      <c r="B130" s="11" t="s">
        <v>287</v>
      </c>
      <c r="C130" s="12" t="s">
        <v>656</v>
      </c>
      <c r="D130" s="15" t="s">
        <v>214</v>
      </c>
      <c r="E130" s="85">
        <v>456622.25</v>
      </c>
      <c r="F130" s="911">
        <v>347715.916666667</v>
      </c>
      <c r="G130" s="912">
        <v>5967.30625</v>
      </c>
      <c r="H130" s="912">
        <f t="shared" si="30"/>
        <v>8692.89791666667</v>
      </c>
      <c r="I130" s="912">
        <f t="shared" si="31"/>
        <v>2725.59166666667</v>
      </c>
      <c r="J130" s="912">
        <f t="shared" si="33"/>
        <v>104314.775</v>
      </c>
    </row>
    <row r="131" customHeight="1" spans="1:10">
      <c r="A131" s="4">
        <v>6</v>
      </c>
      <c r="B131" s="11" t="s">
        <v>289</v>
      </c>
      <c r="C131" s="12" t="s">
        <v>288</v>
      </c>
      <c r="D131" s="15" t="s">
        <v>47</v>
      </c>
      <c r="E131" s="85">
        <v>470498</v>
      </c>
      <c r="F131" s="911">
        <v>357066.666666667</v>
      </c>
      <c r="G131" s="912">
        <v>6154.32291666667</v>
      </c>
      <c r="H131" s="912">
        <f t="shared" si="30"/>
        <v>8926.66666666668</v>
      </c>
      <c r="I131" s="912">
        <f t="shared" si="31"/>
        <v>2772.34375000001</v>
      </c>
      <c r="J131" s="912">
        <f t="shared" si="33"/>
        <v>107120</v>
      </c>
    </row>
    <row r="132" customHeight="1" spans="1:10">
      <c r="A132" s="4">
        <v>7</v>
      </c>
      <c r="B132" s="11" t="s">
        <v>292</v>
      </c>
      <c r="C132" s="12" t="s">
        <v>657</v>
      </c>
      <c r="D132" s="10" t="s">
        <v>156</v>
      </c>
      <c r="E132" s="85">
        <v>277798</v>
      </c>
      <c r="F132" s="911">
        <v>227615.75</v>
      </c>
      <c r="G132" s="912"/>
      <c r="H132" s="912">
        <f t="shared" si="30"/>
        <v>5690.39375</v>
      </c>
      <c r="I132" s="912">
        <f t="shared" si="31"/>
        <v>5690.39375</v>
      </c>
      <c r="J132" s="912">
        <f t="shared" si="33"/>
        <v>68284.725</v>
      </c>
    </row>
    <row r="133" customHeight="1" spans="1:10">
      <c r="A133" s="4">
        <v>8</v>
      </c>
      <c r="B133" s="18" t="s">
        <v>294</v>
      </c>
      <c r="C133" s="12" t="s">
        <v>295</v>
      </c>
      <c r="D133" s="15" t="s">
        <v>108</v>
      </c>
      <c r="E133" s="85">
        <v>230631.916666667</v>
      </c>
      <c r="F133" s="911">
        <v>196364.416666667</v>
      </c>
      <c r="G133" s="912">
        <v>0</v>
      </c>
      <c r="H133" s="912">
        <f t="shared" si="30"/>
        <v>4909.11041666668</v>
      </c>
      <c r="I133" s="912">
        <f t="shared" si="31"/>
        <v>4909.11041666668</v>
      </c>
      <c r="J133" s="912">
        <f t="shared" si="33"/>
        <v>58909.3250000001</v>
      </c>
    </row>
    <row r="134" customHeight="1" spans="1:10">
      <c r="A134" s="4">
        <v>9</v>
      </c>
      <c r="B134" s="18" t="s">
        <v>296</v>
      </c>
      <c r="C134" s="12" t="s">
        <v>291</v>
      </c>
      <c r="D134" s="15" t="s">
        <v>108</v>
      </c>
      <c r="E134" s="85">
        <v>230631.916666667</v>
      </c>
      <c r="F134" s="911">
        <v>196364.416666667</v>
      </c>
      <c r="G134" s="912">
        <v>0</v>
      </c>
      <c r="H134" s="912">
        <f t="shared" si="30"/>
        <v>4909.11041666668</v>
      </c>
      <c r="I134" s="912">
        <f t="shared" si="31"/>
        <v>4909.11041666668</v>
      </c>
      <c r="J134" s="912">
        <f t="shared" si="33"/>
        <v>58909.3250000001</v>
      </c>
    </row>
    <row r="135" customHeight="1" spans="1:10">
      <c r="A135" s="4">
        <v>10</v>
      </c>
      <c r="B135" s="18" t="s">
        <v>297</v>
      </c>
      <c r="C135" s="12" t="s">
        <v>295</v>
      </c>
      <c r="D135" s="15" t="s">
        <v>111</v>
      </c>
      <c r="E135" s="85">
        <v>224459.75</v>
      </c>
      <c r="F135" s="911">
        <v>192179.416666667</v>
      </c>
      <c r="G135" s="912"/>
      <c r="H135" s="912">
        <f t="shared" si="30"/>
        <v>4804.48541666668</v>
      </c>
      <c r="I135" s="912">
        <f t="shared" si="31"/>
        <v>4804.48541666668</v>
      </c>
      <c r="J135" s="912">
        <f t="shared" si="33"/>
        <v>57653.8250000001</v>
      </c>
    </row>
    <row r="136" ht="28.5" customHeight="1" spans="1:10">
      <c r="A136" s="4"/>
      <c r="B136" s="20" t="s">
        <v>120</v>
      </c>
      <c r="C136" s="26" t="s">
        <v>658</v>
      </c>
      <c r="D136" s="15"/>
      <c r="E136" s="156">
        <f t="shared" ref="E136:J136" si="34">SUM(E126:E135)</f>
        <v>5289142.75</v>
      </c>
      <c r="F136" s="916">
        <f t="shared" si="34"/>
        <v>4048557.16666667</v>
      </c>
      <c r="G136" s="221">
        <f t="shared" si="34"/>
        <v>51467.5291666667</v>
      </c>
      <c r="H136" s="221">
        <f t="shared" si="34"/>
        <v>101213.929166667</v>
      </c>
      <c r="I136" s="221">
        <f t="shared" si="34"/>
        <v>49746.3999999999</v>
      </c>
      <c r="J136" s="221">
        <f t="shared" si="34"/>
        <v>1214567.15</v>
      </c>
    </row>
    <row r="137" customHeight="1" spans="1:10">
      <c r="A137" s="4"/>
      <c r="B137" s="22"/>
      <c r="C137" s="26"/>
      <c r="D137" s="15"/>
      <c r="E137" s="156"/>
      <c r="F137" s="916"/>
      <c r="G137" s="912"/>
      <c r="H137" s="912"/>
      <c r="I137" s="912"/>
      <c r="J137" s="912"/>
    </row>
    <row r="138" customHeight="1" spans="1:10">
      <c r="A138" s="4"/>
      <c r="B138" s="20" t="s">
        <v>299</v>
      </c>
      <c r="C138" s="12"/>
      <c r="D138" s="15"/>
      <c r="E138" s="85"/>
      <c r="F138" s="911"/>
      <c r="G138" s="912"/>
      <c r="H138" s="912"/>
      <c r="I138" s="912"/>
      <c r="J138" s="912"/>
    </row>
    <row r="139" customHeight="1" spans="1:10">
      <c r="A139" s="27">
        <v>1</v>
      </c>
      <c r="B139" s="14" t="s">
        <v>300</v>
      </c>
      <c r="C139" s="4" t="s">
        <v>301</v>
      </c>
      <c r="D139" s="10" t="s">
        <v>511</v>
      </c>
      <c r="E139" s="85">
        <f>'[3]Annual &amp; Monthly'!$H$44</f>
        <v>1352042.66666667</v>
      </c>
      <c r="F139" s="911">
        <v>1025768.33333333</v>
      </c>
      <c r="G139" s="912">
        <v>18254.975</v>
      </c>
      <c r="H139" s="912">
        <f t="shared" ref="H139:H198" si="35">0.025*F139</f>
        <v>25644.2083333333</v>
      </c>
      <c r="I139" s="912">
        <f t="shared" ref="I139:I198" si="36">H139-G139</f>
        <v>7389.23333333325</v>
      </c>
      <c r="J139" s="912">
        <f t="shared" ref="J139:J198" si="37">H139*12</f>
        <v>307730.499999999</v>
      </c>
    </row>
    <row r="140" customHeight="1" spans="1:10">
      <c r="A140" s="27">
        <v>2</v>
      </c>
      <c r="B140" s="14" t="s">
        <v>302</v>
      </c>
      <c r="C140" s="4" t="s">
        <v>488</v>
      </c>
      <c r="D140" s="16" t="s">
        <v>36</v>
      </c>
      <c r="E140" s="85">
        <v>762373.166666667</v>
      </c>
      <c r="F140" s="911">
        <v>554669.5</v>
      </c>
      <c r="G140" s="912">
        <v>10293.3979166667</v>
      </c>
      <c r="H140" s="912">
        <f t="shared" si="35"/>
        <v>13866.7375</v>
      </c>
      <c r="I140" s="912">
        <f t="shared" si="36"/>
        <v>3573.3395833333</v>
      </c>
      <c r="J140" s="912">
        <f t="shared" si="37"/>
        <v>166400.85</v>
      </c>
    </row>
    <row r="141" customHeight="1" spans="1:10">
      <c r="A141" s="27">
        <v>3</v>
      </c>
      <c r="B141" s="11" t="s">
        <v>305</v>
      </c>
      <c r="C141" s="12" t="s">
        <v>306</v>
      </c>
      <c r="D141" s="15" t="s">
        <v>42</v>
      </c>
      <c r="E141" s="85">
        <v>582118.083333333</v>
      </c>
      <c r="F141" s="911">
        <v>432981.083333333</v>
      </c>
      <c r="G141" s="912">
        <v>8380.22708333333</v>
      </c>
      <c r="H141" s="912">
        <f t="shared" si="35"/>
        <v>10824.5270833333</v>
      </c>
      <c r="I141" s="912">
        <f t="shared" si="36"/>
        <v>2444.3</v>
      </c>
      <c r="J141" s="912">
        <f t="shared" si="37"/>
        <v>129894.325</v>
      </c>
    </row>
    <row r="142" customHeight="1" spans="1:10">
      <c r="A142" s="27">
        <v>4</v>
      </c>
      <c r="B142" s="11" t="s">
        <v>307</v>
      </c>
      <c r="C142" s="4" t="s">
        <v>489</v>
      </c>
      <c r="D142" s="15" t="s">
        <v>42</v>
      </c>
      <c r="E142" s="85">
        <v>582119.083333333</v>
      </c>
      <c r="F142" s="911">
        <v>432981.083333333</v>
      </c>
      <c r="G142" s="912">
        <v>8381.22708333333</v>
      </c>
      <c r="H142" s="912">
        <f t="shared" si="35"/>
        <v>10824.5270833333</v>
      </c>
      <c r="I142" s="912">
        <f t="shared" si="36"/>
        <v>2443.3</v>
      </c>
      <c r="J142" s="912">
        <f t="shared" si="37"/>
        <v>129894.325</v>
      </c>
    </row>
    <row r="143" customHeight="1" spans="1:10">
      <c r="A143" s="27">
        <v>5</v>
      </c>
      <c r="B143" s="11" t="s">
        <v>309</v>
      </c>
      <c r="C143" s="4" t="s">
        <v>489</v>
      </c>
      <c r="D143" s="15" t="s">
        <v>42</v>
      </c>
      <c r="E143" s="85">
        <v>582120.083333333</v>
      </c>
      <c r="F143" s="911">
        <v>432981.083333333</v>
      </c>
      <c r="G143" s="912">
        <v>8382.22708333333</v>
      </c>
      <c r="H143" s="912">
        <f t="shared" si="35"/>
        <v>10824.5270833333</v>
      </c>
      <c r="I143" s="912">
        <f t="shared" si="36"/>
        <v>2442.3</v>
      </c>
      <c r="J143" s="912">
        <f t="shared" si="37"/>
        <v>129894.325</v>
      </c>
    </row>
    <row r="144" customHeight="1" spans="1:10">
      <c r="A144" s="27">
        <v>6</v>
      </c>
      <c r="B144" s="11" t="s">
        <v>312</v>
      </c>
      <c r="C144" s="12" t="s">
        <v>232</v>
      </c>
      <c r="D144" s="15" t="s">
        <v>67</v>
      </c>
      <c r="E144" s="85">
        <v>390248.916666667</v>
      </c>
      <c r="F144" s="911">
        <v>311673.25</v>
      </c>
      <c r="G144" s="912">
        <v>0</v>
      </c>
      <c r="H144" s="912">
        <f t="shared" si="35"/>
        <v>7791.83125</v>
      </c>
      <c r="I144" s="912">
        <f t="shared" si="36"/>
        <v>7791.83125</v>
      </c>
      <c r="J144" s="912">
        <f t="shared" si="37"/>
        <v>93501.975</v>
      </c>
    </row>
    <row r="145" customHeight="1" spans="1:10">
      <c r="A145" s="27">
        <v>7</v>
      </c>
      <c r="B145" s="11" t="s">
        <v>313</v>
      </c>
      <c r="C145" s="4" t="s">
        <v>659</v>
      </c>
      <c r="D145" s="15" t="s">
        <v>67</v>
      </c>
      <c r="E145" s="85">
        <v>390248.916666667</v>
      </c>
      <c r="F145" s="911">
        <v>302987.416666667</v>
      </c>
      <c r="G145" s="912">
        <v>0</v>
      </c>
      <c r="H145" s="912">
        <f t="shared" si="35"/>
        <v>7574.68541666667</v>
      </c>
      <c r="I145" s="912">
        <f t="shared" si="36"/>
        <v>7574.68541666667</v>
      </c>
      <c r="J145" s="912">
        <f t="shared" si="37"/>
        <v>90896.2250000001</v>
      </c>
    </row>
    <row r="146" customHeight="1" spans="1:10">
      <c r="A146" s="27">
        <v>8</v>
      </c>
      <c r="B146" s="11" t="s">
        <v>315</v>
      </c>
      <c r="C146" s="12" t="s">
        <v>660</v>
      </c>
      <c r="D146" s="15" t="s">
        <v>173</v>
      </c>
      <c r="E146" s="85">
        <v>390086.5</v>
      </c>
      <c r="F146" s="911">
        <v>302878.666666667</v>
      </c>
      <c r="G146" s="912">
        <v>0</v>
      </c>
      <c r="H146" s="912">
        <f t="shared" si="35"/>
        <v>7571.96666666667</v>
      </c>
      <c r="I146" s="912">
        <f t="shared" si="36"/>
        <v>7571.96666666667</v>
      </c>
      <c r="J146" s="912">
        <f t="shared" si="37"/>
        <v>90863.6000000001</v>
      </c>
    </row>
    <row r="147" customHeight="1" spans="1:10">
      <c r="A147" s="27">
        <v>9</v>
      </c>
      <c r="B147" s="11" t="s">
        <v>317</v>
      </c>
      <c r="C147" s="12" t="s">
        <v>318</v>
      </c>
      <c r="D147" s="15" t="s">
        <v>70</v>
      </c>
      <c r="E147" s="85">
        <v>377895.166666667</v>
      </c>
      <c r="F147" s="911">
        <v>294662.916666667</v>
      </c>
      <c r="G147" s="912">
        <v>4928.93333333333</v>
      </c>
      <c r="H147" s="912">
        <f t="shared" si="35"/>
        <v>7366.57291666668</v>
      </c>
      <c r="I147" s="912">
        <f t="shared" si="36"/>
        <v>2437.63958333335</v>
      </c>
      <c r="J147" s="912">
        <f t="shared" si="37"/>
        <v>88398.8750000001</v>
      </c>
    </row>
    <row r="148" customHeight="1" spans="1:10">
      <c r="A148" s="27">
        <v>10</v>
      </c>
      <c r="B148" s="18" t="s">
        <v>319</v>
      </c>
      <c r="C148" s="4" t="s">
        <v>320</v>
      </c>
      <c r="D148" s="15" t="s">
        <v>131</v>
      </c>
      <c r="E148" s="220">
        <v>365703.833333333</v>
      </c>
      <c r="F148" s="911">
        <v>286447.083333333</v>
      </c>
      <c r="G148" s="912">
        <v>0</v>
      </c>
      <c r="H148" s="912">
        <f t="shared" si="35"/>
        <v>7161.17708333333</v>
      </c>
      <c r="I148" s="912">
        <f t="shared" si="36"/>
        <v>7161.17708333333</v>
      </c>
      <c r="J148" s="912">
        <f t="shared" si="37"/>
        <v>85934.1249999999</v>
      </c>
    </row>
    <row r="149" customHeight="1" spans="1:10">
      <c r="A149" s="27">
        <v>11</v>
      </c>
      <c r="B149" s="11" t="s">
        <v>321</v>
      </c>
      <c r="C149" s="4" t="s">
        <v>320</v>
      </c>
      <c r="D149" s="15" t="s">
        <v>180</v>
      </c>
      <c r="E149" s="220">
        <v>353512.5</v>
      </c>
      <c r="F149" s="911">
        <v>278231.25</v>
      </c>
      <c r="G149" s="912">
        <v>0</v>
      </c>
      <c r="H149" s="912">
        <f t="shared" si="35"/>
        <v>6955.78125</v>
      </c>
      <c r="I149" s="912">
        <f t="shared" si="36"/>
        <v>6955.78125</v>
      </c>
      <c r="J149" s="912">
        <f t="shared" si="37"/>
        <v>83469.375</v>
      </c>
    </row>
    <row r="150" customHeight="1" spans="1:10">
      <c r="A150" s="27">
        <v>12</v>
      </c>
      <c r="B150" s="11" t="s">
        <v>322</v>
      </c>
      <c r="C150" s="4" t="s">
        <v>320</v>
      </c>
      <c r="D150" s="15" t="s">
        <v>180</v>
      </c>
      <c r="E150" s="220">
        <v>353512.5</v>
      </c>
      <c r="F150" s="911">
        <v>278231.25</v>
      </c>
      <c r="G150" s="912">
        <v>4928.93333333333</v>
      </c>
      <c r="H150" s="912">
        <f t="shared" si="35"/>
        <v>6955.78125</v>
      </c>
      <c r="I150" s="912">
        <f t="shared" si="36"/>
        <v>2026.84791666667</v>
      </c>
      <c r="J150" s="912">
        <f t="shared" si="37"/>
        <v>83469.375</v>
      </c>
    </row>
    <row r="151" customHeight="1" spans="1:10">
      <c r="A151" s="27">
        <v>13</v>
      </c>
      <c r="B151" s="11" t="s">
        <v>324</v>
      </c>
      <c r="C151" s="4" t="s">
        <v>320</v>
      </c>
      <c r="D151" s="15" t="s">
        <v>131</v>
      </c>
      <c r="E151" s="220">
        <v>365703.833333333</v>
      </c>
      <c r="F151" s="911">
        <v>286447.083333333</v>
      </c>
      <c r="G151" s="912">
        <v>0</v>
      </c>
      <c r="H151" s="912">
        <f t="shared" si="35"/>
        <v>7161.17708333333</v>
      </c>
      <c r="I151" s="912">
        <f t="shared" si="36"/>
        <v>7161.17708333333</v>
      </c>
      <c r="J151" s="912">
        <f t="shared" si="37"/>
        <v>85934.1249999999</v>
      </c>
    </row>
    <row r="152" customHeight="1" spans="1:10">
      <c r="A152" s="27">
        <v>14</v>
      </c>
      <c r="B152" s="11" t="s">
        <v>325</v>
      </c>
      <c r="C152" s="12" t="s">
        <v>326</v>
      </c>
      <c r="D152" s="15" t="s">
        <v>78</v>
      </c>
      <c r="E152" s="220">
        <v>308901.5</v>
      </c>
      <c r="F152" s="911">
        <v>246171.166666667</v>
      </c>
      <c r="G152" s="912">
        <v>0</v>
      </c>
      <c r="H152" s="912">
        <f t="shared" si="35"/>
        <v>6154.27916666668</v>
      </c>
      <c r="I152" s="912">
        <f t="shared" si="36"/>
        <v>6154.27916666668</v>
      </c>
      <c r="J152" s="912">
        <f t="shared" si="37"/>
        <v>73851.3500000001</v>
      </c>
    </row>
    <row r="153" customHeight="1" spans="1:10">
      <c r="A153" s="27">
        <v>15</v>
      </c>
      <c r="B153" s="11" t="s">
        <v>327</v>
      </c>
      <c r="C153" s="12" t="s">
        <v>328</v>
      </c>
      <c r="D153" s="10" t="s">
        <v>86</v>
      </c>
      <c r="E153" s="85">
        <v>270481.666666667</v>
      </c>
      <c r="F153" s="911">
        <v>222674.583333333</v>
      </c>
      <c r="G153" s="912">
        <v>0</v>
      </c>
      <c r="H153" s="912">
        <f t="shared" si="35"/>
        <v>5566.86458333332</v>
      </c>
      <c r="I153" s="912">
        <f t="shared" si="36"/>
        <v>5566.86458333332</v>
      </c>
      <c r="J153" s="912">
        <f t="shared" si="37"/>
        <v>66802.3749999999</v>
      </c>
    </row>
    <row r="154" customHeight="1" spans="1:10">
      <c r="A154" s="27">
        <v>16</v>
      </c>
      <c r="B154" s="11" t="s">
        <v>329</v>
      </c>
      <c r="C154" s="12" t="s">
        <v>661</v>
      </c>
      <c r="D154" s="15" t="s">
        <v>153</v>
      </c>
      <c r="E154" s="220">
        <v>316837.416666667</v>
      </c>
      <c r="F154" s="911">
        <v>308901.5</v>
      </c>
      <c r="G154" s="912">
        <v>0</v>
      </c>
      <c r="H154" s="912">
        <f t="shared" si="35"/>
        <v>7722.5375</v>
      </c>
      <c r="I154" s="912">
        <f t="shared" si="36"/>
        <v>7722.5375</v>
      </c>
      <c r="J154" s="912">
        <f t="shared" si="37"/>
        <v>92670.45</v>
      </c>
    </row>
    <row r="155" customHeight="1" spans="1:10">
      <c r="A155" s="27">
        <v>17</v>
      </c>
      <c r="B155" s="11" t="s">
        <v>331</v>
      </c>
      <c r="C155" s="12" t="s">
        <v>662</v>
      </c>
      <c r="D155" s="15" t="s">
        <v>156</v>
      </c>
      <c r="E155" s="220">
        <v>277798</v>
      </c>
      <c r="F155" s="911">
        <v>227615.75</v>
      </c>
      <c r="G155" s="912">
        <v>0</v>
      </c>
      <c r="H155" s="912">
        <f t="shared" si="35"/>
        <v>5690.39375</v>
      </c>
      <c r="I155" s="912">
        <f t="shared" si="36"/>
        <v>5690.39375</v>
      </c>
      <c r="J155" s="912">
        <f t="shared" si="37"/>
        <v>68284.725</v>
      </c>
    </row>
    <row r="156" customHeight="1" spans="1:10">
      <c r="A156" s="27">
        <v>18</v>
      </c>
      <c r="B156" s="11" t="s">
        <v>333</v>
      </c>
      <c r="C156" s="12" t="s">
        <v>663</v>
      </c>
      <c r="D156" s="15" t="s">
        <v>153</v>
      </c>
      <c r="E156" s="220">
        <v>316837.416666667</v>
      </c>
      <c r="F156" s="911">
        <v>308901.5</v>
      </c>
      <c r="G156" s="912">
        <v>4123.42083333333</v>
      </c>
      <c r="H156" s="912">
        <f t="shared" si="35"/>
        <v>7722.5375</v>
      </c>
      <c r="I156" s="912">
        <f t="shared" si="36"/>
        <v>3599.11666666667</v>
      </c>
      <c r="J156" s="912">
        <f t="shared" si="37"/>
        <v>92670.45</v>
      </c>
    </row>
    <row r="157" customHeight="1" spans="1:10">
      <c r="A157" s="27">
        <v>19</v>
      </c>
      <c r="B157" s="11" t="s">
        <v>334</v>
      </c>
      <c r="C157" s="12" t="s">
        <v>664</v>
      </c>
      <c r="D157" s="15" t="s">
        <v>156</v>
      </c>
      <c r="E157" s="220">
        <v>277798</v>
      </c>
      <c r="F157" s="911">
        <v>227615.75</v>
      </c>
      <c r="G157" s="912">
        <v>0</v>
      </c>
      <c r="H157" s="912">
        <f t="shared" si="35"/>
        <v>5690.39375</v>
      </c>
      <c r="I157" s="912">
        <f t="shared" si="36"/>
        <v>5690.39375</v>
      </c>
      <c r="J157" s="912">
        <f t="shared" si="37"/>
        <v>68284.725</v>
      </c>
    </row>
    <row r="158" customHeight="1" spans="1:10">
      <c r="A158" s="27">
        <v>20</v>
      </c>
      <c r="B158" s="18" t="s">
        <v>336</v>
      </c>
      <c r="C158" s="12" t="s">
        <v>337</v>
      </c>
      <c r="D158" s="15" t="s">
        <v>99</v>
      </c>
      <c r="E158" s="220">
        <v>263165.333333333</v>
      </c>
      <c r="F158" s="911">
        <v>217733.416666667</v>
      </c>
      <c r="G158" s="912">
        <v>0</v>
      </c>
      <c r="H158" s="912">
        <f t="shared" si="35"/>
        <v>5443.33541666668</v>
      </c>
      <c r="I158" s="912">
        <f t="shared" si="36"/>
        <v>5443.33541666668</v>
      </c>
      <c r="J158" s="912">
        <f t="shared" si="37"/>
        <v>65320.0250000001</v>
      </c>
    </row>
    <row r="159" customHeight="1" spans="1:10">
      <c r="A159" s="27">
        <v>21</v>
      </c>
      <c r="B159" s="18" t="s">
        <v>338</v>
      </c>
      <c r="C159" s="12" t="s">
        <v>337</v>
      </c>
      <c r="D159" s="15" t="s">
        <v>99</v>
      </c>
      <c r="E159" s="220">
        <v>263165.333333333</v>
      </c>
      <c r="F159" s="911">
        <v>217733.416666667</v>
      </c>
      <c r="G159" s="912">
        <v>0</v>
      </c>
      <c r="H159" s="912">
        <f t="shared" si="35"/>
        <v>5443.33541666668</v>
      </c>
      <c r="I159" s="912">
        <f t="shared" si="36"/>
        <v>5443.33541666668</v>
      </c>
      <c r="J159" s="912">
        <f t="shared" si="37"/>
        <v>65320.0250000001</v>
      </c>
    </row>
    <row r="160" customHeight="1" spans="1:10">
      <c r="A160" s="27">
        <v>22</v>
      </c>
      <c r="B160" s="18" t="s">
        <v>343</v>
      </c>
      <c r="C160" s="12" t="s">
        <v>344</v>
      </c>
      <c r="D160" s="15" t="s">
        <v>108</v>
      </c>
      <c r="E160" s="85">
        <v>230631.916666667</v>
      </c>
      <c r="F160" s="911">
        <v>196364.416666667</v>
      </c>
      <c r="G160" s="912">
        <v>0</v>
      </c>
      <c r="H160" s="912">
        <f t="shared" si="35"/>
        <v>4909.11041666668</v>
      </c>
      <c r="I160" s="912">
        <f t="shared" si="36"/>
        <v>4909.11041666668</v>
      </c>
      <c r="J160" s="912">
        <f t="shared" si="37"/>
        <v>58909.3250000001</v>
      </c>
    </row>
    <row r="161" customHeight="1" spans="1:10">
      <c r="A161" s="27">
        <v>23</v>
      </c>
      <c r="B161" s="18" t="s">
        <v>345</v>
      </c>
      <c r="C161" s="12" t="s">
        <v>346</v>
      </c>
      <c r="D161" s="15" t="s">
        <v>108</v>
      </c>
      <c r="E161" s="85">
        <v>230631.916666667</v>
      </c>
      <c r="F161" s="911">
        <v>196364.416666667</v>
      </c>
      <c r="G161" s="912">
        <v>0</v>
      </c>
      <c r="H161" s="912">
        <f t="shared" si="35"/>
        <v>4909.11041666668</v>
      </c>
      <c r="I161" s="912">
        <f t="shared" si="36"/>
        <v>4909.11041666668</v>
      </c>
      <c r="J161" s="912">
        <f t="shared" si="37"/>
        <v>58909.3250000001</v>
      </c>
    </row>
    <row r="162" customHeight="1" spans="1:10">
      <c r="A162" s="27">
        <v>24</v>
      </c>
      <c r="B162" s="18" t="s">
        <v>347</v>
      </c>
      <c r="C162" s="12" t="s">
        <v>348</v>
      </c>
      <c r="D162" s="15" t="s">
        <v>108</v>
      </c>
      <c r="E162" s="85">
        <v>230631.916666667</v>
      </c>
      <c r="F162" s="911">
        <v>196364.416666667</v>
      </c>
      <c r="G162" s="912">
        <v>0</v>
      </c>
      <c r="H162" s="912">
        <f t="shared" si="35"/>
        <v>4909.11041666668</v>
      </c>
      <c r="I162" s="912">
        <f t="shared" si="36"/>
        <v>4909.11041666668</v>
      </c>
      <c r="J162" s="912">
        <f t="shared" si="37"/>
        <v>58909.3250000001</v>
      </c>
    </row>
    <row r="163" customHeight="1" spans="1:10">
      <c r="A163" s="27">
        <v>25</v>
      </c>
      <c r="B163" s="18" t="s">
        <v>349</v>
      </c>
      <c r="C163" s="12" t="s">
        <v>665</v>
      </c>
      <c r="D163" s="15" t="s">
        <v>105</v>
      </c>
      <c r="E163" s="85">
        <v>236804.083333333</v>
      </c>
      <c r="F163" s="911">
        <v>200549.416666667</v>
      </c>
      <c r="G163" s="912">
        <v>0</v>
      </c>
      <c r="H163" s="912">
        <f t="shared" si="35"/>
        <v>5013.73541666668</v>
      </c>
      <c r="I163" s="912">
        <f t="shared" si="36"/>
        <v>5013.73541666668</v>
      </c>
      <c r="J163" s="912">
        <f t="shared" si="37"/>
        <v>60164.8250000001</v>
      </c>
    </row>
    <row r="164" customHeight="1" spans="1:10">
      <c r="A164" s="27">
        <v>26</v>
      </c>
      <c r="B164" s="18" t="s">
        <v>350</v>
      </c>
      <c r="C164" s="12" t="s">
        <v>346</v>
      </c>
      <c r="D164" s="15" t="s">
        <v>108</v>
      </c>
      <c r="E164" s="85">
        <v>230631.916666667</v>
      </c>
      <c r="F164" s="911">
        <v>196364.416666667</v>
      </c>
      <c r="G164" s="912">
        <v>0</v>
      </c>
      <c r="H164" s="912">
        <f t="shared" si="35"/>
        <v>4909.11041666668</v>
      </c>
      <c r="I164" s="912">
        <f t="shared" si="36"/>
        <v>4909.11041666668</v>
      </c>
      <c r="J164" s="912">
        <f t="shared" si="37"/>
        <v>58909.3250000001</v>
      </c>
    </row>
    <row r="165" customHeight="1" spans="1:10">
      <c r="A165" s="27">
        <v>27</v>
      </c>
      <c r="B165" s="18" t="s">
        <v>351</v>
      </c>
      <c r="C165" s="12" t="s">
        <v>352</v>
      </c>
      <c r="D165" s="15" t="s">
        <v>111</v>
      </c>
      <c r="E165" s="680">
        <v>224459.75</v>
      </c>
      <c r="F165" s="911">
        <v>192179.416666667</v>
      </c>
      <c r="G165" s="912"/>
      <c r="H165" s="912">
        <f t="shared" si="35"/>
        <v>4804.48541666668</v>
      </c>
      <c r="I165" s="912">
        <f t="shared" si="36"/>
        <v>4804.48541666668</v>
      </c>
      <c r="J165" s="912">
        <f t="shared" si="37"/>
        <v>57653.8250000001</v>
      </c>
    </row>
    <row r="166" customHeight="1" spans="1:10">
      <c r="A166" s="27">
        <v>28</v>
      </c>
      <c r="B166" s="18" t="s">
        <v>353</v>
      </c>
      <c r="C166" s="12" t="s">
        <v>352</v>
      </c>
      <c r="D166" s="15" t="s">
        <v>111</v>
      </c>
      <c r="E166" s="680">
        <v>224459.75</v>
      </c>
      <c r="F166" s="911">
        <v>192179.416666667</v>
      </c>
      <c r="G166" s="912"/>
      <c r="H166" s="912">
        <f t="shared" si="35"/>
        <v>4804.48541666668</v>
      </c>
      <c r="I166" s="912">
        <f t="shared" si="36"/>
        <v>4804.48541666668</v>
      </c>
      <c r="J166" s="912">
        <f t="shared" si="37"/>
        <v>57653.8250000001</v>
      </c>
    </row>
    <row r="167" customHeight="1" spans="1:10">
      <c r="A167" s="27">
        <v>29</v>
      </c>
      <c r="B167" s="11" t="s">
        <v>359</v>
      </c>
      <c r="C167" s="12" t="s">
        <v>512</v>
      </c>
      <c r="D167" s="15" t="s">
        <v>372</v>
      </c>
      <c r="E167" s="226">
        <v>173859.5</v>
      </c>
      <c r="F167" s="922">
        <v>159288.583333333</v>
      </c>
      <c r="G167" s="912">
        <v>2313.575</v>
      </c>
      <c r="H167" s="912">
        <f t="shared" si="35"/>
        <v>3982.21458333333</v>
      </c>
      <c r="I167" s="912">
        <f t="shared" si="36"/>
        <v>1668.63958333333</v>
      </c>
      <c r="J167" s="912">
        <f t="shared" si="37"/>
        <v>47786.5749999999</v>
      </c>
    </row>
    <row r="168" customHeight="1" spans="1:10">
      <c r="A168" s="27">
        <v>30</v>
      </c>
      <c r="B168" s="11" t="s">
        <v>362</v>
      </c>
      <c r="C168" s="12" t="s">
        <v>512</v>
      </c>
      <c r="D168" s="15" t="s">
        <v>372</v>
      </c>
      <c r="E168" s="226">
        <v>173859.5</v>
      </c>
      <c r="F168" s="922">
        <v>159288.583333333</v>
      </c>
      <c r="G168" s="912">
        <v>0</v>
      </c>
      <c r="H168" s="912">
        <f t="shared" si="35"/>
        <v>3982.21458333333</v>
      </c>
      <c r="I168" s="912">
        <f t="shared" si="36"/>
        <v>3982.21458333333</v>
      </c>
      <c r="J168" s="912">
        <f t="shared" si="37"/>
        <v>47786.5749999999</v>
      </c>
    </row>
    <row r="169" customHeight="1" spans="1:10">
      <c r="A169" s="27">
        <v>31</v>
      </c>
      <c r="B169" s="11" t="s">
        <v>666</v>
      </c>
      <c r="C169" s="12" t="s">
        <v>512</v>
      </c>
      <c r="D169" s="15" t="s">
        <v>372</v>
      </c>
      <c r="E169" s="226">
        <v>173859.5</v>
      </c>
      <c r="F169" s="922">
        <v>159288.583333333</v>
      </c>
      <c r="G169" s="912">
        <v>0</v>
      </c>
      <c r="H169" s="912">
        <f t="shared" si="35"/>
        <v>3982.21458333333</v>
      </c>
      <c r="I169" s="912">
        <f t="shared" si="36"/>
        <v>3982.21458333333</v>
      </c>
      <c r="J169" s="912">
        <f t="shared" si="37"/>
        <v>47786.5749999999</v>
      </c>
    </row>
    <row r="170" customHeight="1" spans="1:10">
      <c r="A170" s="27">
        <v>32</v>
      </c>
      <c r="B170" s="11" t="s">
        <v>363</v>
      </c>
      <c r="C170" s="12" t="s">
        <v>512</v>
      </c>
      <c r="D170" s="15" t="s">
        <v>372</v>
      </c>
      <c r="E170" s="226">
        <v>173859.5</v>
      </c>
      <c r="F170" s="922">
        <v>159288.583333333</v>
      </c>
      <c r="G170" s="912">
        <v>2313.575</v>
      </c>
      <c r="H170" s="912">
        <f t="shared" si="35"/>
        <v>3982.21458333333</v>
      </c>
      <c r="I170" s="912">
        <f t="shared" si="36"/>
        <v>1668.63958333333</v>
      </c>
      <c r="J170" s="912">
        <f t="shared" si="37"/>
        <v>47786.5749999999</v>
      </c>
    </row>
    <row r="171" customHeight="1" spans="1:10">
      <c r="A171" s="27">
        <v>33</v>
      </c>
      <c r="B171" s="11" t="s">
        <v>364</v>
      </c>
      <c r="C171" s="12" t="s">
        <v>512</v>
      </c>
      <c r="D171" s="15" t="s">
        <v>372</v>
      </c>
      <c r="E171" s="226">
        <v>173859.5</v>
      </c>
      <c r="F171" s="922">
        <v>159288.583333333</v>
      </c>
      <c r="G171" s="912"/>
      <c r="H171" s="912">
        <f t="shared" si="35"/>
        <v>3982.21458333333</v>
      </c>
      <c r="I171" s="912">
        <f t="shared" si="36"/>
        <v>3982.21458333333</v>
      </c>
      <c r="J171" s="912">
        <f t="shared" si="37"/>
        <v>47786.5749999999</v>
      </c>
    </row>
    <row r="172" customHeight="1" spans="1:10">
      <c r="A172" s="27">
        <v>34</v>
      </c>
      <c r="B172" s="11" t="s">
        <v>365</v>
      </c>
      <c r="C172" s="12" t="s">
        <v>512</v>
      </c>
      <c r="D172" s="15" t="s">
        <v>384</v>
      </c>
      <c r="E172" s="226">
        <v>168598.166666667</v>
      </c>
      <c r="F172" s="922">
        <v>155678.666666667</v>
      </c>
      <c r="G172" s="912"/>
      <c r="H172" s="912">
        <f t="shared" si="35"/>
        <v>3891.96666666668</v>
      </c>
      <c r="I172" s="912">
        <f t="shared" si="36"/>
        <v>3891.96666666668</v>
      </c>
      <c r="J172" s="912">
        <f t="shared" si="37"/>
        <v>46703.6000000001</v>
      </c>
    </row>
    <row r="173" customHeight="1" spans="1:10">
      <c r="A173" s="27">
        <v>35</v>
      </c>
      <c r="B173" s="11" t="s">
        <v>367</v>
      </c>
      <c r="C173" s="12" t="s">
        <v>512</v>
      </c>
      <c r="D173" s="15" t="s">
        <v>384</v>
      </c>
      <c r="E173" s="226">
        <v>168598.166666667</v>
      </c>
      <c r="F173" s="922">
        <v>155678.666666667</v>
      </c>
      <c r="G173" s="912"/>
      <c r="H173" s="912">
        <f t="shared" si="35"/>
        <v>3891.96666666668</v>
      </c>
      <c r="I173" s="912">
        <f t="shared" si="36"/>
        <v>3891.96666666668</v>
      </c>
      <c r="J173" s="912">
        <f t="shared" si="37"/>
        <v>46703.6000000001</v>
      </c>
    </row>
    <row r="174" customHeight="1" spans="1:10">
      <c r="A174" s="27">
        <v>36</v>
      </c>
      <c r="B174" s="14" t="s">
        <v>368</v>
      </c>
      <c r="C174" s="12" t="s">
        <v>512</v>
      </c>
      <c r="D174" s="15" t="s">
        <v>384</v>
      </c>
      <c r="E174" s="226">
        <v>168598.166666667</v>
      </c>
      <c r="F174" s="922">
        <v>155678.666666667</v>
      </c>
      <c r="G174" s="912"/>
      <c r="H174" s="912">
        <f t="shared" si="35"/>
        <v>3891.96666666668</v>
      </c>
      <c r="I174" s="912">
        <f t="shared" si="36"/>
        <v>3891.96666666668</v>
      </c>
      <c r="J174" s="912">
        <f t="shared" si="37"/>
        <v>46703.6000000001</v>
      </c>
    </row>
    <row r="175" customHeight="1" spans="1:10">
      <c r="A175" s="27">
        <v>37</v>
      </c>
      <c r="B175" s="11" t="s">
        <v>369</v>
      </c>
      <c r="C175" s="12" t="s">
        <v>512</v>
      </c>
      <c r="D175" s="15" t="s">
        <v>384</v>
      </c>
      <c r="E175" s="226">
        <v>168598.166666667</v>
      </c>
      <c r="F175" s="922">
        <v>155678.666666667</v>
      </c>
      <c r="G175" s="912"/>
      <c r="H175" s="912">
        <f t="shared" si="35"/>
        <v>3891.96666666668</v>
      </c>
      <c r="I175" s="912">
        <f t="shared" si="36"/>
        <v>3891.96666666668</v>
      </c>
      <c r="J175" s="912">
        <f t="shared" si="37"/>
        <v>46703.6000000001</v>
      </c>
    </row>
    <row r="176" customHeight="1" spans="1:10">
      <c r="A176" s="27">
        <v>38</v>
      </c>
      <c r="B176" s="18" t="s">
        <v>370</v>
      </c>
      <c r="C176" s="12" t="s">
        <v>512</v>
      </c>
      <c r="D176" s="15" t="s">
        <v>384</v>
      </c>
      <c r="E176" s="226">
        <v>168598.166666667</v>
      </c>
      <c r="F176" s="922">
        <v>155678.666666667</v>
      </c>
      <c r="G176" s="912"/>
      <c r="H176" s="912">
        <f t="shared" si="35"/>
        <v>3891.96666666668</v>
      </c>
      <c r="I176" s="912">
        <f t="shared" si="36"/>
        <v>3891.96666666668</v>
      </c>
      <c r="J176" s="912">
        <f t="shared" si="37"/>
        <v>46703.6000000001</v>
      </c>
    </row>
    <row r="177" customHeight="1" spans="1:10">
      <c r="A177" s="27">
        <v>39</v>
      </c>
      <c r="B177" s="18" t="s">
        <v>357</v>
      </c>
      <c r="C177" s="12" t="s">
        <v>512</v>
      </c>
      <c r="D177" s="15" t="s">
        <v>384</v>
      </c>
      <c r="E177" s="226">
        <v>168598.166666667</v>
      </c>
      <c r="F177" s="922">
        <v>155678.666666667</v>
      </c>
      <c r="G177" s="912"/>
      <c r="H177" s="912">
        <f t="shared" si="35"/>
        <v>3891.96666666668</v>
      </c>
      <c r="I177" s="912">
        <f t="shared" si="36"/>
        <v>3891.96666666668</v>
      </c>
      <c r="J177" s="912">
        <f t="shared" si="37"/>
        <v>46703.6000000001</v>
      </c>
    </row>
    <row r="178" customHeight="1" spans="1:10">
      <c r="A178" s="27">
        <v>40</v>
      </c>
      <c r="B178" s="11" t="s">
        <v>371</v>
      </c>
      <c r="C178" s="12" t="s">
        <v>360</v>
      </c>
      <c r="D178" s="15" t="s">
        <v>606</v>
      </c>
      <c r="E178" s="85">
        <v>158075.5</v>
      </c>
      <c r="F178" s="922">
        <v>148459</v>
      </c>
      <c r="G178" s="912"/>
      <c r="H178" s="912">
        <f t="shared" si="35"/>
        <v>3711.475</v>
      </c>
      <c r="I178" s="912">
        <f t="shared" si="36"/>
        <v>3711.475</v>
      </c>
      <c r="J178" s="912">
        <f t="shared" si="37"/>
        <v>44537.7</v>
      </c>
    </row>
    <row r="179" customHeight="1" spans="1:10">
      <c r="A179" s="27">
        <v>41</v>
      </c>
      <c r="B179" s="11" t="s">
        <v>373</v>
      </c>
      <c r="C179" s="12" t="s">
        <v>360</v>
      </c>
      <c r="D179" s="15" t="s">
        <v>606</v>
      </c>
      <c r="E179" s="85">
        <v>158075.5</v>
      </c>
      <c r="F179" s="922">
        <v>148459</v>
      </c>
      <c r="G179" s="912"/>
      <c r="H179" s="912">
        <f t="shared" si="35"/>
        <v>3711.475</v>
      </c>
      <c r="I179" s="912">
        <f t="shared" si="36"/>
        <v>3711.475</v>
      </c>
      <c r="J179" s="912">
        <f t="shared" si="37"/>
        <v>44537.7</v>
      </c>
    </row>
    <row r="180" customHeight="1" spans="1:10">
      <c r="A180" s="27">
        <v>42</v>
      </c>
      <c r="B180" s="18" t="s">
        <v>374</v>
      </c>
      <c r="C180" s="12" t="s">
        <v>360</v>
      </c>
      <c r="D180" s="15" t="s">
        <v>377</v>
      </c>
      <c r="E180" s="85">
        <v>163336.833333333</v>
      </c>
      <c r="F180" s="922">
        <v>152068.833333333</v>
      </c>
      <c r="G180" s="912"/>
      <c r="H180" s="912">
        <f t="shared" si="35"/>
        <v>3801.72083333333</v>
      </c>
      <c r="I180" s="912">
        <f t="shared" si="36"/>
        <v>3801.72083333333</v>
      </c>
      <c r="J180" s="912">
        <f t="shared" si="37"/>
        <v>45620.6499999999</v>
      </c>
    </row>
    <row r="181" customHeight="1" spans="1:10">
      <c r="A181" s="27">
        <v>43</v>
      </c>
      <c r="B181" s="11" t="s">
        <v>376</v>
      </c>
      <c r="C181" s="12" t="s">
        <v>387</v>
      </c>
      <c r="D181" s="15" t="s">
        <v>607</v>
      </c>
      <c r="E181" s="85">
        <v>152814.166666667</v>
      </c>
      <c r="F181" s="922">
        <v>144849.083333333</v>
      </c>
      <c r="G181" s="912"/>
      <c r="H181" s="912">
        <f t="shared" si="35"/>
        <v>3621.22708333333</v>
      </c>
      <c r="I181" s="912">
        <f t="shared" si="36"/>
        <v>3621.22708333333</v>
      </c>
      <c r="J181" s="912">
        <f t="shared" si="37"/>
        <v>43454.7249999999</v>
      </c>
    </row>
    <row r="182" customHeight="1" spans="1:10">
      <c r="A182" s="27">
        <v>44</v>
      </c>
      <c r="B182" s="11" t="s">
        <v>378</v>
      </c>
      <c r="C182" s="12" t="s">
        <v>514</v>
      </c>
      <c r="D182" s="15" t="s">
        <v>667</v>
      </c>
      <c r="E182" s="85">
        <v>94145.75</v>
      </c>
      <c r="F182" s="922">
        <v>101053.25</v>
      </c>
      <c r="G182" s="912"/>
      <c r="H182" s="912">
        <f t="shared" si="35"/>
        <v>2526.33125</v>
      </c>
      <c r="I182" s="912">
        <f t="shared" si="36"/>
        <v>2526.33125</v>
      </c>
      <c r="J182" s="912">
        <f t="shared" si="37"/>
        <v>30315.975</v>
      </c>
    </row>
    <row r="183" customHeight="1" spans="1:10">
      <c r="A183" s="27">
        <v>45</v>
      </c>
      <c r="B183" s="11" t="s">
        <v>379</v>
      </c>
      <c r="C183" s="12" t="s">
        <v>514</v>
      </c>
      <c r="D183" s="15" t="s">
        <v>667</v>
      </c>
      <c r="E183" s="85">
        <v>94145.75</v>
      </c>
      <c r="F183" s="922">
        <v>101053.25</v>
      </c>
      <c r="G183" s="912"/>
      <c r="H183" s="912">
        <f t="shared" si="35"/>
        <v>2526.33125</v>
      </c>
      <c r="I183" s="912">
        <f t="shared" si="36"/>
        <v>2526.33125</v>
      </c>
      <c r="J183" s="912">
        <f t="shared" si="37"/>
        <v>30315.975</v>
      </c>
    </row>
    <row r="184" customHeight="1" spans="1:10">
      <c r="A184" s="27">
        <v>46</v>
      </c>
      <c r="B184" s="11" t="s">
        <v>380</v>
      </c>
      <c r="C184" s="12" t="s">
        <v>514</v>
      </c>
      <c r="D184" s="15" t="s">
        <v>667</v>
      </c>
      <c r="E184" s="85">
        <v>94145.75</v>
      </c>
      <c r="F184" s="922">
        <v>101053.25</v>
      </c>
      <c r="G184" s="912"/>
      <c r="H184" s="912">
        <f t="shared" si="35"/>
        <v>2526.33125</v>
      </c>
      <c r="I184" s="912">
        <f t="shared" si="36"/>
        <v>2526.33125</v>
      </c>
      <c r="J184" s="912">
        <f t="shared" si="37"/>
        <v>30315.975</v>
      </c>
    </row>
    <row r="185" customHeight="1" spans="1:10">
      <c r="A185" s="27">
        <v>47</v>
      </c>
      <c r="B185" s="11" t="s">
        <v>381</v>
      </c>
      <c r="C185" s="12" t="s">
        <v>514</v>
      </c>
      <c r="D185" s="15" t="s">
        <v>667</v>
      </c>
      <c r="E185" s="85">
        <v>94145.75</v>
      </c>
      <c r="F185" s="922">
        <v>101053.25</v>
      </c>
      <c r="G185" s="912"/>
      <c r="H185" s="912">
        <f t="shared" si="35"/>
        <v>2526.33125</v>
      </c>
      <c r="I185" s="912">
        <f t="shared" si="36"/>
        <v>2526.33125</v>
      </c>
      <c r="J185" s="912">
        <f t="shared" si="37"/>
        <v>30315.975</v>
      </c>
    </row>
    <row r="186" customHeight="1" spans="1:10">
      <c r="A186" s="27">
        <v>48</v>
      </c>
      <c r="B186" s="11" t="s">
        <v>382</v>
      </c>
      <c r="C186" s="12" t="s">
        <v>514</v>
      </c>
      <c r="D186" s="15" t="s">
        <v>667</v>
      </c>
      <c r="E186" s="85">
        <v>94145.75</v>
      </c>
      <c r="F186" s="922">
        <v>101053.25</v>
      </c>
      <c r="G186" s="912"/>
      <c r="H186" s="912">
        <f t="shared" si="35"/>
        <v>2526.33125</v>
      </c>
      <c r="I186" s="912">
        <f t="shared" si="36"/>
        <v>2526.33125</v>
      </c>
      <c r="J186" s="912">
        <f t="shared" si="37"/>
        <v>30315.975</v>
      </c>
    </row>
    <row r="187" customHeight="1" spans="1:10">
      <c r="A187" s="27">
        <v>49</v>
      </c>
      <c r="B187" s="18" t="s">
        <v>383</v>
      </c>
      <c r="C187" s="12" t="s">
        <v>514</v>
      </c>
      <c r="D187" s="15" t="s">
        <v>667</v>
      </c>
      <c r="E187" s="85">
        <v>94145.75</v>
      </c>
      <c r="F187" s="922">
        <v>101053.25</v>
      </c>
      <c r="G187" s="912"/>
      <c r="H187" s="912">
        <f t="shared" si="35"/>
        <v>2526.33125</v>
      </c>
      <c r="I187" s="912">
        <f t="shared" si="36"/>
        <v>2526.33125</v>
      </c>
      <c r="J187" s="912">
        <f t="shared" si="37"/>
        <v>30315.975</v>
      </c>
    </row>
    <row r="188" customHeight="1" spans="1:10">
      <c r="A188" s="27">
        <v>50</v>
      </c>
      <c r="B188" s="18" t="s">
        <v>385</v>
      </c>
      <c r="C188" s="12" t="s">
        <v>514</v>
      </c>
      <c r="D188" s="15" t="s">
        <v>667</v>
      </c>
      <c r="E188" s="85">
        <v>94145.75</v>
      </c>
      <c r="F188" s="922">
        <v>101053.25</v>
      </c>
      <c r="G188" s="912"/>
      <c r="H188" s="912">
        <f t="shared" si="35"/>
        <v>2526.33125</v>
      </c>
      <c r="I188" s="912">
        <f t="shared" si="36"/>
        <v>2526.33125</v>
      </c>
      <c r="J188" s="912">
        <f t="shared" si="37"/>
        <v>30315.975</v>
      </c>
    </row>
    <row r="189" customHeight="1" spans="1:10">
      <c r="A189" s="27">
        <v>51</v>
      </c>
      <c r="B189" s="11" t="s">
        <v>668</v>
      </c>
      <c r="C189" s="12" t="s">
        <v>387</v>
      </c>
      <c r="D189" s="15" t="s">
        <v>667</v>
      </c>
      <c r="E189" s="85">
        <v>94145.75</v>
      </c>
      <c r="F189" s="922">
        <v>101053.25</v>
      </c>
      <c r="G189" s="912"/>
      <c r="H189" s="912">
        <f t="shared" si="35"/>
        <v>2526.33125</v>
      </c>
      <c r="I189" s="912">
        <f t="shared" si="36"/>
        <v>2526.33125</v>
      </c>
      <c r="J189" s="912">
        <f t="shared" si="37"/>
        <v>30315.975</v>
      </c>
    </row>
    <row r="190" customHeight="1" spans="1:10">
      <c r="A190" s="27">
        <v>52</v>
      </c>
      <c r="B190" s="11" t="s">
        <v>386</v>
      </c>
      <c r="C190" s="12" t="s">
        <v>387</v>
      </c>
      <c r="D190" s="15" t="s">
        <v>667</v>
      </c>
      <c r="E190" s="85">
        <v>94145.75</v>
      </c>
      <c r="F190" s="922">
        <v>101053.25</v>
      </c>
      <c r="G190" s="912"/>
      <c r="H190" s="912">
        <f t="shared" si="35"/>
        <v>2526.33125</v>
      </c>
      <c r="I190" s="912">
        <f t="shared" si="36"/>
        <v>2526.33125</v>
      </c>
      <c r="J190" s="912">
        <f t="shared" si="37"/>
        <v>30315.975</v>
      </c>
    </row>
    <row r="191" customHeight="1" spans="1:10">
      <c r="A191" s="27">
        <v>53</v>
      </c>
      <c r="B191" s="18" t="s">
        <v>358</v>
      </c>
      <c r="C191" s="12" t="s">
        <v>390</v>
      </c>
      <c r="D191" s="15" t="s">
        <v>669</v>
      </c>
      <c r="E191" s="85">
        <v>91598</v>
      </c>
      <c r="F191" s="922">
        <v>99486.9166666667</v>
      </c>
      <c r="G191" s="912"/>
      <c r="H191" s="912">
        <f t="shared" si="35"/>
        <v>2487.17291666667</v>
      </c>
      <c r="I191" s="912">
        <f t="shared" si="36"/>
        <v>2487.17291666667</v>
      </c>
      <c r="J191" s="912">
        <f t="shared" si="37"/>
        <v>29846.075</v>
      </c>
    </row>
    <row r="192" customHeight="1" spans="1:10">
      <c r="A192" s="27">
        <v>54</v>
      </c>
      <c r="B192" s="18" t="s">
        <v>389</v>
      </c>
      <c r="C192" s="12" t="s">
        <v>390</v>
      </c>
      <c r="D192" s="15" t="s">
        <v>393</v>
      </c>
      <c r="E192" s="85">
        <v>86502.5</v>
      </c>
      <c r="F192" s="922">
        <v>96354.25</v>
      </c>
      <c r="G192" s="912"/>
      <c r="H192" s="912">
        <f t="shared" si="35"/>
        <v>2408.85625</v>
      </c>
      <c r="I192" s="912">
        <f t="shared" si="36"/>
        <v>2408.85625</v>
      </c>
      <c r="J192" s="912">
        <f t="shared" si="37"/>
        <v>28906.275</v>
      </c>
    </row>
    <row r="193" customHeight="1" spans="1:10">
      <c r="A193" s="27">
        <v>55</v>
      </c>
      <c r="B193" s="18" t="s">
        <v>392</v>
      </c>
      <c r="C193" s="12" t="s">
        <v>390</v>
      </c>
      <c r="D193" s="15" t="s">
        <v>395</v>
      </c>
      <c r="E193" s="85">
        <v>83933</v>
      </c>
      <c r="F193" s="922">
        <v>94788.1666666667</v>
      </c>
      <c r="G193" s="912"/>
      <c r="H193" s="912">
        <f t="shared" si="35"/>
        <v>2369.70416666667</v>
      </c>
      <c r="I193" s="912">
        <f t="shared" si="36"/>
        <v>2369.70416666667</v>
      </c>
      <c r="J193" s="912">
        <f t="shared" si="37"/>
        <v>28436.45</v>
      </c>
    </row>
    <row r="194" customHeight="1" spans="1:10">
      <c r="A194" s="27">
        <v>56</v>
      </c>
      <c r="B194" s="18" t="s">
        <v>396</v>
      </c>
      <c r="C194" s="12" t="s">
        <v>397</v>
      </c>
      <c r="D194" s="15" t="s">
        <v>609</v>
      </c>
      <c r="E194" s="85">
        <v>78733.8333333333</v>
      </c>
      <c r="F194" s="911">
        <v>91578.25</v>
      </c>
      <c r="G194" s="912"/>
      <c r="H194" s="912">
        <f t="shared" si="35"/>
        <v>2289.45625</v>
      </c>
      <c r="I194" s="912">
        <f t="shared" si="36"/>
        <v>2289.45625</v>
      </c>
      <c r="J194" s="912">
        <f t="shared" si="37"/>
        <v>27473.475</v>
      </c>
    </row>
    <row r="195" customHeight="1" spans="1:10">
      <c r="A195" s="27">
        <v>57</v>
      </c>
      <c r="B195" s="18" t="s">
        <v>399</v>
      </c>
      <c r="C195" s="12" t="s">
        <v>397</v>
      </c>
      <c r="D195" s="15" t="s">
        <v>609</v>
      </c>
      <c r="E195" s="85">
        <v>78733.8333333333</v>
      </c>
      <c r="F195" s="911">
        <v>91578.25</v>
      </c>
      <c r="G195" s="912"/>
      <c r="H195" s="912">
        <f t="shared" si="35"/>
        <v>2289.45625</v>
      </c>
      <c r="I195" s="912">
        <f t="shared" si="36"/>
        <v>2289.45625</v>
      </c>
      <c r="J195" s="912">
        <f t="shared" si="37"/>
        <v>27473.475</v>
      </c>
    </row>
    <row r="196" customHeight="1" spans="1:10">
      <c r="A196" s="27">
        <v>58</v>
      </c>
      <c r="B196" s="18" t="s">
        <v>400</v>
      </c>
      <c r="C196" s="12" t="s">
        <v>397</v>
      </c>
      <c r="D196" s="15" t="s">
        <v>609</v>
      </c>
      <c r="E196" s="85">
        <v>78733.8333333333</v>
      </c>
      <c r="F196" s="911">
        <v>91578.25</v>
      </c>
      <c r="G196" s="912"/>
      <c r="H196" s="912">
        <f t="shared" si="35"/>
        <v>2289.45625</v>
      </c>
      <c r="I196" s="912">
        <f t="shared" si="36"/>
        <v>2289.45625</v>
      </c>
      <c r="J196" s="912">
        <f t="shared" si="37"/>
        <v>27473.475</v>
      </c>
    </row>
    <row r="197" customHeight="1" spans="1:10">
      <c r="A197" s="27">
        <v>59</v>
      </c>
      <c r="B197" s="18" t="s">
        <v>401</v>
      </c>
      <c r="C197" s="12" t="s">
        <v>402</v>
      </c>
      <c r="D197" s="15" t="s">
        <v>391</v>
      </c>
      <c r="E197" s="85">
        <v>89050.25</v>
      </c>
      <c r="F197" s="911">
        <v>97920.6666666667</v>
      </c>
      <c r="G197" s="912"/>
      <c r="H197" s="912">
        <f t="shared" si="35"/>
        <v>2448.01666666667</v>
      </c>
      <c r="I197" s="912">
        <f t="shared" si="36"/>
        <v>2448.01666666667</v>
      </c>
      <c r="J197" s="912">
        <f t="shared" si="37"/>
        <v>29376.2</v>
      </c>
    </row>
    <row r="198" customHeight="1" spans="1:10">
      <c r="A198" s="27">
        <v>60</v>
      </c>
      <c r="B198" s="18" t="s">
        <v>404</v>
      </c>
      <c r="C198" s="12" t="s">
        <v>402</v>
      </c>
      <c r="D198" s="15" t="s">
        <v>391</v>
      </c>
      <c r="E198" s="85">
        <v>89050.25</v>
      </c>
      <c r="F198" s="911">
        <v>97920.6666666667</v>
      </c>
      <c r="G198" s="912"/>
      <c r="H198" s="912">
        <f t="shared" si="35"/>
        <v>2448.01666666667</v>
      </c>
      <c r="I198" s="912">
        <f t="shared" si="36"/>
        <v>2448.01666666667</v>
      </c>
      <c r="J198" s="912">
        <f t="shared" si="37"/>
        <v>29376.2</v>
      </c>
    </row>
    <row r="199" ht="30.75" customHeight="1" spans="1:10">
      <c r="A199" s="27"/>
      <c r="B199" s="8" t="s">
        <v>120</v>
      </c>
      <c r="C199" s="28" t="s">
        <v>670</v>
      </c>
      <c r="D199" s="29"/>
      <c r="E199" s="93">
        <f t="shared" ref="E199:J199" si="38">SUM(E139:E198)</f>
        <v>14787756.9166667</v>
      </c>
      <c r="F199" s="915">
        <f t="shared" si="38"/>
        <v>12563688.5</v>
      </c>
      <c r="G199" s="93">
        <f t="shared" si="38"/>
        <v>72300.4916666667</v>
      </c>
      <c r="H199" s="93">
        <f t="shared" si="38"/>
        <v>314092.2125</v>
      </c>
      <c r="I199" s="93">
        <f t="shared" si="38"/>
        <v>241791.720833333</v>
      </c>
      <c r="J199" s="93">
        <f t="shared" si="38"/>
        <v>3769106.55</v>
      </c>
    </row>
    <row r="200" ht="30" customHeight="1" spans="1:10">
      <c r="A200" s="4"/>
      <c r="B200" s="30" t="s">
        <v>671</v>
      </c>
      <c r="C200" s="31">
        <f>C39+C46+C57+C62+C72+C81+C94+C102+C112+C123+C136+C199</f>
        <v>153</v>
      </c>
      <c r="D200" s="32"/>
      <c r="E200" s="227">
        <f t="shared" ref="E200:J200" si="39">E199+E136+E123+E118+E112+E102+E94+E81+E72+E62+E57+E46+E39</f>
        <v>62694852.3336667</v>
      </c>
      <c r="F200" s="923">
        <f t="shared" si="39"/>
        <v>49444664.75</v>
      </c>
      <c r="G200" s="227">
        <f t="shared" si="39"/>
        <v>267480.25625</v>
      </c>
      <c r="H200" s="227">
        <f t="shared" si="39"/>
        <v>1181213.71666667</v>
      </c>
      <c r="I200" s="924">
        <f t="shared" si="39"/>
        <v>913733.460416666</v>
      </c>
      <c r="J200" s="227">
        <f t="shared" si="39"/>
        <v>9377520.05</v>
      </c>
    </row>
    <row r="201" s="1" customFormat="1" ht="35.25" customHeight="1" spans="1:10">
      <c r="A201" s="4"/>
      <c r="B201" s="30" t="s">
        <v>672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673</v>
      </c>
      <c r="C202" s="31">
        <f>SUM(C200:C201)</f>
        <v>175</v>
      </c>
      <c r="D202" s="32"/>
      <c r="E202" s="227">
        <f t="shared" ref="E202:J202" si="40">E200+E201</f>
        <v>69258581.5836667</v>
      </c>
      <c r="F202" s="227">
        <f t="shared" si="40"/>
        <v>54790759.5833333</v>
      </c>
      <c r="G202" s="227">
        <f t="shared" si="40"/>
        <v>267480.25625</v>
      </c>
      <c r="H202" s="227">
        <f t="shared" si="40"/>
        <v>1181213.71666667</v>
      </c>
      <c r="I202" s="227">
        <f t="shared" si="40"/>
        <v>913733.460416666</v>
      </c>
      <c r="J202" s="227">
        <f t="shared" si="40"/>
        <v>9377520.05</v>
      </c>
    </row>
    <row r="203" customHeight="1" spans="1:10">
      <c r="F203" s="1"/>
      <c r="G203" s="13"/>
      <c r="H203" s="13"/>
      <c r="I203" s="13"/>
      <c r="J203" s="13"/>
    </row>
    <row r="204" customHeight="1" spans="1:10">
      <c r="F204" s="1"/>
    </row>
    <row r="205" customHeight="1" spans="1:10">
      <c r="F205" s="1"/>
    </row>
    <row r="206" customHeight="1" spans="1:10">
      <c r="F206" s="1"/>
    </row>
    <row r="207" customHeight="1" spans="1:10">
      <c r="F207" s="1"/>
    </row>
    <row r="208" customHeight="1" spans="1:10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I4" workbookViewId="0">
      <selection activeCell="P6" sqref="P6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928" t="s">
        <v>694</v>
      </c>
      <c r="AA4" s="464" t="s">
        <v>476</v>
      </c>
      <c r="AB4" s="466" t="s">
        <v>695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6" si="0">C6*D6</f>
        <v>26956465</v>
      </c>
      <c r="F6" s="470"/>
      <c r="G6" s="470">
        <v>0</v>
      </c>
      <c r="H6" s="470"/>
      <c r="I6" s="470">
        <f t="shared" ref="I6:I36" si="1">E6-F6-G6-H6</f>
        <v>26956465</v>
      </c>
      <c r="J6" s="470">
        <v>200000</v>
      </c>
      <c r="K6" s="470">
        <v>0.2</v>
      </c>
      <c r="L6" s="470">
        <f t="shared" ref="L6:L36" si="2">I6*K6</f>
        <v>5391292.99999999</v>
      </c>
      <c r="M6" s="470">
        <f t="shared" ref="M6:M36" si="3">J6+L6</f>
        <v>5591292.99999999</v>
      </c>
      <c r="N6" s="470">
        <f t="shared" ref="N6:N36" si="4">F6+G6+H6+M6</f>
        <v>5591292.99999999</v>
      </c>
      <c r="O6" s="470">
        <f t="shared" ref="O6:O36" si="5">E6-N6</f>
        <v>21365172</v>
      </c>
      <c r="P6" s="470">
        <f>IF(O6&lt;300000,0.07*O6,21000)</f>
        <v>21000</v>
      </c>
      <c r="Q6" s="470">
        <f t="shared" ref="Q6:Q36" si="6">IF((O6-300000)&lt;0,0,IF((O6-300000)&lt;300000,0.11*(O6-300000),33000))</f>
        <v>33000</v>
      </c>
      <c r="R6" s="470">
        <f t="shared" ref="R6:R36" si="7">IF((O6-600000)&lt;0,0,IF((O6-600000)&lt;500000,0.15*(O6-600000),75000))</f>
        <v>75000</v>
      </c>
      <c r="S6" s="470">
        <f t="shared" ref="S6:S36" si="8">IF((O6-1100000)&lt;0,0,IF((O6-1100000)&lt;500000,0.19*(O6-1100000),95000))</f>
        <v>95000</v>
      </c>
      <c r="T6" s="470">
        <f t="shared" ref="T6:T36" si="9">IF((O6-1600000)&lt;0,0,IF((O6-1600000)&lt;1600000,0.21*(O6-1600000),336000))</f>
        <v>336000</v>
      </c>
      <c r="U6" s="470">
        <f t="shared" ref="U6:U34" si="10">24%*(O6-3200000)</f>
        <v>4359641.27999999</v>
      </c>
      <c r="V6" s="470">
        <f t="shared" ref="V6:V36" si="11">P6+Q6+R6+S6+T6+U6</f>
        <v>4919641.27999999</v>
      </c>
      <c r="W6" s="471">
        <v>12</v>
      </c>
      <c r="X6" s="470">
        <f t="shared" ref="X6:X36" si="12">V6/W6</f>
        <v>409970.106666666</v>
      </c>
      <c r="Y6" s="470"/>
      <c r="Z6" s="929">
        <f t="shared" ref="Z6:Z36" si="13">X6</f>
        <v>409970.106666666</v>
      </c>
      <c r="AA6" s="806">
        <v>350184.010730667</v>
      </c>
      <c r="AB6" s="806">
        <f t="shared" ref="AB6:AB36" si="14">Z6-AA6</f>
        <v>59786.0959359988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ref="P6:P36" si="15">IF(O7&lt;300000,0.07*O7,21000)</f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1540720.61184</v>
      </c>
      <c r="V7" s="470">
        <f t="shared" si="11"/>
        <v>2100720.61184</v>
      </c>
      <c r="W7" s="471">
        <v>12</v>
      </c>
      <c r="X7" s="470">
        <f t="shared" si="12"/>
        <v>175060.050986667</v>
      </c>
      <c r="Y7" s="470"/>
      <c r="Z7" s="929">
        <f t="shared" si="13"/>
        <v>175060.050986667</v>
      </c>
      <c r="AA7" s="806">
        <v>149812.262826667</v>
      </c>
      <c r="AB7" s="806">
        <f t="shared" si="14"/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1463969.8983871</v>
      </c>
      <c r="D8" s="469">
        <v>12</v>
      </c>
      <c r="E8" s="470">
        <f t="shared" si="0"/>
        <v>17567638.7806452</v>
      </c>
      <c r="F8" s="470"/>
      <c r="G8" s="470">
        <v>0</v>
      </c>
      <c r="H8" s="470"/>
      <c r="I8" s="470">
        <f t="shared" si="1"/>
        <v>17567638.7806452</v>
      </c>
      <c r="J8" s="470">
        <v>200000</v>
      </c>
      <c r="K8" s="470">
        <v>0.2</v>
      </c>
      <c r="L8" s="470">
        <f t="shared" si="2"/>
        <v>3513527.75612904</v>
      </c>
      <c r="M8" s="470">
        <f t="shared" si="3"/>
        <v>3713527.75612904</v>
      </c>
      <c r="N8" s="470">
        <f t="shared" si="4"/>
        <v>3713527.75612904</v>
      </c>
      <c r="O8" s="470">
        <f t="shared" si="5"/>
        <v>13854111.0245162</v>
      </c>
      <c r="P8" s="470">
        <f t="shared" si="1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2556986.64588388</v>
      </c>
      <c r="V8" s="470">
        <f t="shared" si="11"/>
        <v>3116986.64588388</v>
      </c>
      <c r="W8" s="471">
        <v>12</v>
      </c>
      <c r="X8" s="470">
        <f t="shared" si="12"/>
        <v>259748.88715699</v>
      </c>
      <c r="Y8" s="470"/>
      <c r="Z8" s="929">
        <f t="shared" si="13"/>
        <v>259748.88715699</v>
      </c>
      <c r="AA8" s="806">
        <v>199922.314666667</v>
      </c>
      <c r="AB8" s="806">
        <f t="shared" si="14"/>
        <v>59826.572490323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1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1485731.64864</v>
      </c>
      <c r="V9" s="470">
        <f t="shared" si="11"/>
        <v>2045731.64864</v>
      </c>
      <c r="W9" s="471">
        <v>12</v>
      </c>
      <c r="X9" s="470">
        <f t="shared" si="12"/>
        <v>170477.637386667</v>
      </c>
      <c r="Y9" s="470"/>
      <c r="Z9" s="929">
        <f t="shared" si="13"/>
        <v>170477.637386667</v>
      </c>
      <c r="AA9" s="806">
        <v>147687.527610667</v>
      </c>
      <c r="AB9" s="806">
        <f t="shared" si="14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1019008.91666667</v>
      </c>
      <c r="D10" s="469">
        <v>12</v>
      </c>
      <c r="E10" s="470">
        <f t="shared" si="0"/>
        <v>12228107</v>
      </c>
      <c r="F10" s="470">
        <v>157015.95</v>
      </c>
      <c r="G10" s="470">
        <v>818602.64</v>
      </c>
      <c r="H10" s="470"/>
      <c r="I10" s="470">
        <f t="shared" si="1"/>
        <v>11252488.41</v>
      </c>
      <c r="J10" s="470">
        <v>200000</v>
      </c>
      <c r="K10" s="470">
        <v>0.2</v>
      </c>
      <c r="L10" s="470">
        <f t="shared" si="2"/>
        <v>2250497.68200001</v>
      </c>
      <c r="M10" s="470">
        <f t="shared" si="3"/>
        <v>2450497.68200001</v>
      </c>
      <c r="N10" s="470">
        <f t="shared" si="4"/>
        <v>3426116.27200001</v>
      </c>
      <c r="O10" s="470">
        <f t="shared" si="5"/>
        <v>8801990.72800003</v>
      </c>
      <c r="P10" s="470">
        <f t="shared" si="1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1344477.77472001</v>
      </c>
      <c r="V10" s="470">
        <f t="shared" si="11"/>
        <v>1904477.77472001</v>
      </c>
      <c r="W10" s="471">
        <v>12</v>
      </c>
      <c r="X10" s="470">
        <f t="shared" si="12"/>
        <v>158706.481226667</v>
      </c>
      <c r="Y10" s="470"/>
      <c r="Z10" s="929">
        <f t="shared" si="13"/>
        <v>158706.481226667</v>
      </c>
      <c r="AA10" s="806">
        <v>129694.695226667</v>
      </c>
      <c r="AB10" s="806">
        <f t="shared" si="14"/>
        <v>29011.7860000005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1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1519421.86944</v>
      </c>
      <c r="V11" s="470">
        <f t="shared" si="11"/>
        <v>2079421.86944</v>
      </c>
      <c r="W11" s="471">
        <v>12</v>
      </c>
      <c r="X11" s="470">
        <f t="shared" si="12"/>
        <v>173285.155786667</v>
      </c>
      <c r="Y11" s="470"/>
      <c r="Z11" s="929">
        <f t="shared" si="13"/>
        <v>173285.155786667</v>
      </c>
      <c r="AA11" s="806">
        <v>150463.109674667</v>
      </c>
      <c r="AB11" s="806">
        <f t="shared" si="14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780713.916666666</v>
      </c>
      <c r="D12" s="469">
        <v>12</v>
      </c>
      <c r="E12" s="470">
        <f t="shared" si="0"/>
        <v>9368566.99999999</v>
      </c>
      <c r="F12" s="470"/>
      <c r="G12" s="470">
        <v>566070.72</v>
      </c>
      <c r="H12" s="470"/>
      <c r="I12" s="470">
        <f t="shared" si="1"/>
        <v>8802496.27999999</v>
      </c>
      <c r="J12" s="470">
        <v>200000</v>
      </c>
      <c r="K12" s="470">
        <v>0.2</v>
      </c>
      <c r="L12" s="470">
        <f t="shared" si="2"/>
        <v>1760499.256</v>
      </c>
      <c r="M12" s="470">
        <f t="shared" si="3"/>
        <v>1960499.256</v>
      </c>
      <c r="N12" s="470">
        <f t="shared" si="4"/>
        <v>2526569.976</v>
      </c>
      <c r="O12" s="470">
        <f t="shared" si="5"/>
        <v>6841997.02399999</v>
      </c>
      <c r="P12" s="470">
        <f t="shared" si="1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874079.285759999</v>
      </c>
      <c r="V12" s="470">
        <f t="shared" si="11"/>
        <v>1434079.28576</v>
      </c>
      <c r="W12" s="471">
        <v>12</v>
      </c>
      <c r="X12" s="470">
        <f t="shared" si="12"/>
        <v>119506.607146667</v>
      </c>
      <c r="Y12" s="470"/>
      <c r="Z12" s="929">
        <f t="shared" si="13"/>
        <v>119506.607146667</v>
      </c>
      <c r="AA12" s="806">
        <v>77666.4458666667</v>
      </c>
      <c r="AB12" s="806">
        <f t="shared" si="14"/>
        <v>41840.1612799999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932595.5</v>
      </c>
      <c r="D13" s="469">
        <v>12</v>
      </c>
      <c r="E13" s="470">
        <f t="shared" si="0"/>
        <v>11191146</v>
      </c>
      <c r="F13" s="470"/>
      <c r="G13" s="470">
        <v>693691.68</v>
      </c>
      <c r="H13" s="470"/>
      <c r="I13" s="470">
        <f t="shared" si="1"/>
        <v>10497454.32</v>
      </c>
      <c r="J13" s="470">
        <v>200000</v>
      </c>
      <c r="K13" s="470">
        <v>0.2</v>
      </c>
      <c r="L13" s="470">
        <f t="shared" si="2"/>
        <v>2099490.864</v>
      </c>
      <c r="M13" s="470">
        <f t="shared" si="3"/>
        <v>2299490.864</v>
      </c>
      <c r="N13" s="470">
        <f t="shared" si="4"/>
        <v>2993182.544</v>
      </c>
      <c r="O13" s="470">
        <f t="shared" si="5"/>
        <v>8197963.456</v>
      </c>
      <c r="P13" s="470">
        <f t="shared" si="1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1199511.22944</v>
      </c>
      <c r="V13" s="470">
        <f t="shared" si="11"/>
        <v>1759511.22944</v>
      </c>
      <c r="W13" s="471">
        <v>12</v>
      </c>
      <c r="X13" s="470">
        <f t="shared" si="12"/>
        <v>146625.935786667</v>
      </c>
      <c r="Y13" s="470"/>
      <c r="Z13" s="929">
        <f t="shared" si="13"/>
        <v>146625.935786667</v>
      </c>
      <c r="AA13" s="806">
        <v>141011.988957867</v>
      </c>
      <c r="AB13" s="806">
        <f t="shared" si="14"/>
        <v>5613.94682879967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1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1265691.71712</v>
      </c>
      <c r="V14" s="470">
        <f t="shared" si="11"/>
        <v>1825691.71712</v>
      </c>
      <c r="W14" s="471">
        <v>12</v>
      </c>
      <c r="X14" s="470">
        <f t="shared" si="12"/>
        <v>152140.976426667</v>
      </c>
      <c r="Y14" s="470"/>
      <c r="Z14" s="929">
        <f t="shared" si="13"/>
        <v>152140.976426667</v>
      </c>
      <c r="AA14" s="806">
        <v>131753.408426667</v>
      </c>
      <c r="AB14" s="806">
        <f t="shared" si="14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1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968809.274879998</v>
      </c>
      <c r="V15" s="470">
        <f t="shared" si="11"/>
        <v>1528809.27488</v>
      </c>
      <c r="W15" s="471">
        <v>12</v>
      </c>
      <c r="X15" s="470">
        <f t="shared" si="12"/>
        <v>127400.772906667</v>
      </c>
      <c r="Y15" s="470"/>
      <c r="Z15" s="929">
        <f t="shared" si="13"/>
        <v>127400.772906667</v>
      </c>
      <c r="AA15" s="806">
        <v>106452</v>
      </c>
      <c r="AB15" s="806">
        <f t="shared" si="14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682419.5</v>
      </c>
      <c r="D16" s="469">
        <v>12</v>
      </c>
      <c r="E16" s="470">
        <f t="shared" si="0"/>
        <v>8189034</v>
      </c>
      <c r="F16" s="470"/>
      <c r="G16" s="470">
        <v>519697.279999999</v>
      </c>
      <c r="H16" s="470"/>
      <c r="I16" s="470">
        <f t="shared" si="1"/>
        <v>7669336.72</v>
      </c>
      <c r="J16" s="470">
        <v>200000</v>
      </c>
      <c r="K16" s="470">
        <v>0.2</v>
      </c>
      <c r="L16" s="470">
        <f t="shared" si="2"/>
        <v>1533867.344</v>
      </c>
      <c r="M16" s="470">
        <f t="shared" si="3"/>
        <v>1733867.344</v>
      </c>
      <c r="N16" s="470">
        <f t="shared" si="4"/>
        <v>2253564.624</v>
      </c>
      <c r="O16" s="470">
        <f t="shared" si="5"/>
        <v>5935469.376</v>
      </c>
      <c r="P16" s="470">
        <f t="shared" si="1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656512.65024</v>
      </c>
      <c r="V16" s="470">
        <f t="shared" si="11"/>
        <v>1216512.65024</v>
      </c>
      <c r="W16" s="471">
        <v>12</v>
      </c>
      <c r="X16" s="470">
        <f t="shared" si="12"/>
        <v>101376.054186667</v>
      </c>
      <c r="Y16" s="470"/>
      <c r="Z16" s="929">
        <f t="shared" si="13"/>
        <v>101376.054186667</v>
      </c>
      <c r="AA16" s="806">
        <v>77470.3741866667</v>
      </c>
      <c r="AB16" s="806">
        <f t="shared" si="14"/>
        <v>23905.68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1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1018815.63744</v>
      </c>
      <c r="V17" s="470">
        <f t="shared" si="11"/>
        <v>1578815.63744</v>
      </c>
      <c r="W17" s="471">
        <v>12</v>
      </c>
      <c r="X17" s="470">
        <f t="shared" si="12"/>
        <v>131567.969786667</v>
      </c>
      <c r="Y17" s="470"/>
      <c r="Z17" s="929">
        <f t="shared" si="13"/>
        <v>131567.969786667</v>
      </c>
      <c r="AA17" s="806">
        <v>113474.903466667</v>
      </c>
      <c r="AB17" s="806">
        <f t="shared" si="14"/>
        <v>18093.0663199996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1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381810.65952</v>
      </c>
      <c r="V18" s="470">
        <f t="shared" si="11"/>
        <v>941810.65952</v>
      </c>
      <c r="W18" s="471">
        <v>12</v>
      </c>
      <c r="X18" s="470">
        <f t="shared" si="12"/>
        <v>78484.2216266667</v>
      </c>
      <c r="Y18" s="470"/>
      <c r="Z18" s="929">
        <f t="shared" si="13"/>
        <v>78484.2216266667</v>
      </c>
      <c r="AA18" s="806">
        <v>61040.2353066666</v>
      </c>
      <c r="AB18" s="806">
        <f t="shared" si="14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1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514963.03872</v>
      </c>
      <c r="V19" s="470">
        <f t="shared" si="11"/>
        <v>1074963.03872</v>
      </c>
      <c r="W19" s="471">
        <v>12</v>
      </c>
      <c r="X19" s="470">
        <f t="shared" si="12"/>
        <v>89580.2532266667</v>
      </c>
      <c r="Y19" s="470"/>
      <c r="Z19" s="929">
        <f t="shared" si="13"/>
        <v>89580.2532266667</v>
      </c>
      <c r="AA19" s="806">
        <v>70640.2353066667</v>
      </c>
      <c r="AB19" s="806">
        <f t="shared" si="14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802846.583333334</v>
      </c>
      <c r="D20" s="469">
        <v>12</v>
      </c>
      <c r="E20" s="470">
        <f t="shared" si="0"/>
        <v>9634159.00000001</v>
      </c>
      <c r="F20" s="470">
        <v>93328.325</v>
      </c>
      <c r="G20" s="470">
        <v>476637.28</v>
      </c>
      <c r="H20" s="470"/>
      <c r="I20" s="470">
        <f t="shared" si="1"/>
        <v>9064193.39500001</v>
      </c>
      <c r="J20" s="470">
        <v>200000</v>
      </c>
      <c r="K20" s="470">
        <v>0.2</v>
      </c>
      <c r="L20" s="470">
        <f t="shared" si="2"/>
        <v>1812838.679</v>
      </c>
      <c r="M20" s="470">
        <f t="shared" si="3"/>
        <v>2012838.679</v>
      </c>
      <c r="N20" s="470">
        <f t="shared" si="4"/>
        <v>2582804.284</v>
      </c>
      <c r="O20" s="470">
        <f t="shared" si="5"/>
        <v>7051354.71600001</v>
      </c>
      <c r="P20" s="470">
        <f t="shared" si="1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924325.131840001</v>
      </c>
      <c r="V20" s="470">
        <f t="shared" si="11"/>
        <v>1484325.13184</v>
      </c>
      <c r="W20" s="471">
        <v>12</v>
      </c>
      <c r="X20" s="470">
        <f t="shared" si="12"/>
        <v>123693.760986667</v>
      </c>
      <c r="Y20" s="470"/>
      <c r="Z20" s="929">
        <f t="shared" si="13"/>
        <v>123693.760986667</v>
      </c>
      <c r="AA20" s="806">
        <v>106297.15</v>
      </c>
      <c r="AB20" s="806">
        <f t="shared" si="14"/>
        <v>17396.6109866667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702846.583333333</v>
      </c>
      <c r="D21" s="469">
        <v>12</v>
      </c>
      <c r="E21" s="470">
        <f t="shared" si="0"/>
        <v>8434159</v>
      </c>
      <c r="F21" s="470"/>
      <c r="G21" s="470">
        <v>463356.160000001</v>
      </c>
      <c r="H21" s="470"/>
      <c r="I21" s="470">
        <f t="shared" si="1"/>
        <v>7970802.84</v>
      </c>
      <c r="J21" s="470">
        <v>200000</v>
      </c>
      <c r="K21" s="470">
        <v>0.2</v>
      </c>
      <c r="L21" s="470">
        <f t="shared" si="2"/>
        <v>1594160.568</v>
      </c>
      <c r="M21" s="470">
        <f t="shared" si="3"/>
        <v>1794160.568</v>
      </c>
      <c r="N21" s="470">
        <f t="shared" si="4"/>
        <v>2257516.728</v>
      </c>
      <c r="O21" s="470">
        <f t="shared" si="5"/>
        <v>6176642.272</v>
      </c>
      <c r="P21" s="470">
        <f t="shared" si="1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714394.145279999</v>
      </c>
      <c r="V21" s="470">
        <f t="shared" si="11"/>
        <v>1274394.14528</v>
      </c>
      <c r="W21" s="471">
        <v>12</v>
      </c>
      <c r="X21" s="470">
        <f t="shared" si="12"/>
        <v>106199.512106667</v>
      </c>
      <c r="Y21" s="470"/>
      <c r="Z21" s="929">
        <f t="shared" si="13"/>
        <v>106199.512106667</v>
      </c>
      <c r="AA21" s="806">
        <v>82601.2049066667</v>
      </c>
      <c r="AB21" s="806">
        <f t="shared" si="14"/>
        <v>23598.3071999999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1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839640.798719999</v>
      </c>
      <c r="V22" s="470">
        <f t="shared" si="11"/>
        <v>1399640.79872</v>
      </c>
      <c r="W22" s="471">
        <v>12</v>
      </c>
      <c r="X22" s="470">
        <f t="shared" si="12"/>
        <v>116636.733226667</v>
      </c>
      <c r="Y22" s="470"/>
      <c r="Z22" s="929">
        <f t="shared" si="13"/>
        <v>116636.733226667</v>
      </c>
      <c r="AA22" s="806">
        <v>98711.1146666667</v>
      </c>
      <c r="AB22" s="806">
        <f t="shared" si="14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1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401880.798719999</v>
      </c>
      <c r="V23" s="470">
        <f t="shared" si="11"/>
        <v>961880.798719999</v>
      </c>
      <c r="W23" s="471">
        <v>12</v>
      </c>
      <c r="X23" s="470">
        <f t="shared" si="12"/>
        <v>80156.7332266666</v>
      </c>
      <c r="Y23" s="470"/>
      <c r="Z23" s="929">
        <f t="shared" si="13"/>
        <v>80156.7332266666</v>
      </c>
      <c r="AA23" s="806">
        <v>62231.1146666667</v>
      </c>
      <c r="AB23" s="806">
        <f t="shared" si="14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1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336000</v>
      </c>
      <c r="U24" s="470">
        <f t="shared" si="10"/>
        <v>590936.248319999</v>
      </c>
      <c r="V24" s="470">
        <f t="shared" si="11"/>
        <v>1150936.24832</v>
      </c>
      <c r="W24" s="471">
        <v>12</v>
      </c>
      <c r="X24" s="470">
        <f t="shared" si="12"/>
        <v>95911.3540266666</v>
      </c>
      <c r="Y24" s="470"/>
      <c r="Z24" s="929">
        <f t="shared" si="13"/>
        <v>95911.3540266666</v>
      </c>
      <c r="AA24" s="806">
        <v>80347.4269866667</v>
      </c>
      <c r="AB24" s="806">
        <f t="shared" si="14"/>
        <v>15563.9270399999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1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336000</v>
      </c>
      <c r="U25" s="470">
        <f t="shared" si="10"/>
        <v>130136.248319998</v>
      </c>
      <c r="V25" s="470">
        <f t="shared" si="11"/>
        <v>690136.248319998</v>
      </c>
      <c r="W25" s="471">
        <v>12</v>
      </c>
      <c r="X25" s="470">
        <f t="shared" si="12"/>
        <v>57511.3540266665</v>
      </c>
      <c r="Y25" s="470"/>
      <c r="Z25" s="929">
        <f t="shared" si="13"/>
        <v>57511.3540266665</v>
      </c>
      <c r="AA25" s="806">
        <v>42537.3319466667</v>
      </c>
      <c r="AB25" s="806">
        <f t="shared" si="14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478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1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336000</v>
      </c>
      <c r="U26" s="470">
        <f t="shared" si="10"/>
        <v>75406.1107200006</v>
      </c>
      <c r="V26" s="470">
        <f t="shared" si="11"/>
        <v>635406.110720001</v>
      </c>
      <c r="W26" s="471">
        <v>12</v>
      </c>
      <c r="X26" s="470">
        <f t="shared" si="12"/>
        <v>52950.5092266667</v>
      </c>
      <c r="Y26" s="470"/>
      <c r="Z26" s="929">
        <f t="shared" si="13"/>
        <v>52950.5092266667</v>
      </c>
      <c r="AA26" s="806">
        <v>39052.3130666667</v>
      </c>
      <c r="AB26" s="806">
        <f t="shared" si="14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499443.999999997</v>
      </c>
      <c r="D27" s="469">
        <v>12</v>
      </c>
      <c r="E27" s="470">
        <f t="shared" si="0"/>
        <v>5993327.99999997</v>
      </c>
      <c r="F27" s="470"/>
      <c r="G27" s="470">
        <v>341107.840000001</v>
      </c>
      <c r="H27" s="470"/>
      <c r="I27" s="470">
        <f t="shared" si="1"/>
        <v>5652220.15999997</v>
      </c>
      <c r="J27" s="470">
        <v>200000</v>
      </c>
      <c r="K27" s="470">
        <v>0.2</v>
      </c>
      <c r="L27" s="470">
        <f t="shared" si="2"/>
        <v>1130444.03199999</v>
      </c>
      <c r="M27" s="470">
        <f t="shared" si="3"/>
        <v>1330444.03199999</v>
      </c>
      <c r="N27" s="470">
        <f t="shared" si="4"/>
        <v>1671551.87199999</v>
      </c>
      <c r="O27" s="470">
        <f t="shared" si="5"/>
        <v>4321776.12799997</v>
      </c>
      <c r="P27" s="470">
        <f t="shared" si="15"/>
        <v>21000</v>
      </c>
      <c r="Q27" s="470">
        <f t="shared" si="6"/>
        <v>33000</v>
      </c>
      <c r="R27" s="470">
        <f t="shared" si="7"/>
        <v>75000</v>
      </c>
      <c r="S27" s="470">
        <f t="shared" si="8"/>
        <v>95000</v>
      </c>
      <c r="T27" s="470">
        <f t="shared" si="9"/>
        <v>336000</v>
      </c>
      <c r="U27" s="470">
        <f t="shared" si="10"/>
        <v>269226.270719993</v>
      </c>
      <c r="V27" s="470">
        <f t="shared" si="11"/>
        <v>829226.270719993</v>
      </c>
      <c r="W27" s="471">
        <v>12</v>
      </c>
      <c r="X27" s="470">
        <f t="shared" si="12"/>
        <v>69102.1892266661</v>
      </c>
      <c r="Y27" s="470"/>
      <c r="Z27" s="929">
        <f t="shared" si="13"/>
        <v>69102.1892266661</v>
      </c>
      <c r="AA27" s="806">
        <v>39052.3130666667</v>
      </c>
      <c r="AB27" s="806">
        <f t="shared" si="14"/>
        <v>30049.8761599994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684288.357142852</v>
      </c>
      <c r="D28" s="469">
        <v>12</v>
      </c>
      <c r="E28" s="470">
        <f t="shared" si="0"/>
        <v>8211460.28571422</v>
      </c>
      <c r="F28" s="470"/>
      <c r="G28" s="470">
        <v>341107.840000001</v>
      </c>
      <c r="H28" s="470"/>
      <c r="I28" s="470">
        <f t="shared" si="1"/>
        <v>7870352.44571422</v>
      </c>
      <c r="J28" s="470">
        <v>200000</v>
      </c>
      <c r="K28" s="470">
        <v>0.2</v>
      </c>
      <c r="L28" s="470">
        <f t="shared" si="2"/>
        <v>1574070.48914284</v>
      </c>
      <c r="M28" s="470">
        <f t="shared" si="3"/>
        <v>1774070.48914284</v>
      </c>
      <c r="N28" s="470">
        <f t="shared" si="4"/>
        <v>2115178.32914285</v>
      </c>
      <c r="O28" s="470">
        <f t="shared" si="5"/>
        <v>6096281.95657138</v>
      </c>
      <c r="P28" s="470">
        <f t="shared" si="1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336000</v>
      </c>
      <c r="U28" s="470">
        <f t="shared" si="10"/>
        <v>695107.669577131</v>
      </c>
      <c r="V28" s="470">
        <f t="shared" si="11"/>
        <v>1255107.66957713</v>
      </c>
      <c r="W28" s="471">
        <v>12</v>
      </c>
      <c r="X28" s="470">
        <f t="shared" si="12"/>
        <v>104592.305798094</v>
      </c>
      <c r="Y28" s="470"/>
      <c r="Z28" s="929">
        <f t="shared" si="13"/>
        <v>104592.305798094</v>
      </c>
      <c r="AA28" s="806">
        <v>45772.3130666667</v>
      </c>
      <c r="AB28" s="806">
        <f t="shared" si="14"/>
        <v>58819.9927314276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1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336000</v>
      </c>
      <c r="U29" s="470">
        <f t="shared" si="10"/>
        <v>57803.2281599984</v>
      </c>
      <c r="V29" s="470">
        <f t="shared" si="11"/>
        <v>617803.228159998</v>
      </c>
      <c r="W29" s="471">
        <v>12</v>
      </c>
      <c r="X29" s="470">
        <f t="shared" si="12"/>
        <v>51483.6023466665</v>
      </c>
      <c r="Y29" s="470"/>
      <c r="Z29" s="929">
        <f t="shared" si="13"/>
        <v>51483.6023466665</v>
      </c>
      <c r="AA29" s="806">
        <v>37921.5005866667</v>
      </c>
      <c r="AB29" s="806">
        <f t="shared" si="14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1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336000</v>
      </c>
      <c r="U30" s="470">
        <f t="shared" si="10"/>
        <v>40200.3456000005</v>
      </c>
      <c r="V30" s="470">
        <f t="shared" si="11"/>
        <v>600200.3456</v>
      </c>
      <c r="W30" s="471">
        <v>12</v>
      </c>
      <c r="X30" s="470">
        <f t="shared" si="12"/>
        <v>50016.6954666667</v>
      </c>
      <c r="Y30" s="470"/>
      <c r="Z30" s="929">
        <f t="shared" si="13"/>
        <v>50016.6954666667</v>
      </c>
      <c r="AA30" s="806">
        <v>36790.6881066667</v>
      </c>
      <c r="AB30" s="806">
        <f t="shared" si="14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502248.182795697</v>
      </c>
      <c r="D31" s="469">
        <v>12</v>
      </c>
      <c r="E31" s="470">
        <f t="shared" si="0"/>
        <v>6026978.19354836</v>
      </c>
      <c r="F31" s="470"/>
      <c r="G31" s="474">
        <v>325163.200000001</v>
      </c>
      <c r="H31" s="470"/>
      <c r="I31" s="470">
        <f t="shared" si="1"/>
        <v>5701814.99354836</v>
      </c>
      <c r="J31" s="470">
        <v>200000</v>
      </c>
      <c r="K31" s="470">
        <v>0.2</v>
      </c>
      <c r="L31" s="470">
        <f t="shared" si="2"/>
        <v>1140362.99870967</v>
      </c>
      <c r="M31" s="470">
        <f t="shared" si="3"/>
        <v>1340362.99870967</v>
      </c>
      <c r="N31" s="470">
        <f t="shared" si="4"/>
        <v>1665526.19870967</v>
      </c>
      <c r="O31" s="470">
        <f t="shared" si="5"/>
        <v>4361451.99483869</v>
      </c>
      <c r="P31" s="470">
        <f t="shared" si="1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336000</v>
      </c>
      <c r="U31" s="470">
        <f t="shared" si="10"/>
        <v>278748.478761286</v>
      </c>
      <c r="V31" s="470">
        <f t="shared" si="11"/>
        <v>838748.478761286</v>
      </c>
      <c r="W31" s="471">
        <v>12</v>
      </c>
      <c r="X31" s="470">
        <f t="shared" si="12"/>
        <v>69895.7065634405</v>
      </c>
      <c r="Y31" s="470"/>
      <c r="Z31" s="929">
        <f t="shared" si="13"/>
        <v>69895.7065634405</v>
      </c>
      <c r="AA31" s="806">
        <v>36790.6881066667</v>
      </c>
      <c r="AB31" s="806">
        <f t="shared" si="14"/>
        <v>33105.0184567738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467422.860215052</v>
      </c>
      <c r="D32" s="469">
        <v>12</v>
      </c>
      <c r="E32" s="470">
        <f t="shared" si="0"/>
        <v>5609074.32258062</v>
      </c>
      <c r="F32" s="470"/>
      <c r="G32" s="474">
        <v>341107.840000001</v>
      </c>
      <c r="H32" s="470"/>
      <c r="I32" s="470">
        <f t="shared" si="1"/>
        <v>5267966.48258062</v>
      </c>
      <c r="J32" s="470">
        <v>200000</v>
      </c>
      <c r="K32" s="470">
        <v>0.2</v>
      </c>
      <c r="L32" s="470">
        <f t="shared" si="2"/>
        <v>1053593.29651612</v>
      </c>
      <c r="M32" s="470">
        <f t="shared" si="3"/>
        <v>1253593.29651612</v>
      </c>
      <c r="N32" s="470">
        <f t="shared" si="4"/>
        <v>1594701.13651613</v>
      </c>
      <c r="O32" s="470">
        <f t="shared" si="5"/>
        <v>4014373.1860645</v>
      </c>
      <c r="P32" s="470">
        <f t="shared" si="1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336000</v>
      </c>
      <c r="U32" s="470">
        <f t="shared" si="10"/>
        <v>195449.564655479</v>
      </c>
      <c r="V32" s="470">
        <f t="shared" si="11"/>
        <v>755449.564655479</v>
      </c>
      <c r="W32" s="471">
        <v>12</v>
      </c>
      <c r="X32" s="470">
        <f t="shared" si="12"/>
        <v>62954.1303879566</v>
      </c>
      <c r="Y32" s="470"/>
      <c r="Z32" s="929">
        <f t="shared" si="13"/>
        <v>62954.1303879566</v>
      </c>
      <c r="AA32" s="806">
        <v>39052.3130666667</v>
      </c>
      <c r="AB32" s="806">
        <f t="shared" si="14"/>
        <v>23901.8173212899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15"/>
        <v>21000</v>
      </c>
      <c r="Q33" s="470">
        <f t="shared" si="6"/>
        <v>33000</v>
      </c>
      <c r="R33" s="470">
        <f t="shared" si="7"/>
        <v>75000</v>
      </c>
      <c r="S33" s="470">
        <f t="shared" si="8"/>
        <v>95000</v>
      </c>
      <c r="T33" s="470">
        <f t="shared" si="9"/>
        <v>336000</v>
      </c>
      <c r="U33" s="470">
        <f t="shared" si="10"/>
        <v>37138.9747200005</v>
      </c>
      <c r="V33" s="470">
        <f t="shared" si="11"/>
        <v>597138.974720001</v>
      </c>
      <c r="W33" s="471">
        <v>12</v>
      </c>
      <c r="X33" s="470">
        <f t="shared" si="12"/>
        <v>49761.5812266667</v>
      </c>
      <c r="Y33" s="470"/>
      <c r="Z33" s="929">
        <f t="shared" si="13"/>
        <v>49761.5812266667</v>
      </c>
      <c r="AA33" s="806">
        <v>36790.6881066667</v>
      </c>
      <c r="AB33" s="806">
        <f t="shared" si="14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432145.333333333</v>
      </c>
      <c r="D34" s="469">
        <v>12</v>
      </c>
      <c r="E34" s="470">
        <f t="shared" si="0"/>
        <v>5185744</v>
      </c>
      <c r="F34" s="470"/>
      <c r="G34" s="474">
        <v>341107.840000001</v>
      </c>
      <c r="H34" s="470"/>
      <c r="I34" s="470">
        <f t="shared" si="1"/>
        <v>4844636.16</v>
      </c>
      <c r="J34" s="470">
        <v>200000</v>
      </c>
      <c r="K34" s="470">
        <v>0.2</v>
      </c>
      <c r="L34" s="470">
        <f t="shared" si="2"/>
        <v>968927.231999999</v>
      </c>
      <c r="M34" s="470">
        <f t="shared" si="3"/>
        <v>1168927.232</v>
      </c>
      <c r="N34" s="470">
        <f t="shared" si="4"/>
        <v>1510035.072</v>
      </c>
      <c r="O34" s="470">
        <f t="shared" si="5"/>
        <v>3675708.928</v>
      </c>
      <c r="P34" s="470">
        <f t="shared" si="15"/>
        <v>21000</v>
      </c>
      <c r="Q34" s="470">
        <f t="shared" si="6"/>
        <v>33000</v>
      </c>
      <c r="R34" s="470">
        <f t="shared" si="7"/>
        <v>75000</v>
      </c>
      <c r="S34" s="470">
        <f t="shared" si="8"/>
        <v>95000</v>
      </c>
      <c r="T34" s="470">
        <f t="shared" si="9"/>
        <v>336000</v>
      </c>
      <c r="U34" s="470">
        <f t="shared" si="10"/>
        <v>114170.142719999</v>
      </c>
      <c r="V34" s="470">
        <f t="shared" si="11"/>
        <v>674170.142719999</v>
      </c>
      <c r="W34" s="471">
        <v>12</v>
      </c>
      <c r="X34" s="470">
        <f t="shared" si="12"/>
        <v>56180.8452266666</v>
      </c>
      <c r="Y34" s="470"/>
      <c r="Z34" s="929">
        <f t="shared" si="13"/>
        <v>56180.8452266666</v>
      </c>
      <c r="AA34" s="806">
        <v>36790.6881066667</v>
      </c>
      <c r="AB34" s="806">
        <f t="shared" si="14"/>
        <v>19390.1571199999</v>
      </c>
      <c r="AC34" s="473"/>
      <c r="AD34" s="473"/>
      <c r="AE34" s="473"/>
    </row>
    <row r="35" ht="15.5" spans="1:31">
      <c r="A35" s="467">
        <v>33</v>
      </c>
      <c r="B35" s="351" t="s">
        <v>103</v>
      </c>
      <c r="C35" s="477">
        <v>351910.75</v>
      </c>
      <c r="D35" s="469">
        <v>12</v>
      </c>
      <c r="E35" s="470">
        <f t="shared" si="0"/>
        <v>4222929</v>
      </c>
      <c r="F35" s="470"/>
      <c r="G35" s="474">
        <v>289834.32</v>
      </c>
      <c r="H35" s="470"/>
      <c r="I35" s="470">
        <f t="shared" si="1"/>
        <v>3933094.68</v>
      </c>
      <c r="J35" s="470">
        <v>200000</v>
      </c>
      <c r="K35" s="470">
        <v>0.2</v>
      </c>
      <c r="L35" s="470">
        <f t="shared" si="2"/>
        <v>786618.936</v>
      </c>
      <c r="M35" s="470">
        <f t="shared" si="3"/>
        <v>986618.936</v>
      </c>
      <c r="N35" s="470">
        <f t="shared" si="4"/>
        <v>1276453.256</v>
      </c>
      <c r="O35" s="470">
        <f t="shared" si="5"/>
        <v>2946475.744</v>
      </c>
      <c r="P35" s="470">
        <f t="shared" si="15"/>
        <v>21000</v>
      </c>
      <c r="Q35" s="470">
        <f t="shared" si="6"/>
        <v>33000</v>
      </c>
      <c r="R35" s="470">
        <f t="shared" si="7"/>
        <v>75000</v>
      </c>
      <c r="S35" s="470">
        <f t="shared" si="8"/>
        <v>95000</v>
      </c>
      <c r="T35" s="470">
        <f t="shared" si="9"/>
        <v>282759.90624</v>
      </c>
      <c r="U35" s="470"/>
      <c r="V35" s="470">
        <f t="shared" si="11"/>
        <v>506759.90624</v>
      </c>
      <c r="W35" s="470">
        <v>12</v>
      </c>
      <c r="X35" s="470">
        <f t="shared" si="12"/>
        <v>42229.9921866667</v>
      </c>
      <c r="Y35" s="470"/>
      <c r="Z35" s="929">
        <f t="shared" si="13"/>
        <v>42229.9921866667</v>
      </c>
      <c r="AA35" s="470">
        <v>30259.1656266667</v>
      </c>
      <c r="AB35" s="806">
        <f t="shared" si="14"/>
        <v>11970.82656</v>
      </c>
      <c r="AC35" s="473"/>
      <c r="AD35" s="473"/>
      <c r="AE35" s="473"/>
    </row>
    <row r="36" ht="31" spans="1:31">
      <c r="A36" s="467">
        <v>34</v>
      </c>
      <c r="B36" s="351" t="s">
        <v>106</v>
      </c>
      <c r="C36" s="470">
        <v>344900.833333334</v>
      </c>
      <c r="D36" s="469">
        <v>12</v>
      </c>
      <c r="E36" s="470">
        <f t="shared" si="0"/>
        <v>4138810.00000001</v>
      </c>
      <c r="F36" s="470"/>
      <c r="G36" s="474">
        <v>283104.8</v>
      </c>
      <c r="H36" s="470"/>
      <c r="I36" s="470">
        <f t="shared" si="1"/>
        <v>3855705.20000001</v>
      </c>
      <c r="J36" s="470">
        <v>200000</v>
      </c>
      <c r="K36" s="470">
        <v>0.2</v>
      </c>
      <c r="L36" s="470">
        <f t="shared" si="2"/>
        <v>771141.040000002</v>
      </c>
      <c r="M36" s="470">
        <f t="shared" si="3"/>
        <v>971141.040000002</v>
      </c>
      <c r="N36" s="470">
        <f t="shared" si="4"/>
        <v>1254245.84</v>
      </c>
      <c r="O36" s="470">
        <f t="shared" si="5"/>
        <v>2884564.16000001</v>
      </c>
      <c r="P36" s="470">
        <f t="shared" si="15"/>
        <v>21000</v>
      </c>
      <c r="Q36" s="470">
        <f t="shared" si="6"/>
        <v>33000</v>
      </c>
      <c r="R36" s="470">
        <f t="shared" si="7"/>
        <v>75000</v>
      </c>
      <c r="S36" s="470">
        <f t="shared" si="8"/>
        <v>95000</v>
      </c>
      <c r="T36" s="470">
        <f t="shared" si="9"/>
        <v>269758.473600001</v>
      </c>
      <c r="U36" s="470"/>
      <c r="V36" s="470">
        <f t="shared" si="11"/>
        <v>493758.473600001</v>
      </c>
      <c r="W36" s="470">
        <v>12</v>
      </c>
      <c r="X36" s="470">
        <f t="shared" si="12"/>
        <v>41146.5394666667</v>
      </c>
      <c r="Y36" s="470"/>
      <c r="Z36" s="929">
        <f t="shared" si="13"/>
        <v>41146.5394666667</v>
      </c>
      <c r="AA36" s="806">
        <v>29305.1955466667</v>
      </c>
      <c r="AB36" s="806">
        <f t="shared" si="14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ref="E39:E42" si="16">C39*D39</f>
        <v>22165276.9999999</v>
      </c>
      <c r="F39" s="470"/>
      <c r="G39" s="470">
        <v>1677222.16</v>
      </c>
      <c r="H39" s="470"/>
      <c r="I39" s="470">
        <f t="shared" ref="I39:I42" si="17">E39-F39-G39-H39</f>
        <v>20488054.8399999</v>
      </c>
      <c r="J39" s="470">
        <v>200000</v>
      </c>
      <c r="K39" s="470">
        <v>0.2</v>
      </c>
      <c r="L39" s="470">
        <f t="shared" ref="L39:L42" si="18">I39*K39</f>
        <v>4097610.96799998</v>
      </c>
      <c r="M39" s="470">
        <f t="shared" ref="M39:M42" si="19">J39+L39</f>
        <v>4297610.96799998</v>
      </c>
      <c r="N39" s="470">
        <f t="shared" ref="N39:N42" si="20">F39+G39+H39+M39</f>
        <v>5974833.12799998</v>
      </c>
      <c r="O39" s="470">
        <f t="shared" ref="O39:O42" si="21">E39-N39</f>
        <v>16190443.8719999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 t="shared" ref="U39:U42" si="27">24%*(O39-3200000)</f>
        <v>3117706.52927998</v>
      </c>
      <c r="V39" s="470">
        <f t="shared" ref="V39:V42" si="28">P39+Q39+R39+S39+T39+U39</f>
        <v>3677706.52927998</v>
      </c>
      <c r="W39" s="471">
        <v>12</v>
      </c>
      <c r="X39" s="470">
        <f t="shared" ref="X39:X42" si="29">V39/W39</f>
        <v>306475.544106665</v>
      </c>
      <c r="Y39" s="470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6"/>
        <v>5293687.99999999</v>
      </c>
      <c r="F40" s="470"/>
      <c r="G40" s="470">
        <v>365895.04</v>
      </c>
      <c r="H40" s="470"/>
      <c r="I40" s="470">
        <f t="shared" si="17"/>
        <v>4927792.95999999</v>
      </c>
      <c r="J40" s="470">
        <v>200000</v>
      </c>
      <c r="K40" s="470">
        <v>0.2</v>
      </c>
      <c r="L40" s="470">
        <f t="shared" si="18"/>
        <v>985558.591999998</v>
      </c>
      <c r="M40" s="470">
        <f t="shared" si="19"/>
        <v>1185558.592</v>
      </c>
      <c r="N40" s="470">
        <f t="shared" si="20"/>
        <v>1551453.632</v>
      </c>
      <c r="O40" s="470">
        <f t="shared" si="21"/>
        <v>3742234.36799999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95000</v>
      </c>
      <c r="T40" s="470">
        <f t="shared" si="26"/>
        <v>336000</v>
      </c>
      <c r="U40" s="470">
        <f t="shared" si="27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655929.27222222</v>
      </c>
      <c r="D41" s="469">
        <v>12</v>
      </c>
      <c r="E41" s="470">
        <f t="shared" si="16"/>
        <v>7871151.26666664</v>
      </c>
      <c r="F41" s="470"/>
      <c r="G41" s="470">
        <v>374530.4</v>
      </c>
      <c r="H41" s="470"/>
      <c r="I41" s="470">
        <f t="shared" si="17"/>
        <v>7496620.86666664</v>
      </c>
      <c r="J41" s="470">
        <v>200000</v>
      </c>
      <c r="K41" s="470">
        <v>0.2</v>
      </c>
      <c r="L41" s="470">
        <f t="shared" si="18"/>
        <v>1499324.17333333</v>
      </c>
      <c r="M41" s="470">
        <f t="shared" si="19"/>
        <v>1699324.17333333</v>
      </c>
      <c r="N41" s="470">
        <f t="shared" si="20"/>
        <v>2073854.57333333</v>
      </c>
      <c r="O41" s="470">
        <f t="shared" si="21"/>
        <v>5797296.69333331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95000</v>
      </c>
      <c r="T41" s="470">
        <f t="shared" si="26"/>
        <v>336000</v>
      </c>
      <c r="U41" s="470">
        <f t="shared" si="27"/>
        <v>623351.206399995</v>
      </c>
      <c r="V41" s="470">
        <f t="shared" si="28"/>
        <v>1183351.20639999</v>
      </c>
      <c r="W41" s="471">
        <v>12</v>
      </c>
      <c r="X41" s="470">
        <f t="shared" si="29"/>
        <v>98612.6005333329</v>
      </c>
      <c r="Y41" s="470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6"/>
        <v>4784540</v>
      </c>
      <c r="F42" s="470"/>
      <c r="G42" s="474">
        <v>325163.200000001</v>
      </c>
      <c r="H42" s="470"/>
      <c r="I42" s="470">
        <f t="shared" si="17"/>
        <v>4459376.8</v>
      </c>
      <c r="J42" s="470">
        <v>200000</v>
      </c>
      <c r="K42" s="470">
        <v>0.2</v>
      </c>
      <c r="L42" s="470">
        <f t="shared" si="18"/>
        <v>891875.360000001</v>
      </c>
      <c r="M42" s="470">
        <f t="shared" si="19"/>
        <v>1091875.36</v>
      </c>
      <c r="N42" s="470">
        <f t="shared" si="20"/>
        <v>1417038.56</v>
      </c>
      <c r="O42" s="470">
        <f t="shared" si="21"/>
        <v>3367501.44</v>
      </c>
      <c r="P42" s="470">
        <f t="shared" si="22"/>
        <v>21000</v>
      </c>
      <c r="Q42" s="470">
        <f t="shared" si="23"/>
        <v>33000</v>
      </c>
      <c r="R42" s="470">
        <f t="shared" si="24"/>
        <v>75000</v>
      </c>
      <c r="S42" s="470">
        <f t="shared" si="25"/>
        <v>95000</v>
      </c>
      <c r="T42" s="470">
        <f t="shared" si="26"/>
        <v>336000</v>
      </c>
      <c r="U42" s="470">
        <f t="shared" si="27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1847612</v>
      </c>
      <c r="D45" s="469">
        <v>12</v>
      </c>
      <c r="E45" s="470">
        <f t="shared" ref="E45:E52" si="32">C45*D45</f>
        <v>22171344</v>
      </c>
      <c r="F45" s="470"/>
      <c r="G45" s="474">
        <v>869094.48</v>
      </c>
      <c r="H45" s="470"/>
      <c r="I45" s="470">
        <f t="shared" ref="I45:I52" si="33">E45-F45-G45-H45</f>
        <v>21302249.52</v>
      </c>
      <c r="J45" s="470">
        <v>200000</v>
      </c>
      <c r="K45" s="470">
        <v>0.2</v>
      </c>
      <c r="L45" s="470">
        <f t="shared" ref="L45:L52" si="34">I45*K45</f>
        <v>4260449.904</v>
      </c>
      <c r="M45" s="470">
        <f t="shared" ref="M45:M52" si="35">J45+L45</f>
        <v>4460449.904</v>
      </c>
      <c r="N45" s="470">
        <f t="shared" ref="N45:N52" si="36">F45+G45+H45+M45</f>
        <v>5329544.384</v>
      </c>
      <c r="O45" s="470">
        <f t="shared" ref="O45:O52" si="37">E45-N45</f>
        <v>16841799.616</v>
      </c>
      <c r="P45" s="470">
        <f t="shared" ref="P45:P52" si="38">IF(O45&lt;300000,0.07*O45,21000)</f>
        <v>21000</v>
      </c>
      <c r="Q45" s="470">
        <f t="shared" ref="Q45:Q52" si="39">IF((O45-300000)&lt;0,0,IF((O45-300000)&lt;300000,0.11*(O45-300000),33000))</f>
        <v>33000</v>
      </c>
      <c r="R45" s="470">
        <f t="shared" ref="R45:R52" si="40">IF((O45-600000)&lt;0,0,IF((O45-600000)&lt;500000,0.15*(O45-600000),75000))</f>
        <v>75000</v>
      </c>
      <c r="S45" s="470">
        <f t="shared" ref="S45:S52" si="41">IF((O45-1100000)&lt;0,0,IF((O45-1100000)&lt;500000,0.19*(O45-1100000),95000))</f>
        <v>95000</v>
      </c>
      <c r="T45" s="470">
        <f t="shared" ref="T45:T52" si="42">IF((O45-1600000)&lt;0,0,IF((O45-1600000)&lt;1600000,0.21*(O45-1600000),336000))</f>
        <v>336000</v>
      </c>
      <c r="U45" s="470">
        <f>0.24*(O45-3200000)</f>
        <v>3274031.90784</v>
      </c>
      <c r="V45" s="470">
        <f t="shared" ref="V45:V52" si="43">P45+Q45+R45+S45+T45+U45</f>
        <v>3834031.90784</v>
      </c>
      <c r="W45" s="471">
        <v>12</v>
      </c>
      <c r="X45" s="470">
        <f t="shared" ref="X45:X52" si="44">V45/W45</f>
        <v>319502.658986667</v>
      </c>
      <c r="Y45" s="470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2"/>
        <v>10853724</v>
      </c>
      <c r="F46" s="476"/>
      <c r="G46" s="474">
        <v>714697.92</v>
      </c>
      <c r="H46" s="476"/>
      <c r="I46" s="470">
        <f t="shared" si="33"/>
        <v>10139026.08</v>
      </c>
      <c r="J46" s="470">
        <v>200000</v>
      </c>
      <c r="K46" s="470">
        <v>0.2</v>
      </c>
      <c r="L46" s="470">
        <f t="shared" si="34"/>
        <v>2027805.216</v>
      </c>
      <c r="M46" s="470">
        <f t="shared" si="35"/>
        <v>2227805.216</v>
      </c>
      <c r="N46" s="470">
        <f t="shared" si="36"/>
        <v>2942503.136</v>
      </c>
      <c r="O46" s="470">
        <f t="shared" si="37"/>
        <v>7911220.864</v>
      </c>
      <c r="P46" s="470">
        <f t="shared" si="38"/>
        <v>21000</v>
      </c>
      <c r="Q46" s="470">
        <f t="shared" si="39"/>
        <v>33000</v>
      </c>
      <c r="R46" s="470">
        <f t="shared" si="40"/>
        <v>75000</v>
      </c>
      <c r="S46" s="470">
        <f t="shared" si="41"/>
        <v>95000</v>
      </c>
      <c r="T46" s="470">
        <f t="shared" si="42"/>
        <v>336000</v>
      </c>
      <c r="U46" s="470">
        <f t="shared" ref="U46:U52" si="47">24%*(O46-3200000)</f>
        <v>1130693.00736</v>
      </c>
      <c r="V46" s="470">
        <f t="shared" si="43"/>
        <v>1690693.00736</v>
      </c>
      <c r="W46" s="471">
        <v>12</v>
      </c>
      <c r="X46" s="470">
        <f t="shared" si="44"/>
        <v>140891.083946667</v>
      </c>
      <c r="Y46" s="476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968360</v>
      </c>
      <c r="D47" s="469">
        <v>12</v>
      </c>
      <c r="E47" s="470">
        <f t="shared" si="32"/>
        <v>11620320</v>
      </c>
      <c r="F47" s="476"/>
      <c r="G47" s="474"/>
      <c r="H47" s="476"/>
      <c r="I47" s="470">
        <f t="shared" si="33"/>
        <v>11620320</v>
      </c>
      <c r="J47" s="470">
        <v>200000</v>
      </c>
      <c r="K47" s="470">
        <v>0.2</v>
      </c>
      <c r="L47" s="470">
        <f t="shared" si="34"/>
        <v>2324064</v>
      </c>
      <c r="M47" s="470">
        <f t="shared" si="35"/>
        <v>2524064</v>
      </c>
      <c r="N47" s="470">
        <f t="shared" si="36"/>
        <v>2524064</v>
      </c>
      <c r="O47" s="470">
        <f t="shared" si="37"/>
        <v>9096256</v>
      </c>
      <c r="P47" s="470">
        <f t="shared" si="38"/>
        <v>21000</v>
      </c>
      <c r="Q47" s="470">
        <f t="shared" si="39"/>
        <v>33000</v>
      </c>
      <c r="R47" s="470">
        <f t="shared" si="40"/>
        <v>75000</v>
      </c>
      <c r="S47" s="470">
        <f t="shared" si="41"/>
        <v>95000</v>
      </c>
      <c r="T47" s="470">
        <f t="shared" si="42"/>
        <v>336000</v>
      </c>
      <c r="U47" s="470">
        <f t="shared" si="47"/>
        <v>1415101.44</v>
      </c>
      <c r="V47" s="470">
        <f t="shared" si="43"/>
        <v>1975101.44</v>
      </c>
      <c r="W47" s="471">
        <v>12</v>
      </c>
      <c r="X47" s="470">
        <f t="shared" si="44"/>
        <v>164591.786666667</v>
      </c>
      <c r="Y47" s="476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2"/>
        <v>10591146</v>
      </c>
      <c r="F48" s="476"/>
      <c r="G48" s="474">
        <v>693691.68</v>
      </c>
      <c r="H48" s="476"/>
      <c r="I48" s="470">
        <f t="shared" si="33"/>
        <v>9897454.32</v>
      </c>
      <c r="J48" s="470">
        <v>200000</v>
      </c>
      <c r="K48" s="470">
        <v>0.2</v>
      </c>
      <c r="L48" s="470">
        <f t="shared" si="34"/>
        <v>1979490.864</v>
      </c>
      <c r="M48" s="470">
        <f t="shared" si="35"/>
        <v>2179490.864</v>
      </c>
      <c r="N48" s="470">
        <f t="shared" si="36"/>
        <v>2873182.544</v>
      </c>
      <c r="O48" s="470">
        <f t="shared" si="37"/>
        <v>7717963.456</v>
      </c>
      <c r="P48" s="470">
        <f t="shared" si="38"/>
        <v>21000</v>
      </c>
      <c r="Q48" s="470">
        <f t="shared" si="39"/>
        <v>33000</v>
      </c>
      <c r="R48" s="470">
        <f t="shared" si="40"/>
        <v>75000</v>
      </c>
      <c r="S48" s="470">
        <f t="shared" si="41"/>
        <v>95000</v>
      </c>
      <c r="T48" s="470">
        <f t="shared" si="42"/>
        <v>336000</v>
      </c>
      <c r="U48" s="470">
        <f t="shared" si="47"/>
        <v>1084311.22944</v>
      </c>
      <c r="V48" s="470">
        <f t="shared" si="43"/>
        <v>1644311.22944</v>
      </c>
      <c r="W48" s="471">
        <v>12</v>
      </c>
      <c r="X48" s="470">
        <f t="shared" si="44"/>
        <v>137025.935786667</v>
      </c>
      <c r="Y48" s="476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2"/>
        <v>10328567</v>
      </c>
      <c r="F49" s="470"/>
      <c r="G49" s="474">
        <v>672685.36</v>
      </c>
      <c r="H49" s="476"/>
      <c r="I49" s="470">
        <f t="shared" si="33"/>
        <v>9655881.63999999</v>
      </c>
      <c r="J49" s="470">
        <v>200000</v>
      </c>
      <c r="K49" s="470">
        <v>0.2</v>
      </c>
      <c r="L49" s="470">
        <f t="shared" si="34"/>
        <v>1931176.328</v>
      </c>
      <c r="M49" s="470">
        <f t="shared" si="35"/>
        <v>2131176.328</v>
      </c>
      <c r="N49" s="470">
        <f t="shared" si="36"/>
        <v>2803861.688</v>
      </c>
      <c r="O49" s="470">
        <f t="shared" si="37"/>
        <v>7524705.31199999</v>
      </c>
      <c r="P49" s="470">
        <f t="shared" si="38"/>
        <v>21000</v>
      </c>
      <c r="Q49" s="470">
        <f t="shared" si="39"/>
        <v>33000</v>
      </c>
      <c r="R49" s="470">
        <f t="shared" si="40"/>
        <v>75000</v>
      </c>
      <c r="S49" s="470">
        <f t="shared" si="41"/>
        <v>95000</v>
      </c>
      <c r="T49" s="470">
        <f t="shared" si="42"/>
        <v>336000</v>
      </c>
      <c r="U49" s="470">
        <f t="shared" si="47"/>
        <v>1037929.27488</v>
      </c>
      <c r="V49" s="470">
        <f t="shared" si="43"/>
        <v>1597929.27488</v>
      </c>
      <c r="W49" s="471">
        <v>12</v>
      </c>
      <c r="X49" s="470">
        <f t="shared" si="44"/>
        <v>133160.772906667</v>
      </c>
      <c r="Y49" s="476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2"/>
        <v>5881630.00000001</v>
      </c>
      <c r="F50" s="470"/>
      <c r="G50" s="474">
        <v>374530.4</v>
      </c>
      <c r="H50" s="476"/>
      <c r="I50" s="470">
        <f t="shared" si="33"/>
        <v>5507099.60000001</v>
      </c>
      <c r="J50" s="470">
        <v>200000</v>
      </c>
      <c r="K50" s="470">
        <v>0.2</v>
      </c>
      <c r="L50" s="470">
        <f t="shared" si="34"/>
        <v>1101419.92</v>
      </c>
      <c r="M50" s="470">
        <f t="shared" si="35"/>
        <v>1301419.92</v>
      </c>
      <c r="N50" s="470">
        <f t="shared" si="36"/>
        <v>1675950.32</v>
      </c>
      <c r="O50" s="470">
        <f t="shared" si="37"/>
        <v>4205679.68000001</v>
      </c>
      <c r="P50" s="470">
        <f t="shared" si="38"/>
        <v>21000</v>
      </c>
      <c r="Q50" s="470">
        <f t="shared" si="39"/>
        <v>33000</v>
      </c>
      <c r="R50" s="470">
        <f t="shared" si="40"/>
        <v>75000</v>
      </c>
      <c r="S50" s="470">
        <f t="shared" si="41"/>
        <v>95000</v>
      </c>
      <c r="T50" s="470">
        <f t="shared" si="42"/>
        <v>336000</v>
      </c>
      <c r="U50" s="470">
        <f t="shared" si="47"/>
        <v>241363.123200002</v>
      </c>
      <c r="V50" s="470">
        <f t="shared" si="43"/>
        <v>801363.123200002</v>
      </c>
      <c r="W50" s="471">
        <v>12</v>
      </c>
      <c r="X50" s="470">
        <f t="shared" si="44"/>
        <v>66780.2602666668</v>
      </c>
      <c r="Y50" s="476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2"/>
        <v>5364193.99999999</v>
      </c>
      <c r="F51" s="470"/>
      <c r="G51" s="474">
        <v>333135.52</v>
      </c>
      <c r="H51" s="476"/>
      <c r="I51" s="470">
        <f t="shared" si="33"/>
        <v>5031058.47999999</v>
      </c>
      <c r="J51" s="470">
        <v>200000</v>
      </c>
      <c r="K51" s="470">
        <v>0.2</v>
      </c>
      <c r="L51" s="470">
        <f t="shared" si="34"/>
        <v>1006211.696</v>
      </c>
      <c r="M51" s="470">
        <f t="shared" si="35"/>
        <v>1206211.696</v>
      </c>
      <c r="N51" s="470">
        <f t="shared" si="36"/>
        <v>1539347.216</v>
      </c>
      <c r="O51" s="470">
        <f t="shared" si="37"/>
        <v>3824846.78399999</v>
      </c>
      <c r="P51" s="470">
        <f t="shared" si="38"/>
        <v>21000</v>
      </c>
      <c r="Q51" s="470">
        <f t="shared" si="39"/>
        <v>33000</v>
      </c>
      <c r="R51" s="470">
        <f t="shared" si="40"/>
        <v>75000</v>
      </c>
      <c r="S51" s="470">
        <f t="shared" si="41"/>
        <v>95000</v>
      </c>
      <c r="T51" s="470">
        <f t="shared" si="42"/>
        <v>336000</v>
      </c>
      <c r="U51" s="470">
        <f t="shared" si="47"/>
        <v>149963.228159998</v>
      </c>
      <c r="V51" s="470">
        <f t="shared" si="43"/>
        <v>709963.228159998</v>
      </c>
      <c r="W51" s="471">
        <v>12</v>
      </c>
      <c r="X51" s="470">
        <f t="shared" si="44"/>
        <v>59163.6023466665</v>
      </c>
      <c r="Y51" s="476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2"/>
        <v>5364193.99999999</v>
      </c>
      <c r="F52" s="470"/>
      <c r="G52" s="474">
        <v>333135.52</v>
      </c>
      <c r="H52" s="476"/>
      <c r="I52" s="470">
        <f t="shared" si="33"/>
        <v>5031058.47999999</v>
      </c>
      <c r="J52" s="470">
        <v>200000</v>
      </c>
      <c r="K52" s="470">
        <v>0.2</v>
      </c>
      <c r="L52" s="470">
        <f t="shared" si="34"/>
        <v>1006211.696</v>
      </c>
      <c r="M52" s="470">
        <f t="shared" si="35"/>
        <v>1206211.696</v>
      </c>
      <c r="N52" s="470">
        <f t="shared" si="36"/>
        <v>1539347.216</v>
      </c>
      <c r="O52" s="470">
        <f t="shared" si="37"/>
        <v>3824846.78399999</v>
      </c>
      <c r="P52" s="470">
        <f t="shared" si="38"/>
        <v>21000</v>
      </c>
      <c r="Q52" s="470">
        <f t="shared" si="39"/>
        <v>33000</v>
      </c>
      <c r="R52" s="470">
        <f t="shared" si="40"/>
        <v>75000</v>
      </c>
      <c r="S52" s="470">
        <f t="shared" si="41"/>
        <v>95000</v>
      </c>
      <c r="T52" s="470">
        <f t="shared" si="42"/>
        <v>336000</v>
      </c>
      <c r="U52" s="470">
        <f t="shared" si="47"/>
        <v>149963.228159998</v>
      </c>
      <c r="V52" s="470">
        <f t="shared" si="43"/>
        <v>709963.228159998</v>
      </c>
      <c r="W52" s="471">
        <v>12</v>
      </c>
      <c r="X52" s="470">
        <f t="shared" si="44"/>
        <v>59163.6023466665</v>
      </c>
      <c r="Y52" s="476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5" si="48">C55*D55</f>
        <v>23365276.9999999</v>
      </c>
      <c r="F55" s="470"/>
      <c r="G55" s="474">
        <v>1677222.16</v>
      </c>
      <c r="H55" s="476"/>
      <c r="I55" s="470">
        <f t="shared" ref="I55:I65" si="49">E55-F55-G55-H55</f>
        <v>21688054.8399999</v>
      </c>
      <c r="J55" s="470">
        <v>200000</v>
      </c>
      <c r="K55" s="470">
        <v>0.2</v>
      </c>
      <c r="L55" s="470">
        <f t="shared" ref="L55:L65" si="50">I55*K55</f>
        <v>4337610.96799998</v>
      </c>
      <c r="M55" s="470">
        <f t="shared" ref="M55:M65" si="51">J55+L55</f>
        <v>4537610.96799998</v>
      </c>
      <c r="N55" s="470">
        <f t="shared" ref="N55:N65" si="52">F55+G55+H55+M55</f>
        <v>6214833.12799998</v>
      </c>
      <c r="O55" s="470">
        <f t="shared" ref="O55:O65" si="53">E55-N55</f>
        <v>17150443.8719999</v>
      </c>
      <c r="P55" s="470">
        <f t="shared" ref="P55:P65" si="54">IF(O55&lt;300000,0.07*O55,21000)</f>
        <v>21000</v>
      </c>
      <c r="Q55" s="470">
        <f t="shared" ref="Q55:Q65" si="55">IF((O55-300000)&lt;0,0,IF((O55-300000)&lt;300000,0.11*(O55-300000),33000))</f>
        <v>33000</v>
      </c>
      <c r="R55" s="470">
        <f t="shared" ref="R55:R65" si="56">IF((O55-600000)&lt;0,0,IF((O55-600000)&lt;500000,0.15*(O55-600000),75000))</f>
        <v>75000</v>
      </c>
      <c r="S55" s="470">
        <f t="shared" ref="S55:S65" si="57">IF((O55-1100000)&lt;0,0,IF((O55-1100000)&lt;500000,0.19*(O55-1100000),95000))</f>
        <v>95000</v>
      </c>
      <c r="T55" s="470">
        <f t="shared" ref="T55:T65" si="58">IF((O55-1600000)&lt;0,0,IF((O55-1600000)&lt;1600000,0.21*(O55-1600000),336000))</f>
        <v>336000</v>
      </c>
      <c r="U55" s="470">
        <f t="shared" ref="U55:U65" si="59">24%*(O55-3200000)</f>
        <v>3348106.52927998</v>
      </c>
      <c r="V55" s="470">
        <f t="shared" ref="V55:V65" si="60">P55+Q55+R55+S55+T55+U55</f>
        <v>3908106.52927998</v>
      </c>
      <c r="W55" s="471">
        <v>12</v>
      </c>
      <c r="X55" s="470">
        <f t="shared" ref="X55:X65" si="61">V55/W55</f>
        <v>325675.544106665</v>
      </c>
      <c r="Y55" s="476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431205.688320001</v>
      </c>
      <c r="V61" s="470">
        <f t="shared" si="60"/>
        <v>991205.688320001</v>
      </c>
      <c r="W61" s="471">
        <v>12</v>
      </c>
      <c r="X61" s="470">
        <f t="shared" si="61"/>
        <v>82600.4740266667</v>
      </c>
      <c r="Y61" s="476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3"/>
      <c r="AD61" s="473"/>
      <c r="AE61" s="473"/>
    </row>
    <row r="62" ht="15.5" spans="1:31">
      <c r="A62" s="467">
        <v>53</v>
      </c>
      <c r="B62" s="351" t="s">
        <v>172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431205.688320001</v>
      </c>
      <c r="V62" s="470">
        <f t="shared" si="60"/>
        <v>991205.688320001</v>
      </c>
      <c r="W62" s="471">
        <v>12</v>
      </c>
      <c r="X62" s="470">
        <f t="shared" si="61"/>
        <v>82600.4740266667</v>
      </c>
      <c r="Y62" s="476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3"/>
      <c r="AD62" s="473"/>
      <c r="AE62" s="473"/>
    </row>
    <row r="63" ht="15.5" spans="1:31">
      <c r="A63" s="467">
        <v>54</v>
      </c>
      <c r="B63" s="643" t="s">
        <v>174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431205.688320001</v>
      </c>
      <c r="V63" s="470">
        <f t="shared" si="60"/>
        <v>991205.688320001</v>
      </c>
      <c r="W63" s="471">
        <v>12</v>
      </c>
      <c r="X63" s="470">
        <f t="shared" si="61"/>
        <v>82600.4740266667</v>
      </c>
      <c r="Y63" s="476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3"/>
      <c r="AD63" s="473"/>
      <c r="AE63" s="473"/>
    </row>
    <row r="64" ht="15.5" spans="1:31">
      <c r="A64" s="467">
        <v>55</v>
      </c>
      <c r="B64" s="651" t="s">
        <v>175</v>
      </c>
      <c r="C64" s="470">
        <v>620586.309139783</v>
      </c>
      <c r="D64" s="469">
        <v>12</v>
      </c>
      <c r="E64" s="470">
        <f t="shared" si="48"/>
        <v>7447035.7096774</v>
      </c>
      <c r="F64" s="470"/>
      <c r="G64" s="474">
        <v>463356.160000001</v>
      </c>
      <c r="H64" s="476"/>
      <c r="I64" s="470">
        <f t="shared" si="49"/>
        <v>6983679.5496774</v>
      </c>
      <c r="J64" s="470">
        <v>200000</v>
      </c>
      <c r="K64" s="470">
        <v>0.2</v>
      </c>
      <c r="L64" s="470">
        <f t="shared" si="50"/>
        <v>1396735.90993548</v>
      </c>
      <c r="M64" s="470">
        <f t="shared" si="51"/>
        <v>1596735.90993548</v>
      </c>
      <c r="N64" s="470">
        <f t="shared" si="52"/>
        <v>2060092.06993548</v>
      </c>
      <c r="O64" s="470">
        <f t="shared" si="53"/>
        <v>5386943.63974192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524866.47353806</v>
      </c>
      <c r="V64" s="470">
        <f t="shared" si="60"/>
        <v>1084866.47353806</v>
      </c>
      <c r="W64" s="471">
        <v>12</v>
      </c>
      <c r="X64" s="470">
        <f t="shared" si="61"/>
        <v>90405.539461505</v>
      </c>
      <c r="Y64" s="476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3"/>
      <c r="AD64" s="473"/>
      <c r="AE64" s="473"/>
    </row>
    <row r="65" ht="15.5" spans="1:31">
      <c r="A65" s="467">
        <v>56</v>
      </c>
      <c r="B65" s="651" t="s">
        <v>179</v>
      </c>
      <c r="C65" s="470">
        <v>490135.833333334</v>
      </c>
      <c r="D65" s="469">
        <v>12</v>
      </c>
      <c r="E65" s="470">
        <f t="shared" si="48"/>
        <v>5881630.00000001</v>
      </c>
      <c r="F65" s="470">
        <f>6154.27916666668*12</f>
        <v>73851.3500000002</v>
      </c>
      <c r="G65" s="474">
        <v>374530.4</v>
      </c>
      <c r="H65" s="476"/>
      <c r="I65" s="470">
        <f t="shared" si="49"/>
        <v>5433248.25000001</v>
      </c>
      <c r="J65" s="470">
        <v>200000</v>
      </c>
      <c r="K65" s="470">
        <v>0.2</v>
      </c>
      <c r="L65" s="470">
        <f t="shared" si="50"/>
        <v>1086649.65</v>
      </c>
      <c r="M65" s="470">
        <f t="shared" si="51"/>
        <v>1286649.65</v>
      </c>
      <c r="N65" s="470">
        <f t="shared" si="52"/>
        <v>1735031.4</v>
      </c>
      <c r="O65" s="470">
        <f t="shared" si="53"/>
        <v>4146598.60000001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227183.664000002</v>
      </c>
      <c r="V65" s="470">
        <f t="shared" si="60"/>
        <v>787183.664000002</v>
      </c>
      <c r="W65" s="471">
        <v>12</v>
      </c>
      <c r="X65" s="470">
        <f t="shared" si="61"/>
        <v>65598.6386666668</v>
      </c>
      <c r="Y65" s="476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183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184</v>
      </c>
      <c r="C68" s="470">
        <v>1947106.41666666</v>
      </c>
      <c r="D68" s="469">
        <v>12</v>
      </c>
      <c r="E68" s="470">
        <f t="shared" ref="E68:E73" si="64">C68*D68</f>
        <v>23365276.9999999</v>
      </c>
      <c r="F68" s="470"/>
      <c r="G68" s="474">
        <v>1677222.16</v>
      </c>
      <c r="H68" s="476"/>
      <c r="I68" s="470">
        <f t="shared" ref="I68:I73" si="65">E68-F68-G68-H68</f>
        <v>21688054.8399999</v>
      </c>
      <c r="J68" s="470">
        <v>200000</v>
      </c>
      <c r="K68" s="470">
        <v>0.2</v>
      </c>
      <c r="L68" s="470">
        <f t="shared" ref="L68:L73" si="66">I68*K68</f>
        <v>4337610.96799998</v>
      </c>
      <c r="M68" s="470">
        <f t="shared" ref="M68:M73" si="67">J68+L68</f>
        <v>4537610.96799998</v>
      </c>
      <c r="N68" s="470">
        <f t="shared" ref="N68:N73" si="68">F68+G68+H68+M68</f>
        <v>6214833.12799998</v>
      </c>
      <c r="O68" s="470">
        <f t="shared" ref="O68:O73" si="69">E68-N68</f>
        <v>17150443.8719999</v>
      </c>
      <c r="P68" s="470">
        <f t="shared" ref="P68:P73" si="70">IF(O68&lt;300000,0.07*O68,21000)</f>
        <v>21000</v>
      </c>
      <c r="Q68" s="470">
        <f t="shared" ref="Q68:Q73" si="71">IF((O68-300000)&lt;0,0,IF((O68-300000)&lt;300000,0.11*(O68-300000),33000))</f>
        <v>33000</v>
      </c>
      <c r="R68" s="470">
        <f t="shared" ref="R68:R73" si="72">IF((O68-600000)&lt;0,0,IF((O68-600000)&lt;500000,0.15*(O68-600000),75000))</f>
        <v>75000</v>
      </c>
      <c r="S68" s="470">
        <f t="shared" ref="S68:S73" si="73">IF((O68-1100000)&lt;0,0,IF((O68-1100000)&lt;500000,0.19*(O68-1100000),95000))</f>
        <v>95000</v>
      </c>
      <c r="T68" s="470">
        <f t="shared" ref="T68:T73" si="74">IF((O68-1600000)&lt;0,0,IF((O68-1600000)&lt;1600000,0.21*(O68-1600000),336000))</f>
        <v>336000</v>
      </c>
      <c r="U68" s="470">
        <f t="shared" ref="U68:U71" si="75">24%*(O68-3200000)</f>
        <v>3348106.52927998</v>
      </c>
      <c r="V68" s="470">
        <f t="shared" ref="V68:V73" si="76">P68+Q68+R68+S68+T68+U68</f>
        <v>3908106.52927998</v>
      </c>
      <c r="W68" s="471">
        <v>12</v>
      </c>
      <c r="X68" s="470">
        <f t="shared" ref="X68:X73" si="77">V68/W68</f>
        <v>325675.544106665</v>
      </c>
      <c r="Y68" s="476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188</v>
      </c>
      <c r="C69" s="470">
        <v>882595.5</v>
      </c>
      <c r="D69" s="469">
        <v>12</v>
      </c>
      <c r="E69" s="470">
        <f t="shared" si="64"/>
        <v>10591146</v>
      </c>
      <c r="F69" s="470"/>
      <c r="G69" s="474">
        <v>693691.68</v>
      </c>
      <c r="H69" s="476"/>
      <c r="I69" s="470">
        <f t="shared" si="65"/>
        <v>9897454.32</v>
      </c>
      <c r="J69" s="470">
        <v>200000</v>
      </c>
      <c r="K69" s="470">
        <v>0.2</v>
      </c>
      <c r="L69" s="470">
        <f t="shared" si="66"/>
        <v>1979490.864</v>
      </c>
      <c r="M69" s="470">
        <f t="shared" si="67"/>
        <v>2179490.864</v>
      </c>
      <c r="N69" s="470">
        <f t="shared" si="68"/>
        <v>2873182.544</v>
      </c>
      <c r="O69" s="470">
        <f t="shared" si="69"/>
        <v>7717963.456</v>
      </c>
      <c r="P69" s="470">
        <f t="shared" si="70"/>
        <v>21000</v>
      </c>
      <c r="Q69" s="470">
        <f t="shared" si="71"/>
        <v>33000</v>
      </c>
      <c r="R69" s="470">
        <f t="shared" si="72"/>
        <v>75000</v>
      </c>
      <c r="S69" s="470">
        <f t="shared" si="73"/>
        <v>95000</v>
      </c>
      <c r="T69" s="470">
        <f t="shared" si="74"/>
        <v>336000</v>
      </c>
      <c r="U69" s="470">
        <f t="shared" si="75"/>
        <v>1084311.22944</v>
      </c>
      <c r="V69" s="470">
        <f t="shared" si="76"/>
        <v>1644311.22944</v>
      </c>
      <c r="W69" s="471">
        <v>12</v>
      </c>
      <c r="X69" s="470">
        <f t="shared" si="77"/>
        <v>137025.935786667</v>
      </c>
      <c r="Y69" s="476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190</v>
      </c>
      <c r="C70" s="470">
        <v>713911.083333334</v>
      </c>
      <c r="D70" s="469">
        <v>12</v>
      </c>
      <c r="E70" s="470">
        <f t="shared" si="64"/>
        <v>8566933.00000001</v>
      </c>
      <c r="F70" s="470">
        <v>107120</v>
      </c>
      <c r="G70" s="474">
        <v>550954.64</v>
      </c>
      <c r="H70" s="476"/>
      <c r="I70" s="470">
        <f t="shared" si="65"/>
        <v>7908858.36000001</v>
      </c>
      <c r="J70" s="470">
        <v>200000</v>
      </c>
      <c r="K70" s="470">
        <v>0.2</v>
      </c>
      <c r="L70" s="470">
        <f t="shared" si="66"/>
        <v>1581771.672</v>
      </c>
      <c r="M70" s="470">
        <f t="shared" si="67"/>
        <v>1781771.672</v>
      </c>
      <c r="N70" s="470">
        <f t="shared" si="68"/>
        <v>2439846.312</v>
      </c>
      <c r="O70" s="470">
        <f t="shared" si="69"/>
        <v>6127086.68800001</v>
      </c>
      <c r="P70" s="470">
        <f t="shared" si="70"/>
        <v>21000</v>
      </c>
      <c r="Q70" s="470">
        <f t="shared" si="71"/>
        <v>33000</v>
      </c>
      <c r="R70" s="470">
        <f t="shared" si="72"/>
        <v>75000</v>
      </c>
      <c r="S70" s="470">
        <f t="shared" si="73"/>
        <v>95000</v>
      </c>
      <c r="T70" s="470">
        <f t="shared" si="74"/>
        <v>336000</v>
      </c>
      <c r="U70" s="470">
        <f t="shared" si="75"/>
        <v>702500.805120001</v>
      </c>
      <c r="V70" s="470">
        <f t="shared" si="76"/>
        <v>1262500.80512</v>
      </c>
      <c r="W70" s="471">
        <v>12</v>
      </c>
      <c r="X70" s="470">
        <f t="shared" si="77"/>
        <v>105208.400426667</v>
      </c>
      <c r="Y70" s="476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197</v>
      </c>
      <c r="C71" s="470">
        <v>564993.583333333</v>
      </c>
      <c r="D71" s="469">
        <v>12</v>
      </c>
      <c r="E71" s="470">
        <f t="shared" si="64"/>
        <v>6779923</v>
      </c>
      <c r="F71" s="470"/>
      <c r="G71" s="474">
        <v>436793.839999999</v>
      </c>
      <c r="H71" s="476"/>
      <c r="I71" s="470">
        <f t="shared" si="65"/>
        <v>6343129.16</v>
      </c>
      <c r="J71" s="470">
        <v>200000</v>
      </c>
      <c r="K71" s="470">
        <v>0.2</v>
      </c>
      <c r="L71" s="470">
        <f t="shared" si="66"/>
        <v>1268625.832</v>
      </c>
      <c r="M71" s="470">
        <f t="shared" si="67"/>
        <v>1468625.832</v>
      </c>
      <c r="N71" s="470">
        <f t="shared" si="68"/>
        <v>1905419.672</v>
      </c>
      <c r="O71" s="470">
        <f t="shared" si="69"/>
        <v>4874503.328</v>
      </c>
      <c r="P71" s="470">
        <f t="shared" si="70"/>
        <v>21000</v>
      </c>
      <c r="Q71" s="470">
        <f t="shared" si="71"/>
        <v>33000</v>
      </c>
      <c r="R71" s="470">
        <f t="shared" si="72"/>
        <v>75000</v>
      </c>
      <c r="S71" s="470">
        <f t="shared" si="73"/>
        <v>95000</v>
      </c>
      <c r="T71" s="470">
        <f t="shared" si="74"/>
        <v>336000</v>
      </c>
      <c r="U71" s="470">
        <f t="shared" si="75"/>
        <v>401880.798719999</v>
      </c>
      <c r="V71" s="470">
        <f t="shared" si="76"/>
        <v>961880.798719999</v>
      </c>
      <c r="W71" s="471">
        <v>12</v>
      </c>
      <c r="X71" s="470">
        <f t="shared" si="77"/>
        <v>80156.7332266666</v>
      </c>
      <c r="Y71" s="476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201</v>
      </c>
      <c r="C72" s="470">
        <v>447016.166666666</v>
      </c>
      <c r="D72" s="469">
        <v>12</v>
      </c>
      <c r="E72" s="470">
        <f t="shared" si="64"/>
        <v>5364193.99999999</v>
      </c>
      <c r="F72" s="470"/>
      <c r="G72" s="474">
        <v>333135.52</v>
      </c>
      <c r="H72" s="476"/>
      <c r="I72" s="470">
        <f t="shared" si="65"/>
        <v>5031058.47999999</v>
      </c>
      <c r="J72" s="470">
        <v>200000</v>
      </c>
      <c r="K72" s="470">
        <v>0.2</v>
      </c>
      <c r="L72" s="470">
        <f t="shared" si="66"/>
        <v>1006211.696</v>
      </c>
      <c r="M72" s="470">
        <f t="shared" si="67"/>
        <v>1206211.696</v>
      </c>
      <c r="N72" s="470">
        <f t="shared" si="68"/>
        <v>1539347.216</v>
      </c>
      <c r="O72" s="470">
        <f t="shared" si="69"/>
        <v>3824846.78399999</v>
      </c>
      <c r="P72" s="470">
        <f t="shared" si="70"/>
        <v>21000</v>
      </c>
      <c r="Q72" s="470">
        <f t="shared" si="71"/>
        <v>33000</v>
      </c>
      <c r="R72" s="470">
        <f t="shared" si="72"/>
        <v>75000</v>
      </c>
      <c r="S72" s="470">
        <f t="shared" si="73"/>
        <v>95000</v>
      </c>
      <c r="T72" s="470">
        <f t="shared" si="74"/>
        <v>336000</v>
      </c>
      <c r="U72" s="470">
        <f>0.24*(O72-3200000)</f>
        <v>149963.228159998</v>
      </c>
      <c r="V72" s="470">
        <f t="shared" si="76"/>
        <v>709963.228159998</v>
      </c>
      <c r="W72" s="471">
        <v>12</v>
      </c>
      <c r="X72" s="470">
        <f t="shared" si="77"/>
        <v>59163.6023466665</v>
      </c>
      <c r="Y72" s="476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3"/>
      <c r="AD72" s="473"/>
      <c r="AE72" s="473"/>
    </row>
    <row r="73" ht="24.75" customHeight="1" spans="1:31">
      <c r="A73" s="467"/>
      <c r="B73" s="651" t="s">
        <v>203</v>
      </c>
      <c r="C73" s="470">
        <v>401910.75</v>
      </c>
      <c r="D73" s="469">
        <v>12</v>
      </c>
      <c r="E73" s="470">
        <f t="shared" si="64"/>
        <v>4822929</v>
      </c>
      <c r="F73" s="470"/>
      <c r="G73" s="474">
        <v>289834.32</v>
      </c>
      <c r="H73" s="476"/>
      <c r="I73" s="470">
        <f t="shared" si="65"/>
        <v>4533094.68</v>
      </c>
      <c r="J73" s="470">
        <v>200000</v>
      </c>
      <c r="K73" s="470">
        <v>0.2</v>
      </c>
      <c r="L73" s="470">
        <f t="shared" si="66"/>
        <v>906618.936</v>
      </c>
      <c r="M73" s="470">
        <f t="shared" si="67"/>
        <v>1106618.936</v>
      </c>
      <c r="N73" s="470">
        <f t="shared" si="68"/>
        <v>1396453.256</v>
      </c>
      <c r="O73" s="470">
        <f t="shared" si="69"/>
        <v>3426475.744</v>
      </c>
      <c r="P73" s="470">
        <f t="shared" si="70"/>
        <v>21000</v>
      </c>
      <c r="Q73" s="470">
        <f t="shared" si="71"/>
        <v>33000</v>
      </c>
      <c r="R73" s="470">
        <f t="shared" si="72"/>
        <v>75000</v>
      </c>
      <c r="S73" s="470">
        <f t="shared" si="73"/>
        <v>95000</v>
      </c>
      <c r="T73" s="470">
        <f t="shared" si="74"/>
        <v>336000</v>
      </c>
      <c r="U73" s="470">
        <f>0.24*(O73-3200000)</f>
        <v>54354.17856</v>
      </c>
      <c r="V73" s="470">
        <f t="shared" si="76"/>
        <v>614354.17856</v>
      </c>
      <c r="W73" s="471">
        <v>12</v>
      </c>
      <c r="X73" s="470">
        <f t="shared" si="77"/>
        <v>51196.1815466667</v>
      </c>
      <c r="Y73" s="476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205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206</v>
      </c>
      <c r="C76" s="470">
        <v>1847612</v>
      </c>
      <c r="D76" s="469">
        <v>12</v>
      </c>
      <c r="E76" s="470">
        <f t="shared" ref="E76:E85" si="80">C76*D76</f>
        <v>22171344</v>
      </c>
      <c r="F76" s="470">
        <v>307730.499999999</v>
      </c>
      <c r="G76" s="474">
        <v>1581707.52</v>
      </c>
      <c r="H76" s="476"/>
      <c r="I76" s="470">
        <f t="shared" ref="I76:I85" si="81">E76-F76-G76-H76</f>
        <v>20281905.98</v>
      </c>
      <c r="J76" s="470">
        <v>200000</v>
      </c>
      <c r="K76" s="470">
        <v>0.2</v>
      </c>
      <c r="L76" s="470">
        <f t="shared" ref="L76:L85" si="82">I76*K76</f>
        <v>4056381.196</v>
      </c>
      <c r="M76" s="470">
        <f t="shared" ref="M76:M85" si="83">J76+L76</f>
        <v>4256381.196</v>
      </c>
      <c r="N76" s="470">
        <f t="shared" ref="N76:N85" si="84">F76+G76+H76+M76</f>
        <v>6145819.216</v>
      </c>
      <c r="O76" s="470">
        <f t="shared" ref="O76:O85" si="85">E76-N76</f>
        <v>16025524.784</v>
      </c>
      <c r="P76" s="470">
        <f t="shared" ref="P76:P85" si="86">IF(O76&lt;300000,0.07*O76,21000)</f>
        <v>21000</v>
      </c>
      <c r="Q76" s="470">
        <f t="shared" ref="Q76:Q85" si="87">IF((O76-300000)&lt;0,0,IF((O76-300000)&lt;300000,0.11*(O76-300000),33000))</f>
        <v>33000</v>
      </c>
      <c r="R76" s="470">
        <f t="shared" ref="R76:R85" si="88">IF((O76-600000)&lt;0,0,IF((O76-600000)&lt;500000,0.15*(O76-600000),75000))</f>
        <v>75000</v>
      </c>
      <c r="S76" s="470">
        <f t="shared" ref="S76:S85" si="89">IF((O76-1100000)&lt;0,0,IF((O76-1100000)&lt;500000,0.19*(O76-1100000),95000))</f>
        <v>95000</v>
      </c>
      <c r="T76" s="470">
        <f t="shared" ref="T76:T85" si="90">IF((O76-1600000)&lt;0,0,IF((O76-1600000)&lt;1600000,0.21*(O76-1600000),336000))</f>
        <v>336000</v>
      </c>
      <c r="U76" s="470">
        <f t="shared" ref="U76:U85" si="91">24%*(O76-3200000)</f>
        <v>3078125.94816</v>
      </c>
      <c r="V76" s="470">
        <f t="shared" ref="V76:V85" si="92">P76+Q76+R76+S76+T76+U76</f>
        <v>3638125.94816</v>
      </c>
      <c r="W76" s="471">
        <v>12</v>
      </c>
      <c r="X76" s="470">
        <f t="shared" ref="X76:X85" si="93">V76/W76</f>
        <v>303177.162346667</v>
      </c>
      <c r="Y76" s="476"/>
      <c r="Z76" s="929">
        <f t="shared" ref="Z76:Z85" si="94">X76</f>
        <v>303177.162346667</v>
      </c>
      <c r="AA76" s="470">
        <v>251101.24</v>
      </c>
      <c r="AB76" s="806">
        <f t="shared" ref="AB76:AB85" si="95">Z76-AA76</f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208</v>
      </c>
      <c r="C77" s="470">
        <v>1232711.08333333</v>
      </c>
      <c r="D77" s="469">
        <v>12</v>
      </c>
      <c r="E77" s="470">
        <f t="shared" si="80"/>
        <v>14792533</v>
      </c>
      <c r="F77" s="470"/>
      <c r="G77" s="474">
        <v>818602.639999999</v>
      </c>
      <c r="H77" s="476"/>
      <c r="I77" s="470">
        <f t="shared" si="81"/>
        <v>13973930.36</v>
      </c>
      <c r="J77" s="470">
        <v>200000</v>
      </c>
      <c r="K77" s="470">
        <v>0.2</v>
      </c>
      <c r="L77" s="470">
        <f t="shared" si="82"/>
        <v>2794786.07199999</v>
      </c>
      <c r="M77" s="470">
        <f t="shared" si="83"/>
        <v>2994786.07199999</v>
      </c>
      <c r="N77" s="470">
        <f t="shared" si="84"/>
        <v>3813388.71199999</v>
      </c>
      <c r="O77" s="470">
        <f t="shared" si="85"/>
        <v>10979144.288</v>
      </c>
      <c r="P77" s="470">
        <f t="shared" si="86"/>
        <v>21000</v>
      </c>
      <c r="Q77" s="470">
        <f t="shared" si="87"/>
        <v>33000</v>
      </c>
      <c r="R77" s="470">
        <f t="shared" si="88"/>
        <v>75000</v>
      </c>
      <c r="S77" s="470">
        <f t="shared" si="89"/>
        <v>95000</v>
      </c>
      <c r="T77" s="470">
        <f t="shared" si="90"/>
        <v>336000</v>
      </c>
      <c r="U77" s="470">
        <f t="shared" si="91"/>
        <v>1866994.62911999</v>
      </c>
      <c r="V77" s="470">
        <f t="shared" si="92"/>
        <v>2426994.62911999</v>
      </c>
      <c r="W77" s="471">
        <v>12</v>
      </c>
      <c r="X77" s="470">
        <f t="shared" si="93"/>
        <v>202249.552426666</v>
      </c>
      <c r="Y77" s="476"/>
      <c r="Z77" s="929">
        <f t="shared" si="94"/>
        <v>202249.552426666</v>
      </c>
      <c r="AA77" s="470">
        <v>177751.03</v>
      </c>
      <c r="AB77" s="806">
        <f t="shared" si="95"/>
        <v>24498.522426666</v>
      </c>
      <c r="AC77" s="473"/>
      <c r="AD77" s="473"/>
      <c r="AE77" s="473"/>
    </row>
    <row r="78" ht="31" spans="1:31">
      <c r="A78" s="467">
        <v>70</v>
      </c>
      <c r="B78" s="651" t="s">
        <v>479</v>
      </c>
      <c r="C78" s="470">
        <v>882595.5</v>
      </c>
      <c r="D78" s="469">
        <v>12</v>
      </c>
      <c r="E78" s="470">
        <f t="shared" si="80"/>
        <v>10591146</v>
      </c>
      <c r="F78" s="470"/>
      <c r="G78" s="474">
        <v>693691.68</v>
      </c>
      <c r="H78" s="476"/>
      <c r="I78" s="470">
        <f t="shared" si="81"/>
        <v>9897454.32</v>
      </c>
      <c r="J78" s="470">
        <v>200000</v>
      </c>
      <c r="K78" s="470">
        <v>0.2</v>
      </c>
      <c r="L78" s="470">
        <f t="shared" si="82"/>
        <v>1979490.864</v>
      </c>
      <c r="M78" s="470">
        <f t="shared" si="83"/>
        <v>2179490.864</v>
      </c>
      <c r="N78" s="470">
        <f t="shared" si="84"/>
        <v>2873182.544</v>
      </c>
      <c r="O78" s="470">
        <f t="shared" si="85"/>
        <v>7717963.456</v>
      </c>
      <c r="P78" s="470">
        <f t="shared" si="86"/>
        <v>21000</v>
      </c>
      <c r="Q78" s="470">
        <f t="shared" si="87"/>
        <v>33000</v>
      </c>
      <c r="R78" s="470">
        <f t="shared" si="88"/>
        <v>75000</v>
      </c>
      <c r="S78" s="470">
        <f t="shared" si="89"/>
        <v>95000</v>
      </c>
      <c r="T78" s="470">
        <f t="shared" si="90"/>
        <v>336000</v>
      </c>
      <c r="U78" s="470">
        <f t="shared" si="91"/>
        <v>1084311.22944</v>
      </c>
      <c r="V78" s="470">
        <f t="shared" si="92"/>
        <v>1644311.22944</v>
      </c>
      <c r="W78" s="471">
        <v>12</v>
      </c>
      <c r="X78" s="470">
        <f t="shared" si="93"/>
        <v>137025.935786667</v>
      </c>
      <c r="Y78" s="476"/>
      <c r="Z78" s="929">
        <f t="shared" si="94"/>
        <v>137025.935786667</v>
      </c>
      <c r="AA78" s="470">
        <v>112212.004906667</v>
      </c>
      <c r="AB78" s="806">
        <f t="shared" si="95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211</v>
      </c>
      <c r="C79" s="470">
        <v>698165.25</v>
      </c>
      <c r="D79" s="469">
        <v>12</v>
      </c>
      <c r="E79" s="470">
        <f t="shared" si="80"/>
        <v>8377983</v>
      </c>
      <c r="F79" s="470"/>
      <c r="G79" s="474">
        <v>535838.64</v>
      </c>
      <c r="H79" s="476"/>
      <c r="I79" s="470">
        <f t="shared" si="81"/>
        <v>7842144.36</v>
      </c>
      <c r="J79" s="470">
        <v>200000</v>
      </c>
      <c r="K79" s="470">
        <v>0.2</v>
      </c>
      <c r="L79" s="470">
        <f t="shared" si="82"/>
        <v>1568428.872</v>
      </c>
      <c r="M79" s="470">
        <f t="shared" si="83"/>
        <v>1768428.872</v>
      </c>
      <c r="N79" s="470">
        <f t="shared" si="84"/>
        <v>2304267.512</v>
      </c>
      <c r="O79" s="470">
        <f t="shared" si="85"/>
        <v>6073715.488</v>
      </c>
      <c r="P79" s="470">
        <f t="shared" si="86"/>
        <v>21000</v>
      </c>
      <c r="Q79" s="470">
        <f t="shared" si="87"/>
        <v>33000</v>
      </c>
      <c r="R79" s="470">
        <f t="shared" si="88"/>
        <v>75000</v>
      </c>
      <c r="S79" s="470">
        <f t="shared" si="89"/>
        <v>95000</v>
      </c>
      <c r="T79" s="470">
        <f t="shared" si="90"/>
        <v>336000</v>
      </c>
      <c r="U79" s="470">
        <f t="shared" si="91"/>
        <v>689691.71712</v>
      </c>
      <c r="V79" s="470">
        <f t="shared" si="92"/>
        <v>1249691.71712</v>
      </c>
      <c r="W79" s="471">
        <v>12</v>
      </c>
      <c r="X79" s="470">
        <f t="shared" si="93"/>
        <v>104140.976426667</v>
      </c>
      <c r="Y79" s="476"/>
      <c r="Z79" s="929">
        <f t="shared" si="94"/>
        <v>104140.976426667</v>
      </c>
      <c r="AA79" s="470">
        <v>83767.87</v>
      </c>
      <c r="AB79" s="806">
        <f t="shared" si="95"/>
        <v>20373.1064266667</v>
      </c>
      <c r="AC79" s="473"/>
      <c r="AD79" s="473"/>
      <c r="AE79" s="473"/>
    </row>
    <row r="80" ht="15.5" spans="1:31">
      <c r="A80" s="467">
        <v>72</v>
      </c>
      <c r="B80" s="651" t="s">
        <v>212</v>
      </c>
      <c r="C80" s="470">
        <v>698166.25</v>
      </c>
      <c r="D80" s="469">
        <v>12</v>
      </c>
      <c r="E80" s="470">
        <f t="shared" si="80"/>
        <v>8377995</v>
      </c>
      <c r="F80" s="470">
        <v>104315.075</v>
      </c>
      <c r="G80" s="474">
        <v>535839.6</v>
      </c>
      <c r="H80" s="476"/>
      <c r="I80" s="470">
        <f t="shared" si="81"/>
        <v>7737840.325</v>
      </c>
      <c r="J80" s="470">
        <v>200000</v>
      </c>
      <c r="K80" s="470">
        <v>0.2</v>
      </c>
      <c r="L80" s="470">
        <f t="shared" si="82"/>
        <v>1547568.065</v>
      </c>
      <c r="M80" s="470">
        <f t="shared" si="83"/>
        <v>1747568.065</v>
      </c>
      <c r="N80" s="470">
        <f t="shared" si="84"/>
        <v>2387722.74</v>
      </c>
      <c r="O80" s="470">
        <f t="shared" si="85"/>
        <v>5990272.26</v>
      </c>
      <c r="P80" s="470">
        <f t="shared" si="86"/>
        <v>21000</v>
      </c>
      <c r="Q80" s="470">
        <f t="shared" si="87"/>
        <v>33000</v>
      </c>
      <c r="R80" s="470">
        <f t="shared" si="88"/>
        <v>75000</v>
      </c>
      <c r="S80" s="470">
        <f t="shared" si="89"/>
        <v>95000</v>
      </c>
      <c r="T80" s="470">
        <f t="shared" si="90"/>
        <v>336000</v>
      </c>
      <c r="U80" s="470">
        <f t="shared" si="91"/>
        <v>669665.3424</v>
      </c>
      <c r="V80" s="470">
        <f t="shared" si="92"/>
        <v>1229665.3424</v>
      </c>
      <c r="W80" s="471">
        <v>12</v>
      </c>
      <c r="X80" s="470">
        <f t="shared" si="93"/>
        <v>102472.111866667</v>
      </c>
      <c r="Y80" s="476"/>
      <c r="Z80" s="929">
        <f t="shared" si="94"/>
        <v>102472.111866667</v>
      </c>
      <c r="AA80" s="470">
        <v>83753.4084266666</v>
      </c>
      <c r="AB80" s="806">
        <f t="shared" si="95"/>
        <v>18718.7034400001</v>
      </c>
      <c r="AC80" s="473"/>
      <c r="AD80" s="473"/>
      <c r="AE80" s="473"/>
    </row>
    <row r="81" ht="31" spans="1:31">
      <c r="A81" s="467">
        <v>73</v>
      </c>
      <c r="B81" s="651" t="s">
        <v>213</v>
      </c>
      <c r="C81" s="470">
        <v>682419.5</v>
      </c>
      <c r="D81" s="469">
        <v>12</v>
      </c>
      <c r="E81" s="470">
        <f t="shared" si="80"/>
        <v>8189034</v>
      </c>
      <c r="F81" s="470"/>
      <c r="G81" s="474">
        <v>520722.72</v>
      </c>
      <c r="H81" s="476"/>
      <c r="I81" s="470">
        <f t="shared" si="81"/>
        <v>7668311.28</v>
      </c>
      <c r="J81" s="470">
        <v>200000</v>
      </c>
      <c r="K81" s="470">
        <v>0.2</v>
      </c>
      <c r="L81" s="470">
        <f t="shared" si="82"/>
        <v>1533662.256</v>
      </c>
      <c r="M81" s="470">
        <f t="shared" si="83"/>
        <v>1733662.256</v>
      </c>
      <c r="N81" s="470">
        <f t="shared" si="84"/>
        <v>2254384.976</v>
      </c>
      <c r="O81" s="470">
        <f t="shared" si="85"/>
        <v>5934649.024</v>
      </c>
      <c r="P81" s="470">
        <f t="shared" si="86"/>
        <v>21000</v>
      </c>
      <c r="Q81" s="470">
        <f t="shared" si="87"/>
        <v>33000</v>
      </c>
      <c r="R81" s="470">
        <f t="shared" si="88"/>
        <v>75000</v>
      </c>
      <c r="S81" s="470">
        <f t="shared" si="89"/>
        <v>95000</v>
      </c>
      <c r="T81" s="470">
        <f t="shared" si="90"/>
        <v>336000</v>
      </c>
      <c r="U81" s="470">
        <f t="shared" si="91"/>
        <v>656315.76576</v>
      </c>
      <c r="V81" s="470">
        <f t="shared" si="92"/>
        <v>1216315.76576</v>
      </c>
      <c r="W81" s="471">
        <v>12</v>
      </c>
      <c r="X81" s="470">
        <f t="shared" si="93"/>
        <v>101359.647146667</v>
      </c>
      <c r="Y81" s="476"/>
      <c r="Z81" s="929">
        <f t="shared" si="94"/>
        <v>101359.647146667</v>
      </c>
      <c r="AA81" s="470">
        <v>81302.3959466667</v>
      </c>
      <c r="AB81" s="806">
        <f t="shared" si="95"/>
        <v>20057.2512</v>
      </c>
      <c r="AC81" s="473"/>
      <c r="AD81" s="473"/>
      <c r="AE81" s="473"/>
    </row>
    <row r="82" ht="15.5" spans="1:31">
      <c r="A82" s="467">
        <v>74</v>
      </c>
      <c r="B82" s="651" t="s">
        <v>215</v>
      </c>
      <c r="C82" s="470">
        <v>578828.166666667</v>
      </c>
      <c r="D82" s="469">
        <v>12</v>
      </c>
      <c r="E82" s="470">
        <f t="shared" si="80"/>
        <v>6945938</v>
      </c>
      <c r="F82" s="470"/>
      <c r="G82" s="479">
        <v>450075.040000001</v>
      </c>
      <c r="H82" s="476"/>
      <c r="I82" s="470">
        <f t="shared" si="81"/>
        <v>6495862.96</v>
      </c>
      <c r="J82" s="470">
        <v>200000</v>
      </c>
      <c r="K82" s="470">
        <v>0.2</v>
      </c>
      <c r="L82" s="470">
        <f t="shared" si="82"/>
        <v>1299172.592</v>
      </c>
      <c r="M82" s="470">
        <f t="shared" si="83"/>
        <v>1499172.592</v>
      </c>
      <c r="N82" s="470">
        <f t="shared" si="84"/>
        <v>1949247.632</v>
      </c>
      <c r="O82" s="470">
        <f t="shared" si="85"/>
        <v>4996690.368</v>
      </c>
      <c r="P82" s="470">
        <f t="shared" si="86"/>
        <v>21000</v>
      </c>
      <c r="Q82" s="470">
        <f t="shared" si="87"/>
        <v>33000</v>
      </c>
      <c r="R82" s="470">
        <f t="shared" si="88"/>
        <v>75000</v>
      </c>
      <c r="S82" s="470">
        <f t="shared" si="89"/>
        <v>95000</v>
      </c>
      <c r="T82" s="470">
        <f t="shared" si="90"/>
        <v>336000</v>
      </c>
      <c r="U82" s="470">
        <f t="shared" si="91"/>
        <v>431205.688320001</v>
      </c>
      <c r="V82" s="470">
        <f t="shared" si="92"/>
        <v>991205.688320001</v>
      </c>
      <c r="W82" s="471">
        <v>12</v>
      </c>
      <c r="X82" s="470">
        <f t="shared" si="93"/>
        <v>82600.4740266667</v>
      </c>
      <c r="Y82" s="476"/>
      <c r="Z82" s="929">
        <f t="shared" si="94"/>
        <v>82600.4740266667</v>
      </c>
      <c r="AA82" s="470">
        <v>64384.5917866667</v>
      </c>
      <c r="AB82" s="806">
        <f t="shared" si="95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216</v>
      </c>
      <c r="C83" s="470">
        <v>617472.75</v>
      </c>
      <c r="D83" s="469">
        <v>12</v>
      </c>
      <c r="E83" s="470">
        <f t="shared" si="80"/>
        <v>7409673</v>
      </c>
      <c r="F83" s="470">
        <v>93501.975</v>
      </c>
      <c r="G83" s="474">
        <v>477573.84</v>
      </c>
      <c r="H83" s="476"/>
      <c r="I83" s="470">
        <f t="shared" si="81"/>
        <v>6838597.185</v>
      </c>
      <c r="J83" s="470">
        <v>200000</v>
      </c>
      <c r="K83" s="470">
        <v>0.2</v>
      </c>
      <c r="L83" s="470">
        <f t="shared" si="82"/>
        <v>1367719.437</v>
      </c>
      <c r="M83" s="470">
        <f t="shared" si="83"/>
        <v>1567719.437</v>
      </c>
      <c r="N83" s="470">
        <f t="shared" si="84"/>
        <v>2138795.252</v>
      </c>
      <c r="O83" s="470">
        <f t="shared" si="85"/>
        <v>5270877.748</v>
      </c>
      <c r="P83" s="470">
        <f t="shared" si="86"/>
        <v>21000</v>
      </c>
      <c r="Q83" s="470">
        <f t="shared" si="87"/>
        <v>33000</v>
      </c>
      <c r="R83" s="470">
        <f t="shared" si="88"/>
        <v>75000</v>
      </c>
      <c r="S83" s="470">
        <f t="shared" si="89"/>
        <v>95000</v>
      </c>
      <c r="T83" s="470">
        <f t="shared" si="90"/>
        <v>336000</v>
      </c>
      <c r="U83" s="470">
        <f t="shared" si="91"/>
        <v>497010.65952</v>
      </c>
      <c r="V83" s="470">
        <f t="shared" si="92"/>
        <v>1057010.65952</v>
      </c>
      <c r="W83" s="471">
        <v>12</v>
      </c>
      <c r="X83" s="470">
        <f t="shared" si="93"/>
        <v>88084.2216266667</v>
      </c>
      <c r="Y83" s="476"/>
      <c r="Z83" s="929">
        <f t="shared" si="94"/>
        <v>88084.2216266667</v>
      </c>
      <c r="AA83" s="470">
        <v>70529.4753546667</v>
      </c>
      <c r="AB83" s="806">
        <f t="shared" si="95"/>
        <v>17554.746272</v>
      </c>
      <c r="AC83" s="473"/>
      <c r="AD83" s="473"/>
      <c r="AE83" s="473"/>
    </row>
    <row r="84" ht="15.5" spans="1:31">
      <c r="A84" s="467">
        <v>76</v>
      </c>
      <c r="B84" s="651" t="s">
        <v>220</v>
      </c>
      <c r="C84" s="470">
        <v>490135.833333334</v>
      </c>
      <c r="D84" s="469">
        <v>12</v>
      </c>
      <c r="E84" s="470">
        <f t="shared" si="80"/>
        <v>5881630.00000001</v>
      </c>
      <c r="F84" s="470"/>
      <c r="G84" s="474">
        <v>374530.4</v>
      </c>
      <c r="H84" s="476"/>
      <c r="I84" s="470">
        <f t="shared" si="81"/>
        <v>5507099.60000001</v>
      </c>
      <c r="J84" s="470">
        <v>200000</v>
      </c>
      <c r="K84" s="470">
        <v>0.2</v>
      </c>
      <c r="L84" s="470">
        <f t="shared" si="82"/>
        <v>1101419.92</v>
      </c>
      <c r="M84" s="470">
        <f t="shared" si="83"/>
        <v>1301419.92</v>
      </c>
      <c r="N84" s="470">
        <f t="shared" si="84"/>
        <v>1675950.32</v>
      </c>
      <c r="O84" s="470">
        <f t="shared" si="85"/>
        <v>4205679.68000001</v>
      </c>
      <c r="P84" s="470">
        <f t="shared" si="86"/>
        <v>21000</v>
      </c>
      <c r="Q84" s="470">
        <f t="shared" si="87"/>
        <v>33000</v>
      </c>
      <c r="R84" s="470">
        <f t="shared" si="88"/>
        <v>75000</v>
      </c>
      <c r="S84" s="470">
        <f t="shared" si="89"/>
        <v>95000</v>
      </c>
      <c r="T84" s="470">
        <f t="shared" si="90"/>
        <v>336000</v>
      </c>
      <c r="U84" s="470">
        <f t="shared" si="91"/>
        <v>241363.123200002</v>
      </c>
      <c r="V84" s="470">
        <f t="shared" si="92"/>
        <v>801363.123200002</v>
      </c>
      <c r="W84" s="471">
        <v>12</v>
      </c>
      <c r="X84" s="470">
        <f t="shared" si="93"/>
        <v>66780.2602666668</v>
      </c>
      <c r="Y84" s="476"/>
      <c r="Z84" s="929">
        <f t="shared" si="94"/>
        <v>66780.2602666668</v>
      </c>
      <c r="AA84" s="470">
        <v>51029.2273066667</v>
      </c>
      <c r="AB84" s="806">
        <f t="shared" si="95"/>
        <v>15751.0329600001</v>
      </c>
      <c r="AC84" s="473"/>
      <c r="AD84" s="473"/>
      <c r="AE84" s="473"/>
    </row>
    <row r="85" ht="15.5" spans="1:31">
      <c r="A85" s="467"/>
      <c r="B85" s="651" t="s">
        <v>224</v>
      </c>
      <c r="C85" s="470">
        <v>408920.666666667</v>
      </c>
      <c r="D85" s="469">
        <v>12</v>
      </c>
      <c r="E85" s="470">
        <f t="shared" si="80"/>
        <v>4907048</v>
      </c>
      <c r="F85" s="470"/>
      <c r="G85" s="474">
        <v>296563.840000001</v>
      </c>
      <c r="H85" s="476"/>
      <c r="I85" s="470">
        <f t="shared" si="81"/>
        <v>4610484.16</v>
      </c>
      <c r="J85" s="470">
        <v>200000</v>
      </c>
      <c r="K85" s="470">
        <v>0.2</v>
      </c>
      <c r="L85" s="470">
        <f t="shared" si="82"/>
        <v>922096.832000001</v>
      </c>
      <c r="M85" s="470">
        <f t="shared" si="83"/>
        <v>1122096.832</v>
      </c>
      <c r="N85" s="470">
        <f t="shared" si="84"/>
        <v>1418660.672</v>
      </c>
      <c r="O85" s="470">
        <f t="shared" si="85"/>
        <v>3488387.328</v>
      </c>
      <c r="P85" s="470">
        <f t="shared" si="86"/>
        <v>21000</v>
      </c>
      <c r="Q85" s="470">
        <f t="shared" si="87"/>
        <v>33000</v>
      </c>
      <c r="R85" s="470">
        <f t="shared" si="88"/>
        <v>75000</v>
      </c>
      <c r="S85" s="470">
        <f t="shared" si="89"/>
        <v>95000</v>
      </c>
      <c r="T85" s="470">
        <f t="shared" si="90"/>
        <v>336000</v>
      </c>
      <c r="U85" s="470">
        <f t="shared" si="91"/>
        <v>69212.9587200005</v>
      </c>
      <c r="V85" s="470">
        <f t="shared" si="92"/>
        <v>629212.95872</v>
      </c>
      <c r="W85" s="471">
        <v>12</v>
      </c>
      <c r="X85" s="470">
        <f t="shared" si="93"/>
        <v>52434.4132266667</v>
      </c>
      <c r="Y85" s="476"/>
      <c r="Z85" s="929">
        <f t="shared" si="94"/>
        <v>52434.4132266667</v>
      </c>
      <c r="AA85" s="470">
        <v>39613.1357066667</v>
      </c>
      <c r="AB85" s="806">
        <f t="shared" si="95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226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227</v>
      </c>
      <c r="C89" s="470">
        <v>1797359.33333333</v>
      </c>
      <c r="D89" s="469">
        <v>12</v>
      </c>
      <c r="E89" s="470">
        <f t="shared" ref="E89:E93" si="96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7">E89-F89-G89-H89</f>
        <v>19621965.19</v>
      </c>
      <c r="J89" s="470">
        <v>200000</v>
      </c>
      <c r="K89" s="470">
        <v>0.2</v>
      </c>
      <c r="L89" s="470">
        <f t="shared" ref="L89:L93" si="98">I89*K89</f>
        <v>3924393.03799999</v>
      </c>
      <c r="M89" s="470">
        <f t="shared" ref="M89:M93" si="99">J89+L89</f>
        <v>4124393.03799999</v>
      </c>
      <c r="N89" s="470">
        <f t="shared" ref="N89:N93" si="100">F89+G89+H89+M89</f>
        <v>6070739.84799998</v>
      </c>
      <c r="O89" s="470">
        <f t="shared" ref="O89:O93" si="101">E89-N89</f>
        <v>15497572.152</v>
      </c>
      <c r="P89" s="470">
        <f t="shared" ref="P89:P93" si="102">IF(O89&lt;300000,0.07*O89,21000)</f>
        <v>21000</v>
      </c>
      <c r="Q89" s="470">
        <f t="shared" ref="Q89:Q93" si="103">IF((O89-300000)&lt;0,0,IF((O89-300000)&lt;300000,0.11*(O89-300000),33000))</f>
        <v>33000</v>
      </c>
      <c r="R89" s="470">
        <f t="shared" ref="R89:R93" si="104">IF((O89-600000)&lt;0,0,IF((O89-600000)&lt;500000,0.15*(O89-600000),75000))</f>
        <v>75000</v>
      </c>
      <c r="S89" s="470">
        <f t="shared" ref="S89:S93" si="105">IF((O89-1100000)&lt;0,0,IF((O89-1100000)&lt;500000,0.19*(O89-1100000),95000))</f>
        <v>95000</v>
      </c>
      <c r="T89" s="470">
        <f t="shared" ref="T89:T93" si="106">IF((O89-1600000)&lt;0,0,IF((O89-1600000)&lt;1600000,0.21*(O89-1600000),336000))</f>
        <v>336000</v>
      </c>
      <c r="U89" s="470">
        <f t="shared" ref="U89:U93" si="107">24%*(O89-3200000)</f>
        <v>2951417.31647999</v>
      </c>
      <c r="V89" s="470">
        <f t="shared" ref="V89:V93" si="108">P89+Q89+R89+S89+T89+U89</f>
        <v>3511417.31647999</v>
      </c>
      <c r="W89" s="471">
        <v>12</v>
      </c>
      <c r="X89" s="470">
        <f t="shared" ref="X89:X93" si="109">V89/W89</f>
        <v>292618.109706666</v>
      </c>
      <c r="Y89" s="476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3"/>
      <c r="AD89" s="473"/>
      <c r="AE89" s="473"/>
    </row>
    <row r="90" ht="18" spans="1:31">
      <c r="A90" s="467">
        <v>80</v>
      </c>
      <c r="B90" s="651" t="s">
        <v>229</v>
      </c>
      <c r="C90" s="937">
        <v>870286.75</v>
      </c>
      <c r="D90" s="469">
        <v>12</v>
      </c>
      <c r="E90" s="470">
        <f t="shared" si="96"/>
        <v>10443441</v>
      </c>
      <c r="F90" s="470"/>
      <c r="G90" s="474">
        <v>550954.64</v>
      </c>
      <c r="H90" s="476"/>
      <c r="I90" s="470">
        <f t="shared" si="97"/>
        <v>9892486.36</v>
      </c>
      <c r="J90" s="470">
        <v>200000</v>
      </c>
      <c r="K90" s="470">
        <v>0.2</v>
      </c>
      <c r="L90" s="470">
        <f t="shared" si="98"/>
        <v>1978497.272</v>
      </c>
      <c r="M90" s="470">
        <f t="shared" si="99"/>
        <v>2178497.272</v>
      </c>
      <c r="N90" s="470">
        <f t="shared" si="100"/>
        <v>2729451.912</v>
      </c>
      <c r="O90" s="470">
        <f t="shared" si="101"/>
        <v>7713989.088</v>
      </c>
      <c r="P90" s="470">
        <f t="shared" si="102"/>
        <v>21000</v>
      </c>
      <c r="Q90" s="470">
        <f t="shared" si="103"/>
        <v>33000</v>
      </c>
      <c r="R90" s="470">
        <f t="shared" si="104"/>
        <v>75000</v>
      </c>
      <c r="S90" s="470">
        <f t="shared" si="105"/>
        <v>95000</v>
      </c>
      <c r="T90" s="470">
        <f t="shared" si="106"/>
        <v>336000</v>
      </c>
      <c r="U90" s="470">
        <f t="shared" si="107"/>
        <v>1083357.38112</v>
      </c>
      <c r="V90" s="470">
        <f t="shared" si="108"/>
        <v>1643357.38112</v>
      </c>
      <c r="W90" s="471">
        <v>12</v>
      </c>
      <c r="X90" s="470">
        <f t="shared" si="109"/>
        <v>136946.448426667</v>
      </c>
      <c r="Y90" s="476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3"/>
      <c r="AD90" s="473"/>
      <c r="AE90" s="473"/>
    </row>
    <row r="91" ht="15.5" spans="1:31">
      <c r="A91" s="467">
        <v>81</v>
      </c>
      <c r="B91" s="651" t="s">
        <v>231</v>
      </c>
      <c r="C91" s="470">
        <v>567472.75</v>
      </c>
      <c r="D91" s="469">
        <v>12</v>
      </c>
      <c r="E91" s="470">
        <f t="shared" si="96"/>
        <v>6809673</v>
      </c>
      <c r="F91" s="470">
        <v>93501.975</v>
      </c>
      <c r="G91" s="474">
        <v>477573.84</v>
      </c>
      <c r="H91" s="476"/>
      <c r="I91" s="470">
        <f t="shared" si="97"/>
        <v>6238597.185</v>
      </c>
      <c r="J91" s="470">
        <v>200000</v>
      </c>
      <c r="K91" s="470">
        <v>0.2</v>
      </c>
      <c r="L91" s="470">
        <f t="shared" si="98"/>
        <v>1247719.437</v>
      </c>
      <c r="M91" s="470">
        <f t="shared" si="99"/>
        <v>1447719.437</v>
      </c>
      <c r="N91" s="470">
        <f t="shared" si="100"/>
        <v>2018795.252</v>
      </c>
      <c r="O91" s="470">
        <f t="shared" si="101"/>
        <v>4790877.748</v>
      </c>
      <c r="P91" s="470">
        <f t="shared" si="102"/>
        <v>21000</v>
      </c>
      <c r="Q91" s="470">
        <f t="shared" si="103"/>
        <v>33000</v>
      </c>
      <c r="R91" s="470">
        <f t="shared" si="104"/>
        <v>75000</v>
      </c>
      <c r="S91" s="470">
        <f t="shared" si="105"/>
        <v>95000</v>
      </c>
      <c r="T91" s="470">
        <f t="shared" si="106"/>
        <v>336000</v>
      </c>
      <c r="U91" s="470">
        <f t="shared" si="107"/>
        <v>381810.65952</v>
      </c>
      <c r="V91" s="470">
        <f t="shared" si="108"/>
        <v>941810.65952</v>
      </c>
      <c r="W91" s="471">
        <v>12</v>
      </c>
      <c r="X91" s="470">
        <f t="shared" si="109"/>
        <v>78484.2216266667</v>
      </c>
      <c r="Y91" s="476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3"/>
      <c r="AD91" s="473"/>
      <c r="AE91" s="473"/>
    </row>
    <row r="92" ht="15.5" spans="1:31">
      <c r="A92" s="467"/>
      <c r="B92" s="651" t="s">
        <v>235</v>
      </c>
      <c r="C92" s="470">
        <v>580770.22580645</v>
      </c>
      <c r="D92" s="469">
        <v>12</v>
      </c>
      <c r="E92" s="470">
        <f t="shared" si="96"/>
        <v>6969242.7096774</v>
      </c>
      <c r="F92" s="470"/>
      <c r="G92" s="474">
        <v>463356.160000001</v>
      </c>
      <c r="H92" s="476"/>
      <c r="I92" s="470">
        <f t="shared" si="97"/>
        <v>6505886.5496774</v>
      </c>
      <c r="J92" s="470">
        <v>200000</v>
      </c>
      <c r="K92" s="470">
        <v>0.2</v>
      </c>
      <c r="L92" s="470">
        <f t="shared" si="98"/>
        <v>1301177.30993548</v>
      </c>
      <c r="M92" s="470">
        <f t="shared" si="99"/>
        <v>1501177.30993548</v>
      </c>
      <c r="N92" s="470">
        <f t="shared" si="100"/>
        <v>1964533.46993548</v>
      </c>
      <c r="O92" s="470">
        <f t="shared" si="101"/>
        <v>5004709.23974192</v>
      </c>
      <c r="P92" s="470">
        <f t="shared" si="102"/>
        <v>21000</v>
      </c>
      <c r="Q92" s="470">
        <f t="shared" si="103"/>
        <v>33000</v>
      </c>
      <c r="R92" s="470">
        <f t="shared" si="104"/>
        <v>75000</v>
      </c>
      <c r="S92" s="470">
        <f t="shared" si="105"/>
        <v>95000</v>
      </c>
      <c r="T92" s="470">
        <f t="shared" si="106"/>
        <v>336000</v>
      </c>
      <c r="U92" s="470">
        <f t="shared" si="107"/>
        <v>433130.217538061</v>
      </c>
      <c r="V92" s="470">
        <f t="shared" si="108"/>
        <v>993130.217538061</v>
      </c>
      <c r="W92" s="471">
        <v>12</v>
      </c>
      <c r="X92" s="470">
        <f t="shared" si="109"/>
        <v>82760.8514615051</v>
      </c>
      <c r="Y92" s="476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3"/>
      <c r="AD92" s="473"/>
      <c r="AE92" s="473"/>
    </row>
    <row r="93" ht="15.5" spans="1:31">
      <c r="A93" s="467"/>
      <c r="B93" s="651" t="s">
        <v>236</v>
      </c>
      <c r="C93" s="470">
        <v>450135.833333334</v>
      </c>
      <c r="D93" s="469">
        <v>12</v>
      </c>
      <c r="E93" s="470">
        <f t="shared" si="96"/>
        <v>5401630.00000001</v>
      </c>
      <c r="F93" s="470"/>
      <c r="G93" s="474">
        <v>374530.4</v>
      </c>
      <c r="H93" s="476"/>
      <c r="I93" s="470">
        <f t="shared" si="97"/>
        <v>5027099.60000001</v>
      </c>
      <c r="J93" s="470">
        <v>200000</v>
      </c>
      <c r="K93" s="470">
        <v>0.2</v>
      </c>
      <c r="L93" s="470">
        <f t="shared" si="98"/>
        <v>1005419.92</v>
      </c>
      <c r="M93" s="470">
        <f t="shared" si="99"/>
        <v>1205419.92</v>
      </c>
      <c r="N93" s="470">
        <f t="shared" si="100"/>
        <v>1579950.32</v>
      </c>
      <c r="O93" s="470">
        <f t="shared" si="101"/>
        <v>3821679.68000001</v>
      </c>
      <c r="P93" s="470">
        <f t="shared" si="102"/>
        <v>21000</v>
      </c>
      <c r="Q93" s="470">
        <f t="shared" si="103"/>
        <v>33000</v>
      </c>
      <c r="R93" s="470">
        <f t="shared" si="104"/>
        <v>75000</v>
      </c>
      <c r="S93" s="470">
        <f t="shared" si="105"/>
        <v>95000</v>
      </c>
      <c r="T93" s="470">
        <f t="shared" si="106"/>
        <v>336000</v>
      </c>
      <c r="U93" s="470">
        <f t="shared" si="107"/>
        <v>149203.123200002</v>
      </c>
      <c r="V93" s="470">
        <f t="shared" si="108"/>
        <v>709203.123200002</v>
      </c>
      <c r="W93" s="471">
        <v>12</v>
      </c>
      <c r="X93" s="470">
        <f t="shared" si="109"/>
        <v>59100.2602666668</v>
      </c>
      <c r="Y93" s="476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239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652</v>
      </c>
      <c r="C96" s="470">
        <v>1947106.41666666</v>
      </c>
      <c r="D96" s="469">
        <v>12</v>
      </c>
      <c r="E96" s="470">
        <f t="shared" ref="E96:E102" si="112">C96*D96</f>
        <v>23365276.9999999</v>
      </c>
      <c r="F96" s="470"/>
      <c r="G96" s="474">
        <v>1677222.16</v>
      </c>
      <c r="H96" s="476"/>
      <c r="I96" s="470">
        <f t="shared" ref="I96:I102" si="113">E96-F96-G96-H96</f>
        <v>21688054.8399999</v>
      </c>
      <c r="J96" s="470">
        <v>200000</v>
      </c>
      <c r="K96" s="470">
        <v>0.2</v>
      </c>
      <c r="L96" s="470">
        <f t="shared" ref="L96:L102" si="114">I96*K96</f>
        <v>4337610.96799998</v>
      </c>
      <c r="M96" s="470">
        <f t="shared" ref="M96:M102" si="115">J96+L96</f>
        <v>4537610.96799998</v>
      </c>
      <c r="N96" s="470">
        <f t="shared" ref="N96:N102" si="116">F96+G96+H96+M96</f>
        <v>6214833.12799998</v>
      </c>
      <c r="O96" s="470">
        <f t="shared" ref="O96:O102" si="117">E96-N96</f>
        <v>17150443.8719999</v>
      </c>
      <c r="P96" s="470">
        <f t="shared" ref="P96:P102" si="118">IF(O96&lt;300000,0.07*O96,21000)</f>
        <v>21000</v>
      </c>
      <c r="Q96" s="470">
        <f t="shared" ref="Q96:Q102" si="119">IF((O96-300000)&lt;0,0,IF((O96-300000)&lt;300000,0.11*(O96-300000),33000))</f>
        <v>33000</v>
      </c>
      <c r="R96" s="470">
        <f t="shared" ref="R96:R102" si="120">IF((O96-600000)&lt;0,0,IF((O96-600000)&lt;500000,0.15*(O96-600000),75000))</f>
        <v>75000</v>
      </c>
      <c r="S96" s="470">
        <f t="shared" ref="S96:S102" si="121">IF((O96-1100000)&lt;0,0,IF((O96-1100000)&lt;500000,0.19*(O96-1100000),95000))</f>
        <v>95000</v>
      </c>
      <c r="T96" s="470">
        <f t="shared" ref="T96:T102" si="122">IF((O96-1600000)&lt;0,0,IF((O96-1600000)&lt;1600000,0.21*(O96-1600000),336000))</f>
        <v>336000</v>
      </c>
      <c r="U96" s="470">
        <f t="shared" ref="U96:U98" si="123">24%*(O96-3200000)</f>
        <v>3348106.52927998</v>
      </c>
      <c r="V96" s="470">
        <f t="shared" ref="V96:V102" si="124">P96+Q96+R96+S96+T96+U96</f>
        <v>3908106.52927998</v>
      </c>
      <c r="W96" s="471">
        <v>12</v>
      </c>
      <c r="X96" s="470">
        <f t="shared" ref="X96:X102" si="125">V96/W96</f>
        <v>325675.544106665</v>
      </c>
      <c r="Y96" s="476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242</v>
      </c>
      <c r="C97" s="470">
        <v>1085306.75</v>
      </c>
      <c r="D97" s="469">
        <v>12</v>
      </c>
      <c r="E97" s="470">
        <f t="shared" si="112"/>
        <v>13023681</v>
      </c>
      <c r="F97" s="470">
        <v>166400.85</v>
      </c>
      <c r="G97" s="474">
        <v>869094.48</v>
      </c>
      <c r="H97" s="476"/>
      <c r="I97" s="470">
        <f t="shared" si="113"/>
        <v>11988185.67</v>
      </c>
      <c r="J97" s="470">
        <v>200000</v>
      </c>
      <c r="K97" s="470">
        <v>0.2</v>
      </c>
      <c r="L97" s="470">
        <f t="shared" si="114"/>
        <v>2397637.134</v>
      </c>
      <c r="M97" s="470">
        <f t="shared" si="115"/>
        <v>2597637.134</v>
      </c>
      <c r="N97" s="470">
        <f t="shared" si="116"/>
        <v>3633132.464</v>
      </c>
      <c r="O97" s="470">
        <f t="shared" si="117"/>
        <v>9390548.536</v>
      </c>
      <c r="P97" s="470">
        <f t="shared" si="118"/>
        <v>21000</v>
      </c>
      <c r="Q97" s="470">
        <f t="shared" si="119"/>
        <v>33000</v>
      </c>
      <c r="R97" s="470">
        <f t="shared" si="120"/>
        <v>75000</v>
      </c>
      <c r="S97" s="470">
        <f t="shared" si="121"/>
        <v>95000</v>
      </c>
      <c r="T97" s="470">
        <f t="shared" si="122"/>
        <v>336000</v>
      </c>
      <c r="U97" s="470">
        <f t="shared" si="123"/>
        <v>1485731.64864</v>
      </c>
      <c r="V97" s="470">
        <f t="shared" si="124"/>
        <v>2045731.64864</v>
      </c>
      <c r="W97" s="471">
        <v>12</v>
      </c>
      <c r="X97" s="470">
        <f t="shared" si="125"/>
        <v>170477.637386667</v>
      </c>
      <c r="Y97" s="476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244</v>
      </c>
      <c r="C98" s="470">
        <v>742085.645</v>
      </c>
      <c r="D98" s="469">
        <v>12</v>
      </c>
      <c r="E98" s="470">
        <f t="shared" si="112"/>
        <v>8905027.74</v>
      </c>
      <c r="F98" s="470">
        <v>101319.25</v>
      </c>
      <c r="G98" s="474">
        <v>519697.279999999</v>
      </c>
      <c r="H98" s="476"/>
      <c r="I98" s="470">
        <f t="shared" si="113"/>
        <v>8284011.21</v>
      </c>
      <c r="J98" s="470">
        <v>200000</v>
      </c>
      <c r="K98" s="470">
        <v>0.2</v>
      </c>
      <c r="L98" s="470">
        <f t="shared" si="114"/>
        <v>1656802.242</v>
      </c>
      <c r="M98" s="470">
        <f t="shared" si="115"/>
        <v>1856802.242</v>
      </c>
      <c r="N98" s="470">
        <f t="shared" si="116"/>
        <v>2477818.772</v>
      </c>
      <c r="O98" s="470">
        <f t="shared" si="117"/>
        <v>6427208.968</v>
      </c>
      <c r="P98" s="470">
        <f t="shared" si="118"/>
        <v>21000</v>
      </c>
      <c r="Q98" s="470">
        <f t="shared" si="119"/>
        <v>33000</v>
      </c>
      <c r="R98" s="470">
        <f t="shared" si="120"/>
        <v>75000</v>
      </c>
      <c r="S98" s="470">
        <f t="shared" si="121"/>
        <v>95000</v>
      </c>
      <c r="T98" s="470">
        <f t="shared" si="122"/>
        <v>336000</v>
      </c>
      <c r="U98" s="470">
        <f t="shared" si="123"/>
        <v>774530.15232</v>
      </c>
      <c r="V98" s="470">
        <f t="shared" si="124"/>
        <v>1334530.15232</v>
      </c>
      <c r="W98" s="471">
        <v>12</v>
      </c>
      <c r="X98" s="470">
        <f t="shared" si="125"/>
        <v>111210.846026667</v>
      </c>
      <c r="Y98" s="476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3"/>
      <c r="AD98" s="473"/>
      <c r="AE98" s="473"/>
    </row>
    <row r="99" ht="15.5" spans="1:31">
      <c r="A99" s="467">
        <v>88</v>
      </c>
      <c r="B99" s="651" t="s">
        <v>246</v>
      </c>
      <c r="C99" s="470">
        <v>742085.645</v>
      </c>
      <c r="D99" s="469">
        <v>12</v>
      </c>
      <c r="E99" s="470">
        <f t="shared" si="112"/>
        <v>8905027.74</v>
      </c>
      <c r="F99" s="470"/>
      <c r="G99" s="474">
        <v>519697.279999999</v>
      </c>
      <c r="H99" s="476"/>
      <c r="I99" s="470">
        <f t="shared" si="113"/>
        <v>8385330.46</v>
      </c>
      <c r="J99" s="470">
        <v>200000</v>
      </c>
      <c r="K99" s="470">
        <v>0.2</v>
      </c>
      <c r="L99" s="470">
        <f t="shared" si="114"/>
        <v>1677066.092</v>
      </c>
      <c r="M99" s="470">
        <f t="shared" si="115"/>
        <v>1877066.092</v>
      </c>
      <c r="N99" s="470">
        <f t="shared" si="116"/>
        <v>2396763.372</v>
      </c>
      <c r="O99" s="470">
        <f t="shared" si="117"/>
        <v>6508264.368</v>
      </c>
      <c r="P99" s="470">
        <f t="shared" si="118"/>
        <v>21000</v>
      </c>
      <c r="Q99" s="470">
        <f t="shared" si="119"/>
        <v>33000</v>
      </c>
      <c r="R99" s="470">
        <f t="shared" si="120"/>
        <v>75000</v>
      </c>
      <c r="S99" s="470">
        <f t="shared" si="121"/>
        <v>95000</v>
      </c>
      <c r="T99" s="470">
        <f t="shared" si="122"/>
        <v>336000</v>
      </c>
      <c r="U99" s="470">
        <f t="shared" ref="U99:U102" si="128">0.24*(O99-3200000)</f>
        <v>793983.44832</v>
      </c>
      <c r="V99" s="470">
        <f t="shared" si="124"/>
        <v>1353983.44832</v>
      </c>
      <c r="W99" s="471">
        <v>12</v>
      </c>
      <c r="X99" s="470">
        <f t="shared" si="125"/>
        <v>112831.954026667</v>
      </c>
      <c r="Y99" s="476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3"/>
      <c r="AD99" s="473"/>
      <c r="AE99" s="473"/>
    </row>
    <row r="100" ht="15.5" spans="1:31">
      <c r="A100" s="467">
        <v>89</v>
      </c>
      <c r="B100" s="651" t="s">
        <v>249</v>
      </c>
      <c r="C100" s="470">
        <v>466244.9625</v>
      </c>
      <c r="D100" s="469">
        <v>12</v>
      </c>
      <c r="E100" s="470">
        <f t="shared" si="112"/>
        <v>5594939.55</v>
      </c>
      <c r="F100" s="470"/>
      <c r="G100" s="474">
        <v>316752.400000001</v>
      </c>
      <c r="H100" s="476"/>
      <c r="I100" s="470">
        <f t="shared" si="113"/>
        <v>5278187.15</v>
      </c>
      <c r="J100" s="470">
        <v>200000</v>
      </c>
      <c r="K100" s="470">
        <v>0.2</v>
      </c>
      <c r="L100" s="470">
        <f t="shared" si="114"/>
        <v>1055637.43</v>
      </c>
      <c r="M100" s="470">
        <f t="shared" si="115"/>
        <v>1255637.43</v>
      </c>
      <c r="N100" s="470">
        <f t="shared" si="116"/>
        <v>1572389.83</v>
      </c>
      <c r="O100" s="470">
        <f t="shared" si="117"/>
        <v>4022549.72</v>
      </c>
      <c r="P100" s="470">
        <f t="shared" si="118"/>
        <v>21000</v>
      </c>
      <c r="Q100" s="470">
        <f t="shared" si="119"/>
        <v>33000</v>
      </c>
      <c r="R100" s="470">
        <f t="shared" si="120"/>
        <v>75000</v>
      </c>
      <c r="S100" s="470">
        <f t="shared" si="121"/>
        <v>95000</v>
      </c>
      <c r="T100" s="470">
        <f t="shared" si="122"/>
        <v>336000</v>
      </c>
      <c r="U100" s="470">
        <f t="shared" si="128"/>
        <v>197411.9328</v>
      </c>
      <c r="V100" s="470">
        <f t="shared" si="124"/>
        <v>757411.9328</v>
      </c>
      <c r="W100" s="471">
        <v>12</v>
      </c>
      <c r="X100" s="470">
        <f t="shared" si="125"/>
        <v>63117.6610666667</v>
      </c>
      <c r="Y100" s="476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3"/>
      <c r="AD100" s="473"/>
      <c r="AE100" s="473"/>
    </row>
    <row r="101" ht="31" spans="1:31">
      <c r="A101" s="467"/>
      <c r="B101" s="351" t="s">
        <v>252</v>
      </c>
      <c r="C101" s="470">
        <v>466751.8625</v>
      </c>
      <c r="D101" s="469">
        <v>12</v>
      </c>
      <c r="E101" s="470">
        <f t="shared" si="112"/>
        <v>5601022.35</v>
      </c>
      <c r="F101" s="470"/>
      <c r="G101" s="474">
        <v>317190.799999999</v>
      </c>
      <c r="H101" s="476"/>
      <c r="I101" s="470">
        <f t="shared" si="113"/>
        <v>5283831.55</v>
      </c>
      <c r="J101" s="470">
        <v>200000</v>
      </c>
      <c r="K101" s="470">
        <v>0.2</v>
      </c>
      <c r="L101" s="470">
        <f t="shared" si="114"/>
        <v>1056766.31</v>
      </c>
      <c r="M101" s="470">
        <f t="shared" si="115"/>
        <v>1256766.31</v>
      </c>
      <c r="N101" s="470">
        <f t="shared" si="116"/>
        <v>1573957.11</v>
      </c>
      <c r="O101" s="470">
        <f t="shared" si="117"/>
        <v>4027065.24</v>
      </c>
      <c r="P101" s="470">
        <f t="shared" si="118"/>
        <v>21000</v>
      </c>
      <c r="Q101" s="470">
        <f t="shared" si="119"/>
        <v>33000</v>
      </c>
      <c r="R101" s="470">
        <f t="shared" si="120"/>
        <v>75000</v>
      </c>
      <c r="S101" s="470">
        <f t="shared" si="121"/>
        <v>95000</v>
      </c>
      <c r="T101" s="470">
        <f t="shared" si="122"/>
        <v>336000</v>
      </c>
      <c r="U101" s="470">
        <f t="shared" si="128"/>
        <v>198495.6576</v>
      </c>
      <c r="V101" s="470">
        <f t="shared" si="124"/>
        <v>758495.6576</v>
      </c>
      <c r="W101" s="471">
        <v>12</v>
      </c>
      <c r="X101" s="470">
        <f t="shared" si="125"/>
        <v>63207.9714666667</v>
      </c>
      <c r="Y101" s="476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3"/>
      <c r="AD101" s="473"/>
      <c r="AE101" s="473"/>
    </row>
    <row r="102" ht="15.5" spans="1:31">
      <c r="A102" s="467"/>
      <c r="B102" s="351" t="s">
        <v>253</v>
      </c>
      <c r="C102" s="470">
        <v>442901.94</v>
      </c>
      <c r="D102" s="469">
        <v>12</v>
      </c>
      <c r="E102" s="470">
        <f t="shared" si="112"/>
        <v>5314823.28</v>
      </c>
      <c r="G102" s="474">
        <v>296563.840000001</v>
      </c>
      <c r="H102" s="476"/>
      <c r="I102" s="470">
        <f t="shared" si="113"/>
        <v>5018259.44</v>
      </c>
      <c r="J102" s="470">
        <v>200000</v>
      </c>
      <c r="K102" s="470">
        <v>0.2</v>
      </c>
      <c r="L102" s="470">
        <f t="shared" si="114"/>
        <v>1003651.888</v>
      </c>
      <c r="M102" s="470">
        <f t="shared" si="115"/>
        <v>1203651.888</v>
      </c>
      <c r="N102" s="470">
        <f t="shared" si="116"/>
        <v>1500215.728</v>
      </c>
      <c r="O102" s="470">
        <f t="shared" si="117"/>
        <v>3814607.552</v>
      </c>
      <c r="P102" s="470">
        <f t="shared" si="118"/>
        <v>21000</v>
      </c>
      <c r="Q102" s="470">
        <f t="shared" si="119"/>
        <v>33000</v>
      </c>
      <c r="R102" s="470">
        <f t="shared" si="120"/>
        <v>75000</v>
      </c>
      <c r="S102" s="470">
        <f t="shared" si="121"/>
        <v>95000</v>
      </c>
      <c r="T102" s="470">
        <f t="shared" si="122"/>
        <v>336000</v>
      </c>
      <c r="U102" s="470">
        <f t="shared" si="128"/>
        <v>147505.81248</v>
      </c>
      <c r="V102" s="470">
        <f t="shared" si="124"/>
        <v>707505.81248</v>
      </c>
      <c r="W102" s="471">
        <v>12</v>
      </c>
      <c r="X102" s="470">
        <f t="shared" si="125"/>
        <v>58958.8177066667</v>
      </c>
      <c r="Y102" s="476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257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259</v>
      </c>
      <c r="C105" s="470">
        <v>592662.666666667</v>
      </c>
      <c r="D105" s="469">
        <v>12</v>
      </c>
      <c r="E105" s="470">
        <f t="shared" ref="E105:E107" si="129">C105*D105</f>
        <v>7111952</v>
      </c>
      <c r="F105" s="470"/>
      <c r="G105" s="474">
        <v>463356.160000001</v>
      </c>
      <c r="H105" s="476"/>
      <c r="I105" s="470">
        <f t="shared" ref="I105:I107" si="130">E105-F105-G105-H105</f>
        <v>6648595.84</v>
      </c>
      <c r="J105" s="470">
        <v>200000</v>
      </c>
      <c r="K105" s="470">
        <v>0.2</v>
      </c>
      <c r="L105" s="470">
        <f t="shared" ref="L105:L107" si="131">I105*K105</f>
        <v>1329719.168</v>
      </c>
      <c r="M105" s="470">
        <f t="shared" ref="M105:M107" si="132">J105+L105</f>
        <v>1529719.168</v>
      </c>
      <c r="N105" s="470">
        <f t="shared" ref="N105:N107" si="133">F105+G105+H105+M105</f>
        <v>1993075.328</v>
      </c>
      <c r="O105" s="470">
        <f t="shared" ref="O105:O107" si="134">E105-N105</f>
        <v>5118876.672</v>
      </c>
      <c r="P105" s="470">
        <f t="shared" ref="P105:P107" si="135">IF(O105&lt;300000,0.07*O105,21000)</f>
        <v>21000</v>
      </c>
      <c r="Q105" s="470">
        <f t="shared" ref="Q105:Q107" si="136">IF((O105-300000)&lt;0,0,IF((O105-300000)&lt;300000,0.11*(O105-300000),33000))</f>
        <v>33000</v>
      </c>
      <c r="R105" s="470">
        <f t="shared" ref="R105:R107" si="137">IF((O105-600000)&lt;0,0,IF((O105-600000)&lt;500000,0.15*(O105-600000),75000))</f>
        <v>75000</v>
      </c>
      <c r="S105" s="470">
        <f t="shared" ref="S105:S107" si="138">IF((O105-1100000)&lt;0,0,IF((O105-1100000)&lt;500000,0.19*(O105-1100000),95000))</f>
        <v>95000</v>
      </c>
      <c r="T105" s="470">
        <f t="shared" ref="T105:T107" si="139">IF((O105-1600000)&lt;0,0,IF((O105-1600000)&lt;1600000,0.21*(O105-1600000),336000))</f>
        <v>336000</v>
      </c>
      <c r="U105" s="470">
        <f t="shared" ref="U105:U107" si="140">0.24*(O105-3200000)</f>
        <v>460530.401280001</v>
      </c>
      <c r="V105" s="470">
        <f t="shared" ref="V105:V107" si="141">P105+Q105+R105+S105+T105+U105</f>
        <v>1020530.40128</v>
      </c>
      <c r="W105" s="471">
        <v>12</v>
      </c>
      <c r="X105" s="470">
        <f t="shared" ref="X105:X107" si="142">V105/W105</f>
        <v>85044.2001066667</v>
      </c>
      <c r="Y105" s="476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480</v>
      </c>
      <c r="C106" s="470">
        <v>578828.166666667</v>
      </c>
      <c r="D106" s="469">
        <v>12</v>
      </c>
      <c r="E106" s="470">
        <f t="shared" si="129"/>
        <v>6945938</v>
      </c>
      <c r="F106" s="470"/>
      <c r="G106" s="474">
        <v>450075.040000001</v>
      </c>
      <c r="H106" s="476"/>
      <c r="I106" s="470">
        <f t="shared" si="130"/>
        <v>6495862.96</v>
      </c>
      <c r="J106" s="470">
        <v>200000</v>
      </c>
      <c r="K106" s="470">
        <v>0.2</v>
      </c>
      <c r="L106" s="470">
        <f t="shared" si="131"/>
        <v>1299172.592</v>
      </c>
      <c r="M106" s="470">
        <f t="shared" si="132"/>
        <v>1499172.592</v>
      </c>
      <c r="N106" s="470">
        <f t="shared" si="133"/>
        <v>1949247.632</v>
      </c>
      <c r="O106" s="470">
        <f t="shared" si="134"/>
        <v>4996690.368</v>
      </c>
      <c r="P106" s="470">
        <f t="shared" si="135"/>
        <v>21000</v>
      </c>
      <c r="Q106" s="470">
        <f t="shared" si="136"/>
        <v>33000</v>
      </c>
      <c r="R106" s="470">
        <f t="shared" si="137"/>
        <v>75000</v>
      </c>
      <c r="S106" s="470">
        <f t="shared" si="138"/>
        <v>95000</v>
      </c>
      <c r="T106" s="470">
        <f t="shared" si="139"/>
        <v>336000</v>
      </c>
      <c r="U106" s="470">
        <f t="shared" si="140"/>
        <v>431205.688320001</v>
      </c>
      <c r="V106" s="470">
        <f t="shared" si="141"/>
        <v>991205.688320001</v>
      </c>
      <c r="W106" s="471">
        <v>12</v>
      </c>
      <c r="X106" s="470">
        <f t="shared" si="142"/>
        <v>82600.4740266667</v>
      </c>
      <c r="Y106" s="476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193</v>
      </c>
      <c r="C107" s="479">
        <v>981346.583333334</v>
      </c>
      <c r="D107" s="469">
        <v>12</v>
      </c>
      <c r="E107" s="470">
        <f t="shared" si="129"/>
        <v>11776159</v>
      </c>
      <c r="F107" s="470">
        <v>90896.2250000001</v>
      </c>
      <c r="G107" s="474">
        <v>463532.72</v>
      </c>
      <c r="H107" s="476"/>
      <c r="I107" s="470">
        <f t="shared" si="130"/>
        <v>11221730.055</v>
      </c>
      <c r="J107" s="470">
        <v>200000</v>
      </c>
      <c r="K107" s="470">
        <v>0.2</v>
      </c>
      <c r="L107" s="470">
        <f t="shared" si="131"/>
        <v>2244346.011</v>
      </c>
      <c r="M107" s="470">
        <f t="shared" si="132"/>
        <v>2444346.011</v>
      </c>
      <c r="N107" s="470">
        <f t="shared" si="133"/>
        <v>2998774.956</v>
      </c>
      <c r="O107" s="470">
        <f t="shared" si="134"/>
        <v>8777384.04400001</v>
      </c>
      <c r="P107" s="470">
        <f t="shared" si="135"/>
        <v>21000</v>
      </c>
      <c r="Q107" s="470">
        <f t="shared" si="136"/>
        <v>33000</v>
      </c>
      <c r="R107" s="470">
        <f t="shared" si="137"/>
        <v>75000</v>
      </c>
      <c r="S107" s="470">
        <f t="shared" si="138"/>
        <v>95000</v>
      </c>
      <c r="T107" s="470">
        <f t="shared" si="139"/>
        <v>336000</v>
      </c>
      <c r="U107" s="470">
        <f t="shared" si="140"/>
        <v>1338572.17056</v>
      </c>
      <c r="V107" s="470">
        <f t="shared" si="141"/>
        <v>1898572.17056</v>
      </c>
      <c r="W107" s="471">
        <v>12</v>
      </c>
      <c r="X107" s="470">
        <f t="shared" si="142"/>
        <v>158214.347546667</v>
      </c>
      <c r="Y107" s="476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696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271</v>
      </c>
      <c r="C110" s="470">
        <v>337890.916666667</v>
      </c>
      <c r="D110" s="469">
        <v>12</v>
      </c>
      <c r="E110" s="470">
        <f t="shared" ref="E110:E124" si="145">C110*D110</f>
        <v>4054691</v>
      </c>
      <c r="F110" s="470"/>
      <c r="G110" s="474">
        <v>276375.280000001</v>
      </c>
      <c r="H110" s="476"/>
      <c r="I110" s="470">
        <f t="shared" ref="I110:I124" si="146">E110-F110-G110-H110</f>
        <v>3778315.72</v>
      </c>
      <c r="J110" s="470">
        <v>200000</v>
      </c>
      <c r="K110" s="470">
        <v>0.2</v>
      </c>
      <c r="L110" s="470">
        <f t="shared" ref="L110:L124" si="147">I110*K110</f>
        <v>755663.144000001</v>
      </c>
      <c r="M110" s="470">
        <f t="shared" ref="M110:M124" si="148">J110+L110</f>
        <v>955663.144000001</v>
      </c>
      <c r="N110" s="470">
        <f t="shared" ref="N110:N124" si="149">F110+G110+H110+M110</f>
        <v>1232038.424</v>
      </c>
      <c r="O110" s="470">
        <f t="shared" ref="O110:O124" si="150">E110-N110</f>
        <v>2822652.576</v>
      </c>
      <c r="P110" s="470">
        <f t="shared" ref="P110:P124" si="151">IF(O110&lt;300000,0.07*O110,21000)</f>
        <v>21000</v>
      </c>
      <c r="Q110" s="470">
        <f t="shared" ref="Q110:Q124" si="152">IF((O110-300000)&lt;0,0,IF((O110-300000)&lt;300000,0.11*(O110-300000),33000))</f>
        <v>33000</v>
      </c>
      <c r="R110" s="470">
        <f t="shared" ref="R110:R124" si="153">IF((O110-600000)&lt;0,0,IF((O110-600000)&lt;500000,0.15*(O110-600000),75000))</f>
        <v>75000</v>
      </c>
      <c r="S110" s="470">
        <f t="shared" ref="S110:S124" si="154">IF((O110-1100000)&lt;0,0,IF((O110-1100000)&lt;500000,0.19*(O110-1100000),95000))</f>
        <v>95000</v>
      </c>
      <c r="T110" s="470">
        <f t="shared" ref="T110:T124" si="155">IF((O110-1600000)&lt;0,0,IF((O110-1600000)&lt;1600000,0.21*(O110-1600000),336000))</f>
        <v>256757.04096</v>
      </c>
      <c r="U110" s="470"/>
      <c r="V110" s="470">
        <f t="shared" ref="V110:V124" si="156">P110+Q110+R110+S110+T110+U110</f>
        <v>480757.04096</v>
      </c>
      <c r="W110" s="471">
        <v>12</v>
      </c>
      <c r="X110" s="470">
        <f t="shared" ref="X110:X124" si="157">V110/W110</f>
        <v>40063.0867466667</v>
      </c>
      <c r="Y110" s="476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276</v>
      </c>
      <c r="C111" s="470">
        <v>337890.916666667</v>
      </c>
      <c r="D111" s="469">
        <v>12</v>
      </c>
      <c r="E111" s="470">
        <f t="shared" si="145"/>
        <v>4054691</v>
      </c>
      <c r="F111" s="470"/>
      <c r="G111" s="474">
        <v>276375.280000001</v>
      </c>
      <c r="H111" s="476"/>
      <c r="I111" s="470">
        <f t="shared" si="146"/>
        <v>3778315.72</v>
      </c>
      <c r="J111" s="470">
        <v>200000</v>
      </c>
      <c r="K111" s="470">
        <v>0.2</v>
      </c>
      <c r="L111" s="470">
        <f t="shared" si="147"/>
        <v>755663.144000001</v>
      </c>
      <c r="M111" s="470">
        <f t="shared" si="148"/>
        <v>955663.144000001</v>
      </c>
      <c r="N111" s="470">
        <f t="shared" si="149"/>
        <v>1232038.424</v>
      </c>
      <c r="O111" s="470">
        <f t="shared" si="150"/>
        <v>2822652.576</v>
      </c>
      <c r="P111" s="470">
        <f t="shared" si="151"/>
        <v>21000</v>
      </c>
      <c r="Q111" s="470">
        <f t="shared" si="152"/>
        <v>33000</v>
      </c>
      <c r="R111" s="470">
        <f t="shared" si="153"/>
        <v>75000</v>
      </c>
      <c r="S111" s="470">
        <f t="shared" si="154"/>
        <v>95000</v>
      </c>
      <c r="T111" s="470">
        <f t="shared" si="155"/>
        <v>256757.04096</v>
      </c>
      <c r="U111" s="470"/>
      <c r="V111" s="470">
        <f t="shared" si="156"/>
        <v>480757.04096</v>
      </c>
      <c r="W111" s="471">
        <v>12</v>
      </c>
      <c r="X111" s="470">
        <f t="shared" si="157"/>
        <v>40063.0867466667</v>
      </c>
      <c r="Y111" s="476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278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279</v>
      </c>
      <c r="C115" s="470">
        <v>1947106.41666666</v>
      </c>
      <c r="D115" s="469">
        <v>12</v>
      </c>
      <c r="E115" s="470">
        <f t="shared" si="145"/>
        <v>23365276.9999999</v>
      </c>
      <c r="F115" s="470">
        <v>326033.124999999</v>
      </c>
      <c r="G115" s="474">
        <v>1677222.16</v>
      </c>
      <c r="H115" s="476"/>
      <c r="I115" s="470">
        <f t="shared" si="146"/>
        <v>21362021.7149999</v>
      </c>
      <c r="J115" s="470">
        <v>200000</v>
      </c>
      <c r="K115" s="470">
        <v>0.2</v>
      </c>
      <c r="L115" s="470">
        <f t="shared" si="147"/>
        <v>4272404.34299998</v>
      </c>
      <c r="M115" s="470">
        <f t="shared" si="148"/>
        <v>4472404.34299998</v>
      </c>
      <c r="N115" s="470">
        <f t="shared" si="149"/>
        <v>6475659.62799998</v>
      </c>
      <c r="O115" s="470">
        <f t="shared" si="150"/>
        <v>16889617.3719999</v>
      </c>
      <c r="P115" s="470">
        <f t="shared" si="151"/>
        <v>21000</v>
      </c>
      <c r="Q115" s="470">
        <f t="shared" si="152"/>
        <v>33000</v>
      </c>
      <c r="R115" s="470">
        <f t="shared" si="153"/>
        <v>75000</v>
      </c>
      <c r="S115" s="470">
        <f t="shared" si="154"/>
        <v>95000</v>
      </c>
      <c r="T115" s="470">
        <f t="shared" si="155"/>
        <v>336000</v>
      </c>
      <c r="U115" s="470">
        <f t="shared" ref="U115:U121" si="160">0.24*(O115-3200000)</f>
        <v>3285508.16927998</v>
      </c>
      <c r="V115" s="470">
        <f t="shared" si="156"/>
        <v>3845508.16927998</v>
      </c>
      <c r="W115" s="471">
        <v>12</v>
      </c>
      <c r="X115" s="470">
        <f t="shared" si="157"/>
        <v>320459.014106665</v>
      </c>
      <c r="Y115" s="476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281</v>
      </c>
      <c r="C116" s="470">
        <v>1095306.75</v>
      </c>
      <c r="D116" s="469">
        <v>12</v>
      </c>
      <c r="E116" s="470">
        <f t="shared" si="145"/>
        <v>13143681</v>
      </c>
      <c r="F116" s="470">
        <v>166400.85</v>
      </c>
      <c r="G116" s="474">
        <v>869094.48</v>
      </c>
      <c r="H116" s="476"/>
      <c r="I116" s="470">
        <f t="shared" si="146"/>
        <v>12108185.67</v>
      </c>
      <c r="J116" s="470">
        <v>200000</v>
      </c>
      <c r="K116" s="470">
        <v>0.2</v>
      </c>
      <c r="L116" s="470">
        <f t="shared" si="147"/>
        <v>2421637.134</v>
      </c>
      <c r="M116" s="470">
        <f t="shared" si="148"/>
        <v>2621637.134</v>
      </c>
      <c r="N116" s="470">
        <f t="shared" si="149"/>
        <v>3657132.464</v>
      </c>
      <c r="O116" s="470">
        <f t="shared" si="150"/>
        <v>9486548.536</v>
      </c>
      <c r="P116" s="470">
        <f t="shared" si="151"/>
        <v>21000</v>
      </c>
      <c r="Q116" s="470">
        <f t="shared" si="152"/>
        <v>33000</v>
      </c>
      <c r="R116" s="470">
        <f t="shared" si="153"/>
        <v>75000</v>
      </c>
      <c r="S116" s="470">
        <f t="shared" si="154"/>
        <v>95000</v>
      </c>
      <c r="T116" s="470">
        <f t="shared" si="155"/>
        <v>336000</v>
      </c>
      <c r="U116" s="470">
        <f t="shared" si="160"/>
        <v>1508771.64864</v>
      </c>
      <c r="V116" s="470">
        <f t="shared" si="156"/>
        <v>2068771.64864</v>
      </c>
      <c r="W116" s="471">
        <v>12</v>
      </c>
      <c r="X116" s="470">
        <f t="shared" si="157"/>
        <v>172397.637386667</v>
      </c>
      <c r="Y116" s="476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3"/>
      <c r="AD116" s="473"/>
      <c r="AE116" s="473"/>
    </row>
    <row r="117" ht="15.5" spans="1:31">
      <c r="A117" s="467"/>
      <c r="B117" s="643" t="s">
        <v>283</v>
      </c>
      <c r="C117" s="470">
        <v>1099008.91666667</v>
      </c>
      <c r="D117" s="469">
        <v>12</v>
      </c>
      <c r="E117" s="470">
        <f t="shared" si="145"/>
        <v>13188107</v>
      </c>
      <c r="F117" s="470">
        <v>157015.95</v>
      </c>
      <c r="G117" s="474">
        <v>818602.639999999</v>
      </c>
      <c r="H117" s="476"/>
      <c r="I117" s="470">
        <f t="shared" si="146"/>
        <v>12212488.41</v>
      </c>
      <c r="J117" s="470">
        <v>200000</v>
      </c>
      <c r="K117" s="470">
        <v>0.2</v>
      </c>
      <c r="L117" s="470">
        <f t="shared" si="147"/>
        <v>2442497.68200001</v>
      </c>
      <c r="M117" s="470">
        <f t="shared" si="148"/>
        <v>2642497.68200001</v>
      </c>
      <c r="N117" s="470">
        <f t="shared" si="149"/>
        <v>3618116.27200001</v>
      </c>
      <c r="O117" s="470">
        <f t="shared" si="150"/>
        <v>9569990.72800003</v>
      </c>
      <c r="P117" s="470">
        <f t="shared" si="151"/>
        <v>21000</v>
      </c>
      <c r="Q117" s="470">
        <f t="shared" si="152"/>
        <v>33000</v>
      </c>
      <c r="R117" s="470">
        <f t="shared" si="153"/>
        <v>75000</v>
      </c>
      <c r="S117" s="470">
        <f t="shared" si="154"/>
        <v>95000</v>
      </c>
      <c r="T117" s="470">
        <f t="shared" si="155"/>
        <v>336000</v>
      </c>
      <c r="U117" s="470">
        <f t="shared" si="160"/>
        <v>1528797.77472001</v>
      </c>
      <c r="V117" s="470">
        <f t="shared" si="156"/>
        <v>2088797.77472001</v>
      </c>
      <c r="W117" s="471">
        <v>12</v>
      </c>
      <c r="X117" s="470">
        <f t="shared" si="157"/>
        <v>174066.481226667</v>
      </c>
      <c r="Y117" s="476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3"/>
      <c r="AD117" s="473"/>
      <c r="AE117" s="473"/>
    </row>
    <row r="118" ht="15.5" spans="1:31">
      <c r="A118" s="467"/>
      <c r="B118" s="651" t="s">
        <v>286</v>
      </c>
      <c r="C118" s="470">
        <v>780713.916666666</v>
      </c>
      <c r="D118" s="469">
        <v>12</v>
      </c>
      <c r="E118" s="470">
        <f t="shared" si="145"/>
        <v>9368566.99999999</v>
      </c>
      <c r="F118" s="470"/>
      <c r="G118" s="474">
        <v>566070.72</v>
      </c>
      <c r="H118" s="476"/>
      <c r="I118" s="470">
        <f t="shared" si="146"/>
        <v>8802496.27999999</v>
      </c>
      <c r="J118" s="470">
        <v>200000</v>
      </c>
      <c r="K118" s="470">
        <v>0.2</v>
      </c>
      <c r="L118" s="470">
        <f t="shared" si="147"/>
        <v>1760499.256</v>
      </c>
      <c r="M118" s="470">
        <f t="shared" si="148"/>
        <v>1960499.256</v>
      </c>
      <c r="N118" s="470">
        <f t="shared" si="149"/>
        <v>2526569.976</v>
      </c>
      <c r="O118" s="470">
        <f t="shared" si="150"/>
        <v>6841997.02399999</v>
      </c>
      <c r="P118" s="470">
        <f t="shared" si="151"/>
        <v>21000</v>
      </c>
      <c r="Q118" s="470">
        <f t="shared" si="152"/>
        <v>33000</v>
      </c>
      <c r="R118" s="470">
        <f t="shared" si="153"/>
        <v>75000</v>
      </c>
      <c r="S118" s="470">
        <f t="shared" si="154"/>
        <v>95000</v>
      </c>
      <c r="T118" s="470">
        <f t="shared" si="155"/>
        <v>336000</v>
      </c>
      <c r="U118" s="470">
        <f t="shared" si="160"/>
        <v>874079.285759999</v>
      </c>
      <c r="V118" s="470">
        <f t="shared" si="156"/>
        <v>1434079.28576</v>
      </c>
      <c r="W118" s="471">
        <v>12</v>
      </c>
      <c r="X118" s="470">
        <f t="shared" si="157"/>
        <v>119506.607146667</v>
      </c>
      <c r="Y118" s="476"/>
      <c r="Z118" s="929">
        <f t="shared" si="158"/>
        <v>119506.607146667</v>
      </c>
      <c r="AA118" s="806">
        <v>75215.4333866667</v>
      </c>
      <c r="AB118" s="806">
        <f t="shared" si="159"/>
        <v>44291.1737599999</v>
      </c>
      <c r="AC118" s="473"/>
      <c r="AD118" s="473"/>
      <c r="AE118" s="473"/>
    </row>
    <row r="119" ht="15.5" spans="1:31">
      <c r="A119" s="467">
        <v>101</v>
      </c>
      <c r="B119" s="651" t="s">
        <v>287</v>
      </c>
      <c r="C119" s="470">
        <v>628165.25</v>
      </c>
      <c r="D119" s="469">
        <v>12</v>
      </c>
      <c r="E119" s="470">
        <f t="shared" si="145"/>
        <v>7537983</v>
      </c>
      <c r="F119" s="470">
        <v>104314.775</v>
      </c>
      <c r="G119" s="474">
        <v>535838.64</v>
      </c>
      <c r="H119" s="476"/>
      <c r="I119" s="470">
        <f t="shared" si="146"/>
        <v>6897829.585</v>
      </c>
      <c r="J119" s="470">
        <v>200000</v>
      </c>
      <c r="K119" s="470">
        <v>0.2</v>
      </c>
      <c r="L119" s="470">
        <f t="shared" si="147"/>
        <v>1379565.917</v>
      </c>
      <c r="M119" s="470">
        <f t="shared" si="148"/>
        <v>1579565.917</v>
      </c>
      <c r="N119" s="470">
        <f t="shared" si="149"/>
        <v>2219719.332</v>
      </c>
      <c r="O119" s="470">
        <f t="shared" si="150"/>
        <v>5318263.668</v>
      </c>
      <c r="P119" s="470">
        <f t="shared" si="151"/>
        <v>21000</v>
      </c>
      <c r="Q119" s="470">
        <f t="shared" si="152"/>
        <v>33000</v>
      </c>
      <c r="R119" s="470">
        <f t="shared" si="153"/>
        <v>75000</v>
      </c>
      <c r="S119" s="470">
        <f t="shared" si="154"/>
        <v>95000</v>
      </c>
      <c r="T119" s="470">
        <f t="shared" si="155"/>
        <v>336000</v>
      </c>
      <c r="U119" s="470">
        <f t="shared" si="160"/>
        <v>508383.28032</v>
      </c>
      <c r="V119" s="470">
        <f t="shared" si="156"/>
        <v>1068383.28032</v>
      </c>
      <c r="W119" s="471">
        <v>12</v>
      </c>
      <c r="X119" s="470">
        <f t="shared" si="157"/>
        <v>89031.9400266667</v>
      </c>
      <c r="Y119" s="476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289</v>
      </c>
      <c r="C120" s="470">
        <v>643911.083333334</v>
      </c>
      <c r="D120" s="469">
        <v>12</v>
      </c>
      <c r="E120" s="470">
        <f t="shared" si="145"/>
        <v>7726933.00000001</v>
      </c>
      <c r="F120" s="479">
        <v>107120</v>
      </c>
      <c r="G120" s="474">
        <v>550954.64</v>
      </c>
      <c r="H120" s="476"/>
      <c r="I120" s="470">
        <f t="shared" si="146"/>
        <v>7068858.36000001</v>
      </c>
      <c r="J120" s="470">
        <v>200000</v>
      </c>
      <c r="K120" s="470">
        <v>0.2</v>
      </c>
      <c r="L120" s="470">
        <f t="shared" si="147"/>
        <v>1413771.672</v>
      </c>
      <c r="M120" s="470">
        <f t="shared" si="148"/>
        <v>1613771.672</v>
      </c>
      <c r="N120" s="470">
        <f t="shared" si="149"/>
        <v>2271846.312</v>
      </c>
      <c r="O120" s="470">
        <f t="shared" si="150"/>
        <v>5455086.68800001</v>
      </c>
      <c r="P120" s="470">
        <f t="shared" si="151"/>
        <v>21000</v>
      </c>
      <c r="Q120" s="470">
        <f t="shared" si="152"/>
        <v>33000</v>
      </c>
      <c r="R120" s="470">
        <f t="shared" si="153"/>
        <v>75000</v>
      </c>
      <c r="S120" s="470">
        <f t="shared" si="154"/>
        <v>95000</v>
      </c>
      <c r="T120" s="470">
        <f t="shared" si="155"/>
        <v>336000</v>
      </c>
      <c r="U120" s="470">
        <f t="shared" si="160"/>
        <v>541220.805120001</v>
      </c>
      <c r="V120" s="470">
        <f t="shared" si="156"/>
        <v>1101220.80512</v>
      </c>
      <c r="W120" s="471">
        <v>12</v>
      </c>
      <c r="X120" s="470">
        <f t="shared" si="157"/>
        <v>91768.4004266668</v>
      </c>
      <c r="Y120" s="476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292</v>
      </c>
      <c r="C121" s="470">
        <v>432145.333333333</v>
      </c>
      <c r="D121" s="469">
        <v>12</v>
      </c>
      <c r="E121" s="470">
        <f t="shared" si="145"/>
        <v>5185744</v>
      </c>
      <c r="F121" s="479"/>
      <c r="G121" s="474">
        <v>341107.840000001</v>
      </c>
      <c r="H121" s="476"/>
      <c r="I121" s="470">
        <f t="shared" si="146"/>
        <v>4844636.16</v>
      </c>
      <c r="J121" s="470">
        <v>200000</v>
      </c>
      <c r="K121" s="470">
        <v>0.2</v>
      </c>
      <c r="L121" s="470">
        <f t="shared" si="147"/>
        <v>968927.231999999</v>
      </c>
      <c r="M121" s="470">
        <f t="shared" si="148"/>
        <v>1168927.232</v>
      </c>
      <c r="N121" s="470">
        <f t="shared" si="149"/>
        <v>1510035.072</v>
      </c>
      <c r="O121" s="470">
        <f t="shared" si="150"/>
        <v>3675708.928</v>
      </c>
      <c r="P121" s="470">
        <f t="shared" si="151"/>
        <v>21000</v>
      </c>
      <c r="Q121" s="470">
        <f t="shared" si="152"/>
        <v>33000</v>
      </c>
      <c r="R121" s="470">
        <f t="shared" si="153"/>
        <v>75000</v>
      </c>
      <c r="S121" s="470">
        <f t="shared" si="154"/>
        <v>95000</v>
      </c>
      <c r="T121" s="470">
        <f t="shared" si="155"/>
        <v>336000</v>
      </c>
      <c r="U121" s="470">
        <f t="shared" si="160"/>
        <v>114170.142719999</v>
      </c>
      <c r="V121" s="470">
        <f t="shared" si="156"/>
        <v>674170.142719999</v>
      </c>
      <c r="W121" s="471">
        <v>12</v>
      </c>
      <c r="X121" s="470">
        <f t="shared" si="157"/>
        <v>56180.8452266666</v>
      </c>
      <c r="Y121" s="476"/>
      <c r="Z121" s="929">
        <f t="shared" si="158"/>
        <v>56180.8452266666</v>
      </c>
      <c r="AA121" s="806">
        <v>39052.3130666667</v>
      </c>
      <c r="AB121" s="806">
        <f t="shared" si="159"/>
        <v>17128.5321599999</v>
      </c>
      <c r="AC121" s="473"/>
      <c r="AD121" s="473"/>
      <c r="AE121" s="473"/>
    </row>
    <row r="122" ht="15.5" spans="1:31">
      <c r="A122" s="467">
        <v>106</v>
      </c>
      <c r="B122" s="351" t="s">
        <v>294</v>
      </c>
      <c r="C122" s="470">
        <v>351910.75</v>
      </c>
      <c r="D122" s="469">
        <v>12</v>
      </c>
      <c r="E122" s="470">
        <f t="shared" si="145"/>
        <v>4222929</v>
      </c>
      <c r="F122" s="470"/>
      <c r="G122" s="474">
        <v>289834.32</v>
      </c>
      <c r="H122" s="476"/>
      <c r="I122" s="470">
        <f t="shared" si="146"/>
        <v>3933094.68</v>
      </c>
      <c r="J122" s="470">
        <v>200000</v>
      </c>
      <c r="K122" s="470">
        <v>0.2</v>
      </c>
      <c r="L122" s="470">
        <f t="shared" si="147"/>
        <v>786618.936</v>
      </c>
      <c r="M122" s="470">
        <f t="shared" si="148"/>
        <v>986618.936</v>
      </c>
      <c r="N122" s="470">
        <f t="shared" si="149"/>
        <v>1276453.256</v>
      </c>
      <c r="O122" s="470">
        <f t="shared" si="150"/>
        <v>2946475.744</v>
      </c>
      <c r="P122" s="470">
        <f t="shared" si="151"/>
        <v>21000</v>
      </c>
      <c r="Q122" s="470">
        <f t="shared" si="152"/>
        <v>33000</v>
      </c>
      <c r="R122" s="470">
        <f t="shared" si="153"/>
        <v>75000</v>
      </c>
      <c r="S122" s="470">
        <f t="shared" si="154"/>
        <v>95000</v>
      </c>
      <c r="T122" s="470">
        <f t="shared" si="155"/>
        <v>282759.90624</v>
      </c>
      <c r="U122" s="470"/>
      <c r="V122" s="470">
        <f t="shared" si="156"/>
        <v>506759.90624</v>
      </c>
      <c r="W122" s="471">
        <v>12</v>
      </c>
      <c r="X122" s="470">
        <f t="shared" si="157"/>
        <v>42229.9921866667</v>
      </c>
      <c r="Y122" s="476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296</v>
      </c>
      <c r="C123" s="470">
        <v>351910.75</v>
      </c>
      <c r="D123" s="469">
        <v>12</v>
      </c>
      <c r="E123" s="470">
        <f t="shared" si="145"/>
        <v>4222929</v>
      </c>
      <c r="F123" s="470"/>
      <c r="G123" s="474">
        <v>289834.32</v>
      </c>
      <c r="H123" s="476"/>
      <c r="I123" s="470">
        <f t="shared" si="146"/>
        <v>3933094.68</v>
      </c>
      <c r="J123" s="470">
        <v>200000</v>
      </c>
      <c r="K123" s="470">
        <v>0.2</v>
      </c>
      <c r="L123" s="470">
        <f t="shared" si="147"/>
        <v>786618.936</v>
      </c>
      <c r="M123" s="470">
        <f t="shared" si="148"/>
        <v>986618.936</v>
      </c>
      <c r="N123" s="470">
        <f t="shared" si="149"/>
        <v>1276453.256</v>
      </c>
      <c r="O123" s="470">
        <f t="shared" si="150"/>
        <v>2946475.744</v>
      </c>
      <c r="P123" s="470">
        <f t="shared" si="151"/>
        <v>21000</v>
      </c>
      <c r="Q123" s="470">
        <f t="shared" si="152"/>
        <v>33000</v>
      </c>
      <c r="R123" s="470">
        <f t="shared" si="153"/>
        <v>75000</v>
      </c>
      <c r="S123" s="470">
        <f t="shared" si="154"/>
        <v>95000</v>
      </c>
      <c r="T123" s="470">
        <f t="shared" si="155"/>
        <v>282759.90624</v>
      </c>
      <c r="U123" s="470"/>
      <c r="V123" s="470">
        <f t="shared" si="156"/>
        <v>506759.90624</v>
      </c>
      <c r="W123" s="471">
        <v>12</v>
      </c>
      <c r="X123" s="470">
        <f t="shared" si="157"/>
        <v>42229.9921866667</v>
      </c>
      <c r="Y123" s="476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297</v>
      </c>
      <c r="C124" s="470">
        <v>344900.833333334</v>
      </c>
      <c r="D124" s="469">
        <v>12</v>
      </c>
      <c r="E124" s="470">
        <f t="shared" si="145"/>
        <v>4138810.00000001</v>
      </c>
      <c r="F124" s="470"/>
      <c r="G124" s="474">
        <v>283104.8</v>
      </c>
      <c r="H124" s="476"/>
      <c r="I124" s="470">
        <f t="shared" si="146"/>
        <v>3855705.20000001</v>
      </c>
      <c r="J124" s="470">
        <v>200000</v>
      </c>
      <c r="K124" s="470">
        <v>0.2</v>
      </c>
      <c r="L124" s="470">
        <f t="shared" si="147"/>
        <v>771141.040000002</v>
      </c>
      <c r="M124" s="470">
        <f t="shared" si="148"/>
        <v>971141.040000002</v>
      </c>
      <c r="N124" s="470">
        <f t="shared" si="149"/>
        <v>1254245.84</v>
      </c>
      <c r="O124" s="470">
        <f t="shared" si="150"/>
        <v>2884564.16000001</v>
      </c>
      <c r="P124" s="470">
        <f t="shared" si="151"/>
        <v>21000</v>
      </c>
      <c r="Q124" s="470">
        <f t="shared" si="152"/>
        <v>33000</v>
      </c>
      <c r="R124" s="470">
        <f t="shared" si="153"/>
        <v>75000</v>
      </c>
      <c r="S124" s="470">
        <f t="shared" si="154"/>
        <v>95000</v>
      </c>
      <c r="T124" s="470">
        <f t="shared" si="155"/>
        <v>269758.473600001</v>
      </c>
      <c r="U124" s="470"/>
      <c r="V124" s="470">
        <f t="shared" si="156"/>
        <v>493758.473600001</v>
      </c>
      <c r="W124" s="471">
        <v>12</v>
      </c>
      <c r="X124" s="470">
        <f t="shared" si="157"/>
        <v>41146.5394666668</v>
      </c>
      <c r="Y124" s="476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299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300</v>
      </c>
      <c r="C128" s="470">
        <v>1747612</v>
      </c>
      <c r="D128" s="469">
        <v>12</v>
      </c>
      <c r="E128" s="470">
        <f t="shared" ref="E128:E177" si="161">C128*D128</f>
        <v>20971344</v>
      </c>
      <c r="F128" s="470">
        <v>307730.499999999</v>
      </c>
      <c r="G128" s="474">
        <v>1581707.52</v>
      </c>
      <c r="H128" s="476"/>
      <c r="I128" s="470">
        <f t="shared" ref="I128:I177" si="162">E128-F128-G128-H128</f>
        <v>19081905.98</v>
      </c>
      <c r="J128" s="470">
        <v>200000</v>
      </c>
      <c r="K128" s="470">
        <v>0.2</v>
      </c>
      <c r="L128" s="470">
        <f t="shared" ref="L128:L177" si="163">I128*K128</f>
        <v>3816381.196</v>
      </c>
      <c r="M128" s="470">
        <f t="shared" ref="M128:M177" si="164">J128+L128</f>
        <v>4016381.196</v>
      </c>
      <c r="N128" s="470">
        <f t="shared" ref="N128:N187" si="165">F128+G128+H128+M128</f>
        <v>5905819.216</v>
      </c>
      <c r="O128" s="470">
        <f t="shared" ref="O128:O187" si="166">E128-N128</f>
        <v>15065524.784</v>
      </c>
      <c r="P128" s="470">
        <f t="shared" ref="P128:P187" si="167">IF(O128&lt;300000,0.07*O128,21000)</f>
        <v>21000</v>
      </c>
      <c r="Q128" s="470">
        <f t="shared" ref="Q128:Q187" si="168">IF((O128-300000)&lt;0,0,IF((O128-300000)&lt;300000,0.11*(O128-300000),33000))</f>
        <v>33000</v>
      </c>
      <c r="R128" s="470">
        <f t="shared" ref="R128:R187" si="169">IF((O128-600000)&lt;0,0,IF((O128-600000)&lt;500000,0.15*(O128-600000),75000))</f>
        <v>75000</v>
      </c>
      <c r="S128" s="470">
        <f t="shared" ref="S128:S187" si="170">IF((O128-1100000)&lt;0,0,IF((O128-1100000)&lt;500000,0.19*(O128-1100000),95000))</f>
        <v>95000</v>
      </c>
      <c r="T128" s="470">
        <f t="shared" ref="T128:T187" si="171">IF((O128-1600000)&lt;0,0,IF((O128-1600000)&lt;1600000,0.21*(O128-1600000),336000))</f>
        <v>336000</v>
      </c>
      <c r="U128" s="470">
        <f t="shared" ref="U128:U148" si="172">0.24*(O128-3200000)</f>
        <v>2847725.94816</v>
      </c>
      <c r="V128" s="470">
        <f t="shared" ref="V128:V187" si="173">P128+Q128+R128+S128+T128+U128</f>
        <v>3407725.94816</v>
      </c>
      <c r="W128" s="471">
        <v>12</v>
      </c>
      <c r="X128" s="470">
        <f t="shared" ref="X128:X187" si="174">V128/W128</f>
        <v>283977.162346667</v>
      </c>
      <c r="Y128" s="476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302</v>
      </c>
      <c r="C129" s="470">
        <v>1045306.75</v>
      </c>
      <c r="D129" s="469">
        <v>12</v>
      </c>
      <c r="E129" s="470">
        <f t="shared" si="161"/>
        <v>12543681</v>
      </c>
      <c r="F129" s="470">
        <v>166400.85</v>
      </c>
      <c r="G129" s="474">
        <v>869094.48</v>
      </c>
      <c r="H129" s="476"/>
      <c r="I129" s="470">
        <f t="shared" si="162"/>
        <v>11508185.67</v>
      </c>
      <c r="J129" s="470">
        <v>200000</v>
      </c>
      <c r="K129" s="470">
        <v>0.2</v>
      </c>
      <c r="L129" s="470">
        <f t="shared" si="163"/>
        <v>2301637.134</v>
      </c>
      <c r="M129" s="470">
        <f t="shared" si="164"/>
        <v>2501637.134</v>
      </c>
      <c r="N129" s="470">
        <f t="shared" si="165"/>
        <v>3537132.464</v>
      </c>
      <c r="O129" s="470">
        <f t="shared" si="166"/>
        <v>9006548.536</v>
      </c>
      <c r="P129" s="470">
        <f t="shared" si="167"/>
        <v>21000</v>
      </c>
      <c r="Q129" s="470">
        <f t="shared" si="168"/>
        <v>33000</v>
      </c>
      <c r="R129" s="470">
        <f t="shared" si="169"/>
        <v>75000</v>
      </c>
      <c r="S129" s="470">
        <f t="shared" si="170"/>
        <v>95000</v>
      </c>
      <c r="T129" s="470">
        <f t="shared" si="171"/>
        <v>336000</v>
      </c>
      <c r="U129" s="470">
        <f t="shared" si="172"/>
        <v>1393571.64864</v>
      </c>
      <c r="V129" s="470">
        <f t="shared" si="173"/>
        <v>1953571.64864</v>
      </c>
      <c r="W129" s="471">
        <v>12</v>
      </c>
      <c r="X129" s="470">
        <f t="shared" si="174"/>
        <v>162797.637386667</v>
      </c>
      <c r="Y129" s="476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305</v>
      </c>
      <c r="C130" s="470">
        <v>780713.916666666</v>
      </c>
      <c r="D130" s="469">
        <v>12</v>
      </c>
      <c r="E130" s="470">
        <f t="shared" si="161"/>
        <v>9368566.99999999</v>
      </c>
      <c r="F130" s="470">
        <v>129894.325</v>
      </c>
      <c r="G130" s="474">
        <v>672685.36</v>
      </c>
      <c r="H130" s="476"/>
      <c r="I130" s="470">
        <f t="shared" si="162"/>
        <v>8565987.31499999</v>
      </c>
      <c r="J130" s="470">
        <v>200000</v>
      </c>
      <c r="K130" s="470">
        <v>0.2</v>
      </c>
      <c r="L130" s="470">
        <f t="shared" si="163"/>
        <v>1713197.463</v>
      </c>
      <c r="M130" s="470">
        <f t="shared" si="164"/>
        <v>1913197.463</v>
      </c>
      <c r="N130" s="470">
        <f t="shared" si="165"/>
        <v>2715777.148</v>
      </c>
      <c r="O130" s="470">
        <f t="shared" si="166"/>
        <v>6652789.85199999</v>
      </c>
      <c r="P130" s="470">
        <f t="shared" si="167"/>
        <v>21000</v>
      </c>
      <c r="Q130" s="470">
        <f t="shared" si="168"/>
        <v>33000</v>
      </c>
      <c r="R130" s="470">
        <f t="shared" si="169"/>
        <v>75000</v>
      </c>
      <c r="S130" s="470">
        <f t="shared" si="170"/>
        <v>95000</v>
      </c>
      <c r="T130" s="470">
        <f t="shared" si="171"/>
        <v>336000</v>
      </c>
      <c r="U130" s="470">
        <f t="shared" si="172"/>
        <v>828669.564479999</v>
      </c>
      <c r="V130" s="470">
        <f t="shared" si="173"/>
        <v>1388669.56448</v>
      </c>
      <c r="W130" s="471">
        <v>12</v>
      </c>
      <c r="X130" s="470">
        <f t="shared" si="174"/>
        <v>115722.463706667</v>
      </c>
      <c r="Y130" s="476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307</v>
      </c>
      <c r="C131" s="470">
        <v>780713.916666666</v>
      </c>
      <c r="D131" s="469">
        <v>12</v>
      </c>
      <c r="E131" s="470">
        <f t="shared" si="161"/>
        <v>9368566.99999999</v>
      </c>
      <c r="F131" s="470">
        <v>129894.325</v>
      </c>
      <c r="G131" s="474">
        <v>672685.36</v>
      </c>
      <c r="H131" s="476"/>
      <c r="I131" s="470">
        <f t="shared" si="162"/>
        <v>8565987.31499999</v>
      </c>
      <c r="J131" s="470">
        <v>200000</v>
      </c>
      <c r="K131" s="470">
        <v>0.2</v>
      </c>
      <c r="L131" s="470">
        <f t="shared" si="163"/>
        <v>1713197.463</v>
      </c>
      <c r="M131" s="470">
        <f t="shared" si="164"/>
        <v>1913197.463</v>
      </c>
      <c r="N131" s="470">
        <f t="shared" si="165"/>
        <v>2715777.148</v>
      </c>
      <c r="O131" s="470">
        <f t="shared" si="166"/>
        <v>6652789.85199999</v>
      </c>
      <c r="P131" s="470">
        <f t="shared" si="167"/>
        <v>21000</v>
      </c>
      <c r="Q131" s="470">
        <f t="shared" si="168"/>
        <v>33000</v>
      </c>
      <c r="R131" s="470">
        <f t="shared" si="169"/>
        <v>75000</v>
      </c>
      <c r="S131" s="470">
        <f t="shared" si="170"/>
        <v>95000</v>
      </c>
      <c r="T131" s="470">
        <f t="shared" si="171"/>
        <v>336000</v>
      </c>
      <c r="U131" s="470">
        <f t="shared" si="172"/>
        <v>828669.564479999</v>
      </c>
      <c r="V131" s="470">
        <f t="shared" si="173"/>
        <v>1388669.56448</v>
      </c>
      <c r="W131" s="471">
        <v>12</v>
      </c>
      <c r="X131" s="470">
        <f t="shared" si="174"/>
        <v>115722.463706667</v>
      </c>
      <c r="Y131" s="476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309</v>
      </c>
      <c r="C132" s="470">
        <v>780713.916666666</v>
      </c>
      <c r="D132" s="469">
        <v>12</v>
      </c>
      <c r="E132" s="470">
        <f t="shared" si="161"/>
        <v>9368566.99999999</v>
      </c>
      <c r="F132" s="470">
        <v>129894.325</v>
      </c>
      <c r="G132" s="474">
        <v>672685.36</v>
      </c>
      <c r="H132" s="476"/>
      <c r="I132" s="470">
        <f t="shared" si="162"/>
        <v>8565987.31499999</v>
      </c>
      <c r="J132" s="470">
        <v>200000</v>
      </c>
      <c r="K132" s="470">
        <v>0.2</v>
      </c>
      <c r="L132" s="470">
        <f t="shared" si="163"/>
        <v>1713197.463</v>
      </c>
      <c r="M132" s="470">
        <f t="shared" si="164"/>
        <v>1913197.463</v>
      </c>
      <c r="N132" s="470">
        <f t="shared" si="165"/>
        <v>2715777.148</v>
      </c>
      <c r="O132" s="470">
        <f t="shared" si="166"/>
        <v>6652789.85199999</v>
      </c>
      <c r="P132" s="470">
        <f t="shared" si="167"/>
        <v>21000</v>
      </c>
      <c r="Q132" s="470">
        <f t="shared" si="168"/>
        <v>33000</v>
      </c>
      <c r="R132" s="470">
        <f t="shared" si="169"/>
        <v>75000</v>
      </c>
      <c r="S132" s="470">
        <f t="shared" si="170"/>
        <v>95000</v>
      </c>
      <c r="T132" s="470">
        <f t="shared" si="171"/>
        <v>336000</v>
      </c>
      <c r="U132" s="470">
        <f t="shared" si="172"/>
        <v>828669.564479999</v>
      </c>
      <c r="V132" s="470">
        <f t="shared" si="173"/>
        <v>1388669.56448</v>
      </c>
      <c r="W132" s="471">
        <v>12</v>
      </c>
      <c r="X132" s="470">
        <f t="shared" si="174"/>
        <v>115722.463706667</v>
      </c>
      <c r="Y132" s="476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312</v>
      </c>
      <c r="C133" s="470">
        <v>567472.75</v>
      </c>
      <c r="D133" s="469">
        <v>12</v>
      </c>
      <c r="E133" s="470">
        <f t="shared" si="161"/>
        <v>6809673</v>
      </c>
      <c r="F133" s="470"/>
      <c r="G133" s="474">
        <v>477573.84</v>
      </c>
      <c r="H133" s="476"/>
      <c r="I133" s="470">
        <f t="shared" si="162"/>
        <v>6332099.16</v>
      </c>
      <c r="J133" s="470">
        <v>200000</v>
      </c>
      <c r="K133" s="470">
        <v>0.2</v>
      </c>
      <c r="L133" s="470">
        <f t="shared" si="163"/>
        <v>1266419.832</v>
      </c>
      <c r="M133" s="470">
        <f t="shared" si="164"/>
        <v>1466419.832</v>
      </c>
      <c r="N133" s="470">
        <f t="shared" si="165"/>
        <v>1943993.672</v>
      </c>
      <c r="O133" s="470">
        <f t="shared" si="166"/>
        <v>4865679.328</v>
      </c>
      <c r="P133" s="470">
        <f t="shared" si="167"/>
        <v>21000</v>
      </c>
      <c r="Q133" s="470">
        <f t="shared" si="168"/>
        <v>33000</v>
      </c>
      <c r="R133" s="470">
        <f t="shared" si="169"/>
        <v>75000</v>
      </c>
      <c r="S133" s="470">
        <f t="shared" si="170"/>
        <v>95000</v>
      </c>
      <c r="T133" s="470">
        <f t="shared" si="171"/>
        <v>336000</v>
      </c>
      <c r="U133" s="470">
        <f t="shared" si="172"/>
        <v>399763.03872</v>
      </c>
      <c r="V133" s="470">
        <f t="shared" si="173"/>
        <v>959763.03872</v>
      </c>
      <c r="W133" s="471">
        <v>12</v>
      </c>
      <c r="X133" s="470">
        <f t="shared" si="174"/>
        <v>79980.2532266667</v>
      </c>
      <c r="Y133" s="476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313</v>
      </c>
      <c r="C134" s="470">
        <v>602846.583333334</v>
      </c>
      <c r="D134" s="469">
        <v>12</v>
      </c>
      <c r="E134" s="470">
        <f t="shared" si="161"/>
        <v>7234159.00000001</v>
      </c>
      <c r="F134" s="470"/>
      <c r="G134" s="474">
        <v>463532.72</v>
      </c>
      <c r="H134" s="476"/>
      <c r="I134" s="470">
        <f t="shared" si="162"/>
        <v>6770626.28000001</v>
      </c>
      <c r="J134" s="470">
        <v>200000</v>
      </c>
      <c r="K134" s="470">
        <v>0.2</v>
      </c>
      <c r="L134" s="470">
        <f t="shared" si="163"/>
        <v>1354125.256</v>
      </c>
      <c r="M134" s="470">
        <f t="shared" si="164"/>
        <v>1554125.256</v>
      </c>
      <c r="N134" s="470">
        <f t="shared" si="165"/>
        <v>2017657.976</v>
      </c>
      <c r="O134" s="470">
        <f t="shared" si="166"/>
        <v>5216501.02400001</v>
      </c>
      <c r="P134" s="470">
        <f t="shared" si="167"/>
        <v>21000</v>
      </c>
      <c r="Q134" s="470">
        <f t="shared" si="168"/>
        <v>33000</v>
      </c>
      <c r="R134" s="470">
        <f t="shared" si="169"/>
        <v>75000</v>
      </c>
      <c r="S134" s="470">
        <f t="shared" si="170"/>
        <v>95000</v>
      </c>
      <c r="T134" s="470">
        <f t="shared" si="171"/>
        <v>336000</v>
      </c>
      <c r="U134" s="470">
        <f t="shared" si="172"/>
        <v>483960.245760001</v>
      </c>
      <c r="V134" s="470">
        <f t="shared" si="173"/>
        <v>1043960.24576</v>
      </c>
      <c r="W134" s="471">
        <v>12</v>
      </c>
      <c r="X134" s="470">
        <f t="shared" si="174"/>
        <v>86996.6871466668</v>
      </c>
      <c r="Y134" s="476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315</v>
      </c>
      <c r="C135" s="470">
        <v>571571.849462365</v>
      </c>
      <c r="D135" s="469">
        <v>12</v>
      </c>
      <c r="E135" s="470">
        <f t="shared" si="161"/>
        <v>6858862.19354838</v>
      </c>
      <c r="F135" s="470"/>
      <c r="G135" s="474">
        <v>463356.160000001</v>
      </c>
      <c r="H135" s="476"/>
      <c r="I135" s="470">
        <f t="shared" si="162"/>
        <v>6395506.03354838</v>
      </c>
      <c r="J135" s="470">
        <v>200000</v>
      </c>
      <c r="K135" s="470">
        <v>0.2</v>
      </c>
      <c r="L135" s="470">
        <f t="shared" si="163"/>
        <v>1279101.20670968</v>
      </c>
      <c r="M135" s="470">
        <f t="shared" si="164"/>
        <v>1479101.20670968</v>
      </c>
      <c r="N135" s="470">
        <f t="shared" si="165"/>
        <v>1942457.36670968</v>
      </c>
      <c r="O135" s="470">
        <f t="shared" si="166"/>
        <v>4916404.8268387</v>
      </c>
      <c r="P135" s="470">
        <f t="shared" si="167"/>
        <v>21000</v>
      </c>
      <c r="Q135" s="470">
        <f t="shared" si="168"/>
        <v>33000</v>
      </c>
      <c r="R135" s="470">
        <f t="shared" si="169"/>
        <v>75000</v>
      </c>
      <c r="S135" s="470">
        <f t="shared" si="170"/>
        <v>95000</v>
      </c>
      <c r="T135" s="470">
        <f t="shared" si="171"/>
        <v>336000</v>
      </c>
      <c r="U135" s="470">
        <f t="shared" si="172"/>
        <v>411937.158441289</v>
      </c>
      <c r="V135" s="470">
        <f t="shared" si="173"/>
        <v>971937.158441289</v>
      </c>
      <c r="W135" s="471">
        <v>12</v>
      </c>
      <c r="X135" s="470">
        <f t="shared" si="174"/>
        <v>80994.7632034407</v>
      </c>
      <c r="Y135" s="476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3"/>
      <c r="AD135" s="473"/>
      <c r="AE135" s="473"/>
    </row>
    <row r="136" ht="15.5" spans="1:31">
      <c r="A136" s="467">
        <v>120</v>
      </c>
      <c r="B136" s="651" t="s">
        <v>317</v>
      </c>
      <c r="C136" s="470">
        <v>528828.166666667</v>
      </c>
      <c r="D136" s="469">
        <v>12</v>
      </c>
      <c r="E136" s="470">
        <f t="shared" si="161"/>
        <v>6345938</v>
      </c>
      <c r="F136" s="470">
        <v>88398.8750000001</v>
      </c>
      <c r="G136" s="474">
        <v>450075.040000001</v>
      </c>
      <c r="H136" s="476"/>
      <c r="I136" s="470">
        <f t="shared" si="162"/>
        <v>5807464.085</v>
      </c>
      <c r="J136" s="470">
        <v>200000</v>
      </c>
      <c r="K136" s="470">
        <v>0.2</v>
      </c>
      <c r="L136" s="470">
        <f t="shared" si="163"/>
        <v>1161492.817</v>
      </c>
      <c r="M136" s="470">
        <f t="shared" si="164"/>
        <v>1361492.817</v>
      </c>
      <c r="N136" s="470">
        <f t="shared" si="165"/>
        <v>1899966.732</v>
      </c>
      <c r="O136" s="470">
        <f t="shared" si="166"/>
        <v>4445971.268</v>
      </c>
      <c r="P136" s="470">
        <f t="shared" si="167"/>
        <v>21000</v>
      </c>
      <c r="Q136" s="470">
        <f t="shared" si="168"/>
        <v>33000</v>
      </c>
      <c r="R136" s="470">
        <f t="shared" si="169"/>
        <v>75000</v>
      </c>
      <c r="S136" s="470">
        <f t="shared" si="170"/>
        <v>95000</v>
      </c>
      <c r="T136" s="470">
        <f t="shared" si="171"/>
        <v>336000</v>
      </c>
      <c r="U136" s="470">
        <f t="shared" si="172"/>
        <v>299033.10432</v>
      </c>
      <c r="V136" s="470">
        <f t="shared" si="173"/>
        <v>859033.10432</v>
      </c>
      <c r="W136" s="471">
        <v>12</v>
      </c>
      <c r="X136" s="470">
        <f t="shared" si="174"/>
        <v>71586.0920266667</v>
      </c>
      <c r="Y136" s="476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319</v>
      </c>
      <c r="C137" s="470">
        <v>514993.583333333</v>
      </c>
      <c r="D137" s="469">
        <v>12</v>
      </c>
      <c r="E137" s="470">
        <f t="shared" si="161"/>
        <v>6179923</v>
      </c>
      <c r="F137" s="470"/>
      <c r="G137" s="474">
        <v>436793.839999999</v>
      </c>
      <c r="H137" s="476"/>
      <c r="I137" s="470">
        <f t="shared" si="162"/>
        <v>5743129.16</v>
      </c>
      <c r="J137" s="470">
        <v>200000</v>
      </c>
      <c r="K137" s="470">
        <v>0.2</v>
      </c>
      <c r="L137" s="470">
        <f t="shared" si="163"/>
        <v>1148625.832</v>
      </c>
      <c r="M137" s="470">
        <f t="shared" si="164"/>
        <v>1348625.832</v>
      </c>
      <c r="N137" s="470">
        <f t="shared" si="165"/>
        <v>1785419.672</v>
      </c>
      <c r="O137" s="470">
        <f t="shared" si="166"/>
        <v>4394503.328</v>
      </c>
      <c r="P137" s="470">
        <f t="shared" si="167"/>
        <v>21000</v>
      </c>
      <c r="Q137" s="470">
        <f t="shared" si="168"/>
        <v>33000</v>
      </c>
      <c r="R137" s="470">
        <f t="shared" si="169"/>
        <v>75000</v>
      </c>
      <c r="S137" s="470">
        <f t="shared" si="170"/>
        <v>95000</v>
      </c>
      <c r="T137" s="470">
        <f t="shared" si="171"/>
        <v>336000</v>
      </c>
      <c r="U137" s="470">
        <f t="shared" si="172"/>
        <v>286680.798719999</v>
      </c>
      <c r="V137" s="470">
        <f t="shared" si="173"/>
        <v>846680.798719999</v>
      </c>
      <c r="W137" s="471">
        <v>12</v>
      </c>
      <c r="X137" s="470">
        <f t="shared" si="174"/>
        <v>70556.7332266666</v>
      </c>
      <c r="Y137" s="476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321</v>
      </c>
      <c r="C138" s="470">
        <v>501159</v>
      </c>
      <c r="D138" s="469">
        <v>12</v>
      </c>
      <c r="E138" s="470">
        <f t="shared" si="161"/>
        <v>6013908</v>
      </c>
      <c r="F138" s="470"/>
      <c r="G138" s="474">
        <v>423512.64</v>
      </c>
      <c r="H138" s="476"/>
      <c r="I138" s="470">
        <f t="shared" si="162"/>
        <v>5590395.36</v>
      </c>
      <c r="J138" s="470">
        <v>200000</v>
      </c>
      <c r="K138" s="470">
        <v>0.2</v>
      </c>
      <c r="L138" s="470">
        <f t="shared" si="163"/>
        <v>1118079.072</v>
      </c>
      <c r="M138" s="470">
        <f t="shared" si="164"/>
        <v>1318079.072</v>
      </c>
      <c r="N138" s="470">
        <f t="shared" si="165"/>
        <v>1741591.712</v>
      </c>
      <c r="O138" s="470">
        <f t="shared" si="166"/>
        <v>4272316.288</v>
      </c>
      <c r="P138" s="470">
        <f t="shared" si="167"/>
        <v>21000</v>
      </c>
      <c r="Q138" s="470">
        <f t="shared" si="168"/>
        <v>33000</v>
      </c>
      <c r="R138" s="470">
        <f t="shared" si="169"/>
        <v>75000</v>
      </c>
      <c r="S138" s="470">
        <f t="shared" si="170"/>
        <v>95000</v>
      </c>
      <c r="T138" s="470">
        <f t="shared" si="171"/>
        <v>336000</v>
      </c>
      <c r="U138" s="470">
        <f t="shared" si="172"/>
        <v>257355.90912</v>
      </c>
      <c r="V138" s="470">
        <f t="shared" si="173"/>
        <v>817355.90912</v>
      </c>
      <c r="W138" s="471">
        <v>12</v>
      </c>
      <c r="X138" s="470">
        <f t="shared" si="174"/>
        <v>68112.9924266667</v>
      </c>
      <c r="Y138" s="476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322</v>
      </c>
      <c r="C139" s="470">
        <v>501159</v>
      </c>
      <c r="D139" s="469">
        <v>12</v>
      </c>
      <c r="E139" s="470">
        <f t="shared" si="161"/>
        <v>6013908</v>
      </c>
      <c r="F139" s="470">
        <v>83469.375</v>
      </c>
      <c r="G139" s="474">
        <v>423512.64</v>
      </c>
      <c r="H139" s="476"/>
      <c r="I139" s="470">
        <f t="shared" si="162"/>
        <v>5506925.985</v>
      </c>
      <c r="J139" s="470">
        <v>200000</v>
      </c>
      <c r="K139" s="470">
        <v>0.2</v>
      </c>
      <c r="L139" s="470">
        <f t="shared" si="163"/>
        <v>1101385.197</v>
      </c>
      <c r="M139" s="470">
        <f t="shared" si="164"/>
        <v>1301385.197</v>
      </c>
      <c r="N139" s="470">
        <f t="shared" si="165"/>
        <v>1808367.212</v>
      </c>
      <c r="O139" s="470">
        <f t="shared" si="166"/>
        <v>4205540.788</v>
      </c>
      <c r="P139" s="470">
        <f t="shared" si="167"/>
        <v>21000</v>
      </c>
      <c r="Q139" s="470">
        <f t="shared" si="168"/>
        <v>33000</v>
      </c>
      <c r="R139" s="470">
        <f t="shared" si="169"/>
        <v>75000</v>
      </c>
      <c r="S139" s="470">
        <f t="shared" si="170"/>
        <v>95000</v>
      </c>
      <c r="T139" s="470">
        <f t="shared" si="171"/>
        <v>336000</v>
      </c>
      <c r="U139" s="470">
        <f t="shared" si="172"/>
        <v>241329.78912</v>
      </c>
      <c r="V139" s="470">
        <f t="shared" si="173"/>
        <v>801329.78912</v>
      </c>
      <c r="W139" s="471">
        <v>12</v>
      </c>
      <c r="X139" s="470">
        <f t="shared" si="174"/>
        <v>66777.4824266667</v>
      </c>
      <c r="Y139" s="476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324</v>
      </c>
      <c r="C140" s="470">
        <v>514993.583333333</v>
      </c>
      <c r="D140" s="469">
        <v>12</v>
      </c>
      <c r="E140" s="470">
        <f t="shared" si="161"/>
        <v>6179923</v>
      </c>
      <c r="F140" s="470"/>
      <c r="G140" s="474">
        <v>436793.839999999</v>
      </c>
      <c r="H140" s="476"/>
      <c r="I140" s="470">
        <f t="shared" si="162"/>
        <v>5743129.16</v>
      </c>
      <c r="J140" s="470">
        <v>200000</v>
      </c>
      <c r="K140" s="470">
        <v>0.2</v>
      </c>
      <c r="L140" s="470">
        <f t="shared" si="163"/>
        <v>1148625.832</v>
      </c>
      <c r="M140" s="470">
        <f t="shared" si="164"/>
        <v>1348625.832</v>
      </c>
      <c r="N140" s="470">
        <f t="shared" si="165"/>
        <v>1785419.672</v>
      </c>
      <c r="O140" s="470">
        <f t="shared" si="166"/>
        <v>4394503.328</v>
      </c>
      <c r="P140" s="470">
        <f t="shared" si="167"/>
        <v>21000</v>
      </c>
      <c r="Q140" s="470">
        <f t="shared" si="168"/>
        <v>33000</v>
      </c>
      <c r="R140" s="470">
        <f t="shared" si="169"/>
        <v>75000</v>
      </c>
      <c r="S140" s="470">
        <f t="shared" si="170"/>
        <v>95000</v>
      </c>
      <c r="T140" s="470">
        <f t="shared" si="171"/>
        <v>336000</v>
      </c>
      <c r="U140" s="470">
        <f t="shared" si="172"/>
        <v>286680.798719999</v>
      </c>
      <c r="V140" s="470">
        <f t="shared" si="173"/>
        <v>846680.798719999</v>
      </c>
      <c r="W140" s="471">
        <v>12</v>
      </c>
      <c r="X140" s="470">
        <f t="shared" si="174"/>
        <v>70556.7332266666</v>
      </c>
      <c r="Y140" s="476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325</v>
      </c>
      <c r="C141" s="470">
        <v>450135.833333334</v>
      </c>
      <c r="D141" s="469">
        <v>12</v>
      </c>
      <c r="E141" s="470">
        <f t="shared" si="161"/>
        <v>5401630.00000001</v>
      </c>
      <c r="F141" s="470"/>
      <c r="G141" s="474">
        <v>374530.4</v>
      </c>
      <c r="H141" s="476"/>
      <c r="I141" s="470">
        <f t="shared" si="162"/>
        <v>5027099.60000001</v>
      </c>
      <c r="J141" s="470">
        <v>200000</v>
      </c>
      <c r="K141" s="470">
        <v>0.2</v>
      </c>
      <c r="L141" s="470">
        <f t="shared" si="163"/>
        <v>1005419.92</v>
      </c>
      <c r="M141" s="470">
        <f t="shared" si="164"/>
        <v>1205419.92</v>
      </c>
      <c r="N141" s="470">
        <f t="shared" si="165"/>
        <v>1579950.32</v>
      </c>
      <c r="O141" s="470">
        <f t="shared" si="166"/>
        <v>3821679.68000001</v>
      </c>
      <c r="P141" s="470">
        <f t="shared" si="167"/>
        <v>21000</v>
      </c>
      <c r="Q141" s="470">
        <f t="shared" si="168"/>
        <v>33000</v>
      </c>
      <c r="R141" s="470">
        <f t="shared" si="169"/>
        <v>75000</v>
      </c>
      <c r="S141" s="470">
        <f t="shared" si="170"/>
        <v>95000</v>
      </c>
      <c r="T141" s="470">
        <f t="shared" si="171"/>
        <v>336000</v>
      </c>
      <c r="U141" s="470">
        <f t="shared" si="172"/>
        <v>149203.123200002</v>
      </c>
      <c r="V141" s="470">
        <f t="shared" si="173"/>
        <v>709203.123200002</v>
      </c>
      <c r="W141" s="471">
        <v>12</v>
      </c>
      <c r="X141" s="470">
        <f t="shared" si="174"/>
        <v>59100.2602666668</v>
      </c>
      <c r="Y141" s="476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327</v>
      </c>
      <c r="C142" s="470">
        <v>417905.470777777</v>
      </c>
      <c r="D142" s="469">
        <v>12</v>
      </c>
      <c r="E142" s="470">
        <f t="shared" si="161"/>
        <v>5014865.64933332</v>
      </c>
      <c r="F142" s="470"/>
      <c r="G142" s="474">
        <v>333135.52</v>
      </c>
      <c r="H142" s="476"/>
      <c r="I142" s="470">
        <f t="shared" si="162"/>
        <v>4681730.12933332</v>
      </c>
      <c r="J142" s="470">
        <v>200000</v>
      </c>
      <c r="K142" s="470">
        <v>0.2</v>
      </c>
      <c r="L142" s="470">
        <f t="shared" si="163"/>
        <v>936346.025866665</v>
      </c>
      <c r="M142" s="470">
        <f t="shared" si="164"/>
        <v>1136346.02586666</v>
      </c>
      <c r="N142" s="470">
        <f t="shared" si="165"/>
        <v>1469481.54586666</v>
      </c>
      <c r="O142" s="470">
        <f t="shared" si="166"/>
        <v>3545384.10346666</v>
      </c>
      <c r="P142" s="470">
        <f t="shared" si="167"/>
        <v>21000</v>
      </c>
      <c r="Q142" s="470">
        <f t="shared" si="168"/>
        <v>33000</v>
      </c>
      <c r="R142" s="470">
        <f t="shared" si="169"/>
        <v>75000</v>
      </c>
      <c r="S142" s="470">
        <f t="shared" si="170"/>
        <v>95000</v>
      </c>
      <c r="T142" s="470">
        <f t="shared" si="171"/>
        <v>336000</v>
      </c>
      <c r="U142" s="470">
        <f t="shared" si="172"/>
        <v>82892.1848319982</v>
      </c>
      <c r="V142" s="470">
        <f t="shared" si="173"/>
        <v>642892.184831998</v>
      </c>
      <c r="W142" s="471">
        <v>12</v>
      </c>
      <c r="X142" s="470">
        <f t="shared" si="174"/>
        <v>53574.3487359998</v>
      </c>
      <c r="Y142" s="476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3"/>
      <c r="AD142" s="473"/>
      <c r="AE142" s="473"/>
    </row>
    <row r="143" ht="15.5" spans="1:31">
      <c r="A143" s="467">
        <v>127</v>
      </c>
      <c r="B143" s="651" t="s">
        <v>329</v>
      </c>
      <c r="C143" s="470">
        <v>627242.499999999</v>
      </c>
      <c r="D143" s="469">
        <v>12</v>
      </c>
      <c r="E143" s="470">
        <f t="shared" si="161"/>
        <v>7526909.99999999</v>
      </c>
      <c r="F143" s="470"/>
      <c r="G143" s="474">
        <v>438302.16</v>
      </c>
      <c r="H143" s="476"/>
      <c r="I143" s="470">
        <f t="shared" si="162"/>
        <v>7088607.83999999</v>
      </c>
      <c r="J143" s="470">
        <v>200000</v>
      </c>
      <c r="K143" s="470">
        <v>0.2</v>
      </c>
      <c r="L143" s="470">
        <f t="shared" si="163"/>
        <v>1417721.568</v>
      </c>
      <c r="M143" s="470">
        <f t="shared" si="164"/>
        <v>1617721.568</v>
      </c>
      <c r="N143" s="470">
        <f t="shared" si="165"/>
        <v>2056023.728</v>
      </c>
      <c r="O143" s="470">
        <f t="shared" si="166"/>
        <v>5470886.27199999</v>
      </c>
      <c r="P143" s="470">
        <f t="shared" si="167"/>
        <v>21000</v>
      </c>
      <c r="Q143" s="470">
        <f t="shared" si="168"/>
        <v>33000</v>
      </c>
      <c r="R143" s="470">
        <f t="shared" si="169"/>
        <v>75000</v>
      </c>
      <c r="S143" s="470">
        <f t="shared" si="170"/>
        <v>95000</v>
      </c>
      <c r="T143" s="470">
        <f t="shared" si="171"/>
        <v>336000</v>
      </c>
      <c r="U143" s="470">
        <f t="shared" si="172"/>
        <v>545012.705279998</v>
      </c>
      <c r="V143" s="470">
        <f t="shared" si="173"/>
        <v>1105012.70528</v>
      </c>
      <c r="W143" s="471">
        <v>12</v>
      </c>
      <c r="X143" s="470">
        <f t="shared" si="174"/>
        <v>92084.3921066665</v>
      </c>
      <c r="Y143" s="476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3"/>
      <c r="AD143" s="473"/>
      <c r="AE143" s="473"/>
    </row>
    <row r="144" ht="15.5" spans="1:31">
      <c r="A144" s="467">
        <v>128</v>
      </c>
      <c r="B144" s="651" t="s">
        <v>331</v>
      </c>
      <c r="C144" s="470">
        <v>481533.87096774</v>
      </c>
      <c r="D144" s="469">
        <v>12</v>
      </c>
      <c r="E144" s="470">
        <f t="shared" si="161"/>
        <v>5778406.45161288</v>
      </c>
      <c r="F144" s="470"/>
      <c r="G144" s="474">
        <v>341107.840000001</v>
      </c>
      <c r="H144" s="476"/>
      <c r="I144" s="470">
        <f t="shared" si="162"/>
        <v>5437298.61161288</v>
      </c>
      <c r="J144" s="470">
        <v>200000</v>
      </c>
      <c r="K144" s="470">
        <v>0.2</v>
      </c>
      <c r="L144" s="470">
        <f t="shared" si="163"/>
        <v>1087459.72232258</v>
      </c>
      <c r="M144" s="470">
        <f t="shared" si="164"/>
        <v>1287459.72232258</v>
      </c>
      <c r="N144" s="470">
        <f t="shared" si="165"/>
        <v>1628567.56232258</v>
      </c>
      <c r="O144" s="470">
        <f t="shared" si="166"/>
        <v>4149838.8892903</v>
      </c>
      <c r="P144" s="470">
        <f t="shared" si="167"/>
        <v>21000</v>
      </c>
      <c r="Q144" s="470">
        <f t="shared" si="168"/>
        <v>33000</v>
      </c>
      <c r="R144" s="470">
        <f t="shared" si="169"/>
        <v>75000</v>
      </c>
      <c r="S144" s="470">
        <f t="shared" si="170"/>
        <v>95000</v>
      </c>
      <c r="T144" s="470">
        <f t="shared" si="171"/>
        <v>336000</v>
      </c>
      <c r="U144" s="470">
        <f t="shared" si="172"/>
        <v>227961.333429673</v>
      </c>
      <c r="V144" s="470">
        <f t="shared" si="173"/>
        <v>787961.333429673</v>
      </c>
      <c r="W144" s="471">
        <v>12</v>
      </c>
      <c r="X144" s="470">
        <f t="shared" si="174"/>
        <v>65663.4444524727</v>
      </c>
      <c r="Y144" s="476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3"/>
      <c r="AD144" s="473"/>
      <c r="AE144" s="473"/>
    </row>
    <row r="145" ht="15.5" spans="1:31">
      <c r="A145" s="467">
        <v>129</v>
      </c>
      <c r="B145" s="651" t="s">
        <v>333</v>
      </c>
      <c r="C145" s="470">
        <v>615675.129032258</v>
      </c>
      <c r="D145" s="469">
        <v>12</v>
      </c>
      <c r="E145" s="470">
        <f t="shared" si="161"/>
        <v>7388101.5483871</v>
      </c>
      <c r="F145" s="470">
        <v>92670.45</v>
      </c>
      <c r="G145" s="474">
        <v>438302.16</v>
      </c>
      <c r="H145" s="476"/>
      <c r="I145" s="470">
        <f t="shared" si="162"/>
        <v>6857128.9383871</v>
      </c>
      <c r="J145" s="470">
        <v>200000</v>
      </c>
      <c r="K145" s="470">
        <v>0.2</v>
      </c>
      <c r="L145" s="470">
        <f t="shared" si="163"/>
        <v>1371425.78767742</v>
      </c>
      <c r="M145" s="470">
        <f t="shared" si="164"/>
        <v>1571425.78767742</v>
      </c>
      <c r="N145" s="470">
        <f t="shared" si="165"/>
        <v>2102398.39767742</v>
      </c>
      <c r="O145" s="470">
        <f t="shared" si="166"/>
        <v>5285703.15070968</v>
      </c>
      <c r="P145" s="470">
        <f t="shared" si="167"/>
        <v>21000</v>
      </c>
      <c r="Q145" s="470">
        <f t="shared" si="168"/>
        <v>33000</v>
      </c>
      <c r="R145" s="470">
        <f t="shared" si="169"/>
        <v>75000</v>
      </c>
      <c r="S145" s="470">
        <f t="shared" si="170"/>
        <v>95000</v>
      </c>
      <c r="T145" s="470">
        <f t="shared" si="171"/>
        <v>336000</v>
      </c>
      <c r="U145" s="470">
        <f t="shared" si="172"/>
        <v>500568.756170323</v>
      </c>
      <c r="V145" s="470">
        <f t="shared" si="173"/>
        <v>1060568.75617032</v>
      </c>
      <c r="W145" s="471">
        <v>12</v>
      </c>
      <c r="X145" s="470">
        <f t="shared" si="174"/>
        <v>88380.7296808602</v>
      </c>
      <c r="Y145" s="476"/>
      <c r="Z145" s="929">
        <f t="shared" si="175"/>
        <v>88380.7296808602</v>
      </c>
      <c r="AA145" s="806">
        <v>44913.6996186667</v>
      </c>
      <c r="AB145" s="806">
        <f t="shared" si="176"/>
        <v>43467.0300621935</v>
      </c>
      <c r="AC145" s="473"/>
      <c r="AD145" s="473"/>
      <c r="AE145" s="473"/>
    </row>
    <row r="146" ht="15.5" spans="1:31">
      <c r="A146" s="467">
        <v>130</v>
      </c>
      <c r="B146" s="651" t="s">
        <v>334</v>
      </c>
      <c r="C146" s="470">
        <v>461452.8172043</v>
      </c>
      <c r="D146" s="469">
        <v>12</v>
      </c>
      <c r="E146" s="470">
        <f t="shared" si="161"/>
        <v>5537433.8064516</v>
      </c>
      <c r="F146" s="470"/>
      <c r="G146" s="474">
        <v>341107.840000001</v>
      </c>
      <c r="H146" s="476"/>
      <c r="I146" s="470">
        <f t="shared" si="162"/>
        <v>5196325.9664516</v>
      </c>
      <c r="J146" s="470">
        <v>200000</v>
      </c>
      <c r="K146" s="470">
        <v>0.2</v>
      </c>
      <c r="L146" s="470">
        <f t="shared" si="163"/>
        <v>1039265.19329032</v>
      </c>
      <c r="M146" s="470">
        <f t="shared" si="164"/>
        <v>1239265.19329032</v>
      </c>
      <c r="N146" s="470">
        <f t="shared" si="165"/>
        <v>1580373.03329032</v>
      </c>
      <c r="O146" s="470">
        <f t="shared" si="166"/>
        <v>3957060.77316128</v>
      </c>
      <c r="P146" s="470">
        <f t="shared" si="167"/>
        <v>21000</v>
      </c>
      <c r="Q146" s="470">
        <f t="shared" si="168"/>
        <v>33000</v>
      </c>
      <c r="R146" s="470">
        <f t="shared" si="169"/>
        <v>75000</v>
      </c>
      <c r="S146" s="470">
        <f t="shared" si="170"/>
        <v>95000</v>
      </c>
      <c r="T146" s="470">
        <f t="shared" si="171"/>
        <v>336000</v>
      </c>
      <c r="U146" s="470">
        <f t="shared" si="172"/>
        <v>181694.585558707</v>
      </c>
      <c r="V146" s="470">
        <f t="shared" si="173"/>
        <v>741694.585558707</v>
      </c>
      <c r="W146" s="471">
        <v>12</v>
      </c>
      <c r="X146" s="470">
        <f t="shared" si="174"/>
        <v>61807.8821298922</v>
      </c>
      <c r="Y146" s="476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3"/>
      <c r="AD146" s="473"/>
      <c r="AE146" s="473"/>
    </row>
    <row r="147" ht="15.5" spans="1:31">
      <c r="A147" s="467">
        <v>131</v>
      </c>
      <c r="B147" s="351" t="s">
        <v>336</v>
      </c>
      <c r="C147" s="470">
        <v>398711.666666667</v>
      </c>
      <c r="D147" s="469">
        <v>12</v>
      </c>
      <c r="E147" s="470">
        <f t="shared" si="161"/>
        <v>4784540</v>
      </c>
      <c r="F147" s="470"/>
      <c r="G147" s="474">
        <v>325163.200000001</v>
      </c>
      <c r="H147" s="476"/>
      <c r="I147" s="470">
        <f t="shared" si="162"/>
        <v>4459376.8</v>
      </c>
      <c r="J147" s="470">
        <v>200000</v>
      </c>
      <c r="K147" s="470">
        <v>0.2</v>
      </c>
      <c r="L147" s="470">
        <f t="shared" si="163"/>
        <v>891875.360000001</v>
      </c>
      <c r="M147" s="470">
        <f t="shared" si="164"/>
        <v>1091875.36</v>
      </c>
      <c r="N147" s="470">
        <f t="shared" si="165"/>
        <v>1417038.56</v>
      </c>
      <c r="O147" s="470">
        <f t="shared" si="166"/>
        <v>3367501.44</v>
      </c>
      <c r="P147" s="470">
        <f t="shared" si="167"/>
        <v>21000</v>
      </c>
      <c r="Q147" s="470">
        <f t="shared" si="168"/>
        <v>33000</v>
      </c>
      <c r="R147" s="470">
        <f t="shared" si="169"/>
        <v>75000</v>
      </c>
      <c r="S147" s="470">
        <f t="shared" si="170"/>
        <v>95000</v>
      </c>
      <c r="T147" s="470">
        <f t="shared" si="171"/>
        <v>336000</v>
      </c>
      <c r="U147" s="470">
        <f t="shared" si="172"/>
        <v>40200.3456000005</v>
      </c>
      <c r="V147" s="470">
        <f t="shared" si="173"/>
        <v>600200.345600001</v>
      </c>
      <c r="W147" s="471">
        <v>12</v>
      </c>
      <c r="X147" s="470">
        <f t="shared" si="174"/>
        <v>50016.6954666667</v>
      </c>
      <c r="Y147" s="476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338</v>
      </c>
      <c r="C148" s="470">
        <v>398711.666666667</v>
      </c>
      <c r="D148" s="469">
        <v>12</v>
      </c>
      <c r="E148" s="470">
        <f t="shared" si="161"/>
        <v>4784540</v>
      </c>
      <c r="F148" s="470"/>
      <c r="G148" s="474">
        <v>325163.200000001</v>
      </c>
      <c r="H148" s="476"/>
      <c r="I148" s="470">
        <f t="shared" si="162"/>
        <v>4459376.8</v>
      </c>
      <c r="J148" s="470">
        <v>200000</v>
      </c>
      <c r="K148" s="470">
        <v>0.2</v>
      </c>
      <c r="L148" s="470">
        <f t="shared" si="163"/>
        <v>891875.360000001</v>
      </c>
      <c r="M148" s="470">
        <f t="shared" si="164"/>
        <v>1091875.36</v>
      </c>
      <c r="N148" s="470">
        <f t="shared" si="165"/>
        <v>1417038.56</v>
      </c>
      <c r="O148" s="470">
        <f t="shared" si="166"/>
        <v>3367501.44</v>
      </c>
      <c r="P148" s="470">
        <f t="shared" si="167"/>
        <v>21000</v>
      </c>
      <c r="Q148" s="470">
        <f t="shared" si="168"/>
        <v>33000</v>
      </c>
      <c r="R148" s="470">
        <f t="shared" si="169"/>
        <v>75000</v>
      </c>
      <c r="S148" s="470">
        <f t="shared" si="170"/>
        <v>95000</v>
      </c>
      <c r="T148" s="470">
        <f t="shared" si="171"/>
        <v>336000</v>
      </c>
      <c r="U148" s="470">
        <f t="shared" si="172"/>
        <v>40200.3456000005</v>
      </c>
      <c r="V148" s="470">
        <f t="shared" si="173"/>
        <v>600200.345600001</v>
      </c>
      <c r="W148" s="471">
        <v>12</v>
      </c>
      <c r="X148" s="470">
        <f t="shared" si="174"/>
        <v>50016.6954666667</v>
      </c>
      <c r="Y148" s="476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343</v>
      </c>
      <c r="C149" s="470">
        <v>351910.75</v>
      </c>
      <c r="D149" s="469">
        <v>12</v>
      </c>
      <c r="E149" s="470">
        <f t="shared" si="161"/>
        <v>4222929</v>
      </c>
      <c r="F149" s="470"/>
      <c r="G149" s="474">
        <v>289834.32</v>
      </c>
      <c r="H149" s="476"/>
      <c r="I149" s="470">
        <f t="shared" si="162"/>
        <v>3933094.68</v>
      </c>
      <c r="J149" s="470">
        <v>200000</v>
      </c>
      <c r="K149" s="470">
        <v>0.2</v>
      </c>
      <c r="L149" s="470">
        <f t="shared" si="163"/>
        <v>786618.936</v>
      </c>
      <c r="M149" s="470">
        <f t="shared" si="164"/>
        <v>986618.936</v>
      </c>
      <c r="N149" s="470">
        <f t="shared" si="165"/>
        <v>1276453.256</v>
      </c>
      <c r="O149" s="470">
        <f t="shared" si="166"/>
        <v>2946475.744</v>
      </c>
      <c r="P149" s="470">
        <f t="shared" si="167"/>
        <v>21000</v>
      </c>
      <c r="Q149" s="470">
        <f t="shared" si="168"/>
        <v>33000</v>
      </c>
      <c r="R149" s="470">
        <f t="shared" si="169"/>
        <v>75000</v>
      </c>
      <c r="S149" s="470">
        <f t="shared" si="170"/>
        <v>95000</v>
      </c>
      <c r="T149" s="470">
        <f t="shared" si="171"/>
        <v>282759.90624</v>
      </c>
      <c r="U149" s="470"/>
      <c r="V149" s="470">
        <f t="shared" si="173"/>
        <v>506759.90624</v>
      </c>
      <c r="W149" s="471">
        <v>12</v>
      </c>
      <c r="X149" s="470">
        <f t="shared" si="174"/>
        <v>42229.9921866667</v>
      </c>
      <c r="Y149" s="476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345</v>
      </c>
      <c r="C150" s="470">
        <v>351910.75</v>
      </c>
      <c r="D150" s="469">
        <v>12</v>
      </c>
      <c r="E150" s="470">
        <f t="shared" si="161"/>
        <v>4222929</v>
      </c>
      <c r="F150" s="470"/>
      <c r="G150" s="474">
        <v>289834.32</v>
      </c>
      <c r="H150" s="476"/>
      <c r="I150" s="470">
        <f t="shared" si="162"/>
        <v>3933094.68</v>
      </c>
      <c r="J150" s="470">
        <v>200000</v>
      </c>
      <c r="K150" s="470">
        <v>0.2</v>
      </c>
      <c r="L150" s="470">
        <f t="shared" si="163"/>
        <v>786618.936</v>
      </c>
      <c r="M150" s="470">
        <f t="shared" si="164"/>
        <v>986618.936</v>
      </c>
      <c r="N150" s="470">
        <f t="shared" si="165"/>
        <v>1276453.256</v>
      </c>
      <c r="O150" s="470">
        <f t="shared" si="166"/>
        <v>2946475.744</v>
      </c>
      <c r="P150" s="470">
        <f t="shared" si="167"/>
        <v>21000</v>
      </c>
      <c r="Q150" s="470">
        <f t="shared" si="168"/>
        <v>33000</v>
      </c>
      <c r="R150" s="470">
        <f t="shared" si="169"/>
        <v>75000</v>
      </c>
      <c r="S150" s="470">
        <f t="shared" si="170"/>
        <v>95000</v>
      </c>
      <c r="T150" s="470">
        <f t="shared" si="171"/>
        <v>282759.90624</v>
      </c>
      <c r="U150" s="470"/>
      <c r="V150" s="470">
        <f t="shared" si="173"/>
        <v>506759.90624</v>
      </c>
      <c r="W150" s="471">
        <v>12</v>
      </c>
      <c r="X150" s="470">
        <f t="shared" si="174"/>
        <v>42229.9921866667</v>
      </c>
      <c r="Y150" s="476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347</v>
      </c>
      <c r="C151" s="470">
        <v>351910.75</v>
      </c>
      <c r="D151" s="469">
        <v>12</v>
      </c>
      <c r="E151" s="470">
        <f t="shared" si="161"/>
        <v>4222929</v>
      </c>
      <c r="F151" s="470"/>
      <c r="G151" s="474">
        <v>289834.32</v>
      </c>
      <c r="H151" s="476"/>
      <c r="I151" s="470">
        <f t="shared" si="162"/>
        <v>3933094.68</v>
      </c>
      <c r="J151" s="470">
        <v>200000</v>
      </c>
      <c r="K151" s="470">
        <v>0.2</v>
      </c>
      <c r="L151" s="470">
        <f t="shared" si="163"/>
        <v>786618.936</v>
      </c>
      <c r="M151" s="470">
        <f t="shared" si="164"/>
        <v>986618.936</v>
      </c>
      <c r="N151" s="470">
        <f t="shared" si="165"/>
        <v>1276453.256</v>
      </c>
      <c r="O151" s="470">
        <f t="shared" si="166"/>
        <v>2946475.744</v>
      </c>
      <c r="P151" s="470">
        <f t="shared" si="167"/>
        <v>21000</v>
      </c>
      <c r="Q151" s="470">
        <f t="shared" si="168"/>
        <v>33000</v>
      </c>
      <c r="R151" s="470">
        <f t="shared" si="169"/>
        <v>75000</v>
      </c>
      <c r="S151" s="470">
        <f t="shared" si="170"/>
        <v>95000</v>
      </c>
      <c r="T151" s="470">
        <f t="shared" si="171"/>
        <v>282759.90624</v>
      </c>
      <c r="U151" s="470"/>
      <c r="V151" s="470">
        <f t="shared" si="173"/>
        <v>506759.90624</v>
      </c>
      <c r="W151" s="471">
        <v>12</v>
      </c>
      <c r="X151" s="470">
        <f t="shared" si="174"/>
        <v>42229.9921866667</v>
      </c>
      <c r="Y151" s="476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349</v>
      </c>
      <c r="C152" s="470">
        <v>358920.666666667</v>
      </c>
      <c r="D152" s="469">
        <v>12</v>
      </c>
      <c r="E152" s="470">
        <f t="shared" si="161"/>
        <v>4307048</v>
      </c>
      <c r="F152" s="470"/>
      <c r="G152" s="474">
        <v>296563.840000001</v>
      </c>
      <c r="H152" s="476"/>
      <c r="I152" s="470">
        <f t="shared" si="162"/>
        <v>4010484.16</v>
      </c>
      <c r="J152" s="470">
        <v>200000</v>
      </c>
      <c r="K152" s="470">
        <v>0.2</v>
      </c>
      <c r="L152" s="470">
        <f t="shared" si="163"/>
        <v>802096.832000001</v>
      </c>
      <c r="M152" s="470">
        <f t="shared" si="164"/>
        <v>1002096.832</v>
      </c>
      <c r="N152" s="470">
        <f t="shared" si="165"/>
        <v>1298660.672</v>
      </c>
      <c r="O152" s="470">
        <f t="shared" si="166"/>
        <v>3008387.328</v>
      </c>
      <c r="P152" s="470">
        <f t="shared" si="167"/>
        <v>21000</v>
      </c>
      <c r="Q152" s="470">
        <f t="shared" si="168"/>
        <v>33000</v>
      </c>
      <c r="R152" s="470">
        <f t="shared" si="169"/>
        <v>75000</v>
      </c>
      <c r="S152" s="470">
        <f t="shared" si="170"/>
        <v>95000</v>
      </c>
      <c r="T152" s="470">
        <f t="shared" si="171"/>
        <v>295761.33888</v>
      </c>
      <c r="U152" s="470"/>
      <c r="V152" s="470">
        <f t="shared" si="173"/>
        <v>519761.33888</v>
      </c>
      <c r="W152" s="471">
        <v>12</v>
      </c>
      <c r="X152" s="470">
        <f t="shared" si="174"/>
        <v>43313.4449066667</v>
      </c>
      <c r="Y152" s="476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350</v>
      </c>
      <c r="C153" s="470">
        <v>351910.75</v>
      </c>
      <c r="D153" s="469">
        <v>12</v>
      </c>
      <c r="E153" s="470">
        <f t="shared" si="161"/>
        <v>4222929</v>
      </c>
      <c r="F153" s="470"/>
      <c r="G153" s="474">
        <v>289834.32</v>
      </c>
      <c r="H153" s="476"/>
      <c r="I153" s="470">
        <f t="shared" si="162"/>
        <v>3933094.68</v>
      </c>
      <c r="J153" s="470">
        <v>200000</v>
      </c>
      <c r="K153" s="470">
        <v>0.2</v>
      </c>
      <c r="L153" s="470">
        <f t="shared" si="163"/>
        <v>786618.936</v>
      </c>
      <c r="M153" s="470">
        <f t="shared" si="164"/>
        <v>986618.936</v>
      </c>
      <c r="N153" s="470">
        <f t="shared" si="165"/>
        <v>1276453.256</v>
      </c>
      <c r="O153" s="470">
        <f t="shared" si="166"/>
        <v>2946475.744</v>
      </c>
      <c r="P153" s="470">
        <f t="shared" si="167"/>
        <v>21000</v>
      </c>
      <c r="Q153" s="470">
        <f t="shared" si="168"/>
        <v>33000</v>
      </c>
      <c r="R153" s="470">
        <f t="shared" si="169"/>
        <v>75000</v>
      </c>
      <c r="S153" s="470">
        <f t="shared" si="170"/>
        <v>95000</v>
      </c>
      <c r="T153" s="470">
        <f t="shared" si="171"/>
        <v>282759.90624</v>
      </c>
      <c r="U153" s="470"/>
      <c r="V153" s="470">
        <f t="shared" si="173"/>
        <v>506759.90624</v>
      </c>
      <c r="W153" s="471">
        <v>12</v>
      </c>
      <c r="X153" s="470">
        <f t="shared" si="174"/>
        <v>42229.9921866667</v>
      </c>
      <c r="Y153" s="476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351</v>
      </c>
      <c r="C154" s="470">
        <v>360647.920777778</v>
      </c>
      <c r="D154" s="469">
        <v>12</v>
      </c>
      <c r="E154" s="470">
        <f t="shared" si="161"/>
        <v>4327775.04933334</v>
      </c>
      <c r="F154" s="470"/>
      <c r="G154" s="474">
        <v>283104.8</v>
      </c>
      <c r="H154" s="476"/>
      <c r="I154" s="470">
        <f t="shared" si="162"/>
        <v>4044670.24933334</v>
      </c>
      <c r="J154" s="470">
        <v>200000</v>
      </c>
      <c r="K154" s="470">
        <v>0.2</v>
      </c>
      <c r="L154" s="470">
        <f t="shared" si="163"/>
        <v>808934.049866667</v>
      </c>
      <c r="M154" s="470">
        <f t="shared" si="164"/>
        <v>1008934.04986667</v>
      </c>
      <c r="N154" s="470">
        <f t="shared" si="165"/>
        <v>1292038.84986667</v>
      </c>
      <c r="O154" s="470">
        <f t="shared" si="166"/>
        <v>3035736.19946667</v>
      </c>
      <c r="P154" s="470">
        <f t="shared" si="167"/>
        <v>21000</v>
      </c>
      <c r="Q154" s="470">
        <f t="shared" si="168"/>
        <v>33000</v>
      </c>
      <c r="R154" s="470">
        <f t="shared" si="169"/>
        <v>75000</v>
      </c>
      <c r="S154" s="470">
        <f t="shared" si="170"/>
        <v>95000</v>
      </c>
      <c r="T154" s="470">
        <f t="shared" si="171"/>
        <v>301504.601888</v>
      </c>
      <c r="U154" s="470"/>
      <c r="V154" s="470">
        <f t="shared" si="173"/>
        <v>525504.601888</v>
      </c>
      <c r="W154" s="471">
        <v>12</v>
      </c>
      <c r="X154" s="470">
        <f t="shared" si="174"/>
        <v>43792.0501573334</v>
      </c>
      <c r="Y154" s="476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3"/>
      <c r="AD154" s="473"/>
      <c r="AE154" s="473"/>
    </row>
    <row r="155" ht="15.5" spans="1:31">
      <c r="A155" s="467">
        <v>139</v>
      </c>
      <c r="B155" s="351" t="s">
        <v>353</v>
      </c>
      <c r="C155" s="470">
        <v>344900.833333334</v>
      </c>
      <c r="D155" s="469">
        <v>12</v>
      </c>
      <c r="E155" s="470">
        <f t="shared" si="161"/>
        <v>4138810.00000001</v>
      </c>
      <c r="F155" s="470"/>
      <c r="G155" s="474">
        <v>283104.8</v>
      </c>
      <c r="H155" s="476"/>
      <c r="I155" s="470">
        <f t="shared" si="162"/>
        <v>3855705.20000001</v>
      </c>
      <c r="J155" s="470">
        <v>200000</v>
      </c>
      <c r="K155" s="470">
        <v>0.2</v>
      </c>
      <c r="L155" s="470">
        <f t="shared" si="163"/>
        <v>771141.040000002</v>
      </c>
      <c r="M155" s="470">
        <f t="shared" si="164"/>
        <v>971141.040000002</v>
      </c>
      <c r="N155" s="470">
        <f t="shared" si="165"/>
        <v>1254245.84</v>
      </c>
      <c r="O155" s="470">
        <f t="shared" si="166"/>
        <v>2884564.16000001</v>
      </c>
      <c r="P155" s="470">
        <f t="shared" si="167"/>
        <v>21000</v>
      </c>
      <c r="Q155" s="470">
        <f t="shared" si="168"/>
        <v>33000</v>
      </c>
      <c r="R155" s="470">
        <f t="shared" si="169"/>
        <v>75000</v>
      </c>
      <c r="S155" s="470">
        <f t="shared" si="170"/>
        <v>95000</v>
      </c>
      <c r="T155" s="470">
        <f t="shared" si="171"/>
        <v>269758.473600001</v>
      </c>
      <c r="U155" s="470"/>
      <c r="V155" s="470">
        <f t="shared" si="173"/>
        <v>493758.473600001</v>
      </c>
      <c r="W155" s="471">
        <v>12</v>
      </c>
      <c r="X155" s="470">
        <f t="shared" si="174"/>
        <v>41146.5394666668</v>
      </c>
      <c r="Y155" s="476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359</v>
      </c>
      <c r="C156" s="470">
        <v>271717.166666666</v>
      </c>
      <c r="D156" s="469">
        <v>12</v>
      </c>
      <c r="E156" s="470">
        <f t="shared" si="161"/>
        <v>3260605.99999999</v>
      </c>
      <c r="F156" s="470">
        <v>47786.5749999999</v>
      </c>
      <c r="G156" s="474">
        <v>228208.48</v>
      </c>
      <c r="H156" s="476"/>
      <c r="I156" s="470">
        <f t="shared" si="162"/>
        <v>2984610.94499999</v>
      </c>
      <c r="J156" s="470">
        <v>200000</v>
      </c>
      <c r="K156" s="470">
        <v>0.2</v>
      </c>
      <c r="L156" s="470">
        <f t="shared" si="163"/>
        <v>596922.188999998</v>
      </c>
      <c r="M156" s="470">
        <f t="shared" si="164"/>
        <v>796922.188999998</v>
      </c>
      <c r="N156" s="470">
        <f t="shared" si="165"/>
        <v>1072917.244</v>
      </c>
      <c r="O156" s="470">
        <f t="shared" si="166"/>
        <v>2187688.75599999</v>
      </c>
      <c r="P156" s="470">
        <f t="shared" si="167"/>
        <v>21000</v>
      </c>
      <c r="Q156" s="470">
        <f t="shared" si="168"/>
        <v>33000</v>
      </c>
      <c r="R156" s="470">
        <f t="shared" si="169"/>
        <v>75000</v>
      </c>
      <c r="S156" s="470">
        <f t="shared" si="170"/>
        <v>95000</v>
      </c>
      <c r="T156" s="470">
        <f t="shared" si="171"/>
        <v>123414.638759999</v>
      </c>
      <c r="U156" s="470"/>
      <c r="V156" s="470">
        <f t="shared" si="173"/>
        <v>347414.638759999</v>
      </c>
      <c r="W156" s="471">
        <v>12</v>
      </c>
      <c r="X156" s="470">
        <f t="shared" si="174"/>
        <v>28951.2198966665</v>
      </c>
      <c r="Y156" s="476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362</v>
      </c>
      <c r="C157" s="470">
        <v>274717.166666666</v>
      </c>
      <c r="D157" s="469">
        <v>12</v>
      </c>
      <c r="E157" s="470">
        <f t="shared" si="161"/>
        <v>3296605.99999999</v>
      </c>
      <c r="F157" s="470"/>
      <c r="G157" s="474">
        <v>228208.48</v>
      </c>
      <c r="H157" s="476"/>
      <c r="I157" s="470">
        <f t="shared" si="162"/>
        <v>3068397.51999999</v>
      </c>
      <c r="J157" s="470">
        <v>200000</v>
      </c>
      <c r="K157" s="470">
        <v>0.2</v>
      </c>
      <c r="L157" s="470">
        <f t="shared" si="163"/>
        <v>613679.503999998</v>
      </c>
      <c r="M157" s="470">
        <f t="shared" si="164"/>
        <v>813679.503999998</v>
      </c>
      <c r="N157" s="470">
        <f t="shared" si="165"/>
        <v>1041887.984</v>
      </c>
      <c r="O157" s="470">
        <f t="shared" si="166"/>
        <v>2254718.01599999</v>
      </c>
      <c r="P157" s="470">
        <f t="shared" si="167"/>
        <v>21000</v>
      </c>
      <c r="Q157" s="470">
        <f t="shared" si="168"/>
        <v>33000</v>
      </c>
      <c r="R157" s="470">
        <f t="shared" si="169"/>
        <v>75000</v>
      </c>
      <c r="S157" s="470">
        <f t="shared" si="170"/>
        <v>95000</v>
      </c>
      <c r="T157" s="470">
        <f t="shared" si="171"/>
        <v>137490.783359999</v>
      </c>
      <c r="U157" s="470"/>
      <c r="V157" s="470">
        <f t="shared" si="173"/>
        <v>361490.783359999</v>
      </c>
      <c r="W157" s="471">
        <v>12</v>
      </c>
      <c r="X157" s="470">
        <f t="shared" si="174"/>
        <v>30124.2319466666</v>
      </c>
      <c r="Y157" s="476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666</v>
      </c>
      <c r="C158" s="470">
        <v>271717.166666666</v>
      </c>
      <c r="D158" s="469">
        <v>12</v>
      </c>
      <c r="E158" s="470">
        <f t="shared" si="161"/>
        <v>3260605.99999999</v>
      </c>
      <c r="F158" s="470"/>
      <c r="G158" s="474">
        <v>228208.48</v>
      </c>
      <c r="H158" s="476"/>
      <c r="I158" s="470">
        <f t="shared" si="162"/>
        <v>3032397.51999999</v>
      </c>
      <c r="J158" s="470">
        <v>200000</v>
      </c>
      <c r="K158" s="470">
        <v>0.2</v>
      </c>
      <c r="L158" s="470">
        <f t="shared" si="163"/>
        <v>606479.503999998</v>
      </c>
      <c r="M158" s="470">
        <f t="shared" si="164"/>
        <v>806479.503999998</v>
      </c>
      <c r="N158" s="470">
        <f t="shared" si="165"/>
        <v>1034687.984</v>
      </c>
      <c r="O158" s="470">
        <f t="shared" si="166"/>
        <v>2225918.01599999</v>
      </c>
      <c r="P158" s="470">
        <f t="shared" si="167"/>
        <v>21000</v>
      </c>
      <c r="Q158" s="470">
        <f t="shared" si="168"/>
        <v>33000</v>
      </c>
      <c r="R158" s="470">
        <f t="shared" si="169"/>
        <v>75000</v>
      </c>
      <c r="S158" s="470">
        <f t="shared" si="170"/>
        <v>95000</v>
      </c>
      <c r="T158" s="470">
        <f t="shared" si="171"/>
        <v>131442.783359999</v>
      </c>
      <c r="U158" s="470"/>
      <c r="V158" s="470">
        <f t="shared" si="173"/>
        <v>355442.783359999</v>
      </c>
      <c r="W158" s="471">
        <v>12</v>
      </c>
      <c r="X158" s="470">
        <f t="shared" si="174"/>
        <v>29620.2319466666</v>
      </c>
      <c r="Y158" s="476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363</v>
      </c>
      <c r="C159" s="470">
        <v>271717.166666666</v>
      </c>
      <c r="D159" s="469">
        <v>12</v>
      </c>
      <c r="E159" s="470">
        <f t="shared" si="161"/>
        <v>3260605.99999999</v>
      </c>
      <c r="F159" s="470">
        <v>47786.5749999999</v>
      </c>
      <c r="G159" s="474">
        <v>228208.48</v>
      </c>
      <c r="H159" s="476"/>
      <c r="I159" s="470">
        <f t="shared" si="162"/>
        <v>2984610.94499999</v>
      </c>
      <c r="J159" s="470">
        <v>200000</v>
      </c>
      <c r="K159" s="470">
        <v>0.2</v>
      </c>
      <c r="L159" s="470">
        <f t="shared" si="163"/>
        <v>596922.188999998</v>
      </c>
      <c r="M159" s="470">
        <f t="shared" si="164"/>
        <v>796922.188999998</v>
      </c>
      <c r="N159" s="470">
        <f t="shared" si="165"/>
        <v>1072917.244</v>
      </c>
      <c r="O159" s="470">
        <f t="shared" si="166"/>
        <v>2187688.75599999</v>
      </c>
      <c r="P159" s="470">
        <f t="shared" si="167"/>
        <v>21000</v>
      </c>
      <c r="Q159" s="470">
        <f t="shared" si="168"/>
        <v>33000</v>
      </c>
      <c r="R159" s="470">
        <f t="shared" si="169"/>
        <v>75000</v>
      </c>
      <c r="S159" s="470">
        <f t="shared" si="170"/>
        <v>95000</v>
      </c>
      <c r="T159" s="470">
        <f t="shared" si="171"/>
        <v>123414.638759999</v>
      </c>
      <c r="U159" s="470"/>
      <c r="V159" s="470">
        <f t="shared" si="173"/>
        <v>347414.638759999</v>
      </c>
      <c r="W159" s="471">
        <v>12</v>
      </c>
      <c r="X159" s="470">
        <f t="shared" si="174"/>
        <v>28951.2198966665</v>
      </c>
      <c r="Y159" s="476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364</v>
      </c>
      <c r="C160" s="470">
        <v>271717.166666666</v>
      </c>
      <c r="D160" s="469">
        <v>12</v>
      </c>
      <c r="E160" s="470">
        <f t="shared" si="161"/>
        <v>3260605.99999999</v>
      </c>
      <c r="F160" s="470"/>
      <c r="G160" s="474">
        <v>228208.48</v>
      </c>
      <c r="H160" s="476"/>
      <c r="I160" s="470">
        <f t="shared" si="162"/>
        <v>3032397.51999999</v>
      </c>
      <c r="J160" s="470">
        <v>200000</v>
      </c>
      <c r="K160" s="470">
        <v>0.2</v>
      </c>
      <c r="L160" s="470">
        <f t="shared" si="163"/>
        <v>606479.503999998</v>
      </c>
      <c r="M160" s="470">
        <f t="shared" si="164"/>
        <v>806479.503999998</v>
      </c>
      <c r="N160" s="470">
        <f t="shared" si="165"/>
        <v>1034687.984</v>
      </c>
      <c r="O160" s="470">
        <f t="shared" si="166"/>
        <v>2225918.01599999</v>
      </c>
      <c r="P160" s="470">
        <f t="shared" si="167"/>
        <v>21000</v>
      </c>
      <c r="Q160" s="470">
        <f t="shared" si="168"/>
        <v>33000</v>
      </c>
      <c r="R160" s="470">
        <f t="shared" si="169"/>
        <v>75000</v>
      </c>
      <c r="S160" s="470">
        <f t="shared" si="170"/>
        <v>95000</v>
      </c>
      <c r="T160" s="470">
        <f t="shared" si="171"/>
        <v>131442.783359999</v>
      </c>
      <c r="U160" s="470"/>
      <c r="V160" s="470">
        <f t="shared" si="173"/>
        <v>355442.783359999</v>
      </c>
      <c r="W160" s="471">
        <v>12</v>
      </c>
      <c r="X160" s="470">
        <f t="shared" si="174"/>
        <v>29620.2319466666</v>
      </c>
      <c r="Y160" s="476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365</v>
      </c>
      <c r="C161" s="470">
        <v>268733.833333334</v>
      </c>
      <c r="D161" s="469">
        <v>12</v>
      </c>
      <c r="E161" s="470">
        <f t="shared" si="161"/>
        <v>3224806.00000001</v>
      </c>
      <c r="F161" s="470"/>
      <c r="G161" s="474">
        <v>222464.48</v>
      </c>
      <c r="H161" s="476"/>
      <c r="I161" s="470">
        <f t="shared" si="162"/>
        <v>3002341.52000001</v>
      </c>
      <c r="J161" s="470">
        <v>200000</v>
      </c>
      <c r="K161" s="470">
        <v>0.2</v>
      </c>
      <c r="L161" s="470">
        <f t="shared" si="163"/>
        <v>600468.304000002</v>
      </c>
      <c r="M161" s="470">
        <f t="shared" si="164"/>
        <v>800468.304000002</v>
      </c>
      <c r="N161" s="470">
        <f t="shared" si="165"/>
        <v>1022932.784</v>
      </c>
      <c r="O161" s="470">
        <f t="shared" si="166"/>
        <v>2201873.21600001</v>
      </c>
      <c r="P161" s="470">
        <f t="shared" si="167"/>
        <v>21000</v>
      </c>
      <c r="Q161" s="470">
        <f t="shared" si="168"/>
        <v>33000</v>
      </c>
      <c r="R161" s="470">
        <f t="shared" si="169"/>
        <v>75000</v>
      </c>
      <c r="S161" s="470">
        <f t="shared" si="170"/>
        <v>95000</v>
      </c>
      <c r="T161" s="470">
        <f t="shared" si="171"/>
        <v>126393.375360001</v>
      </c>
      <c r="U161" s="470"/>
      <c r="V161" s="470">
        <f t="shared" si="173"/>
        <v>350393.375360001</v>
      </c>
      <c r="W161" s="471">
        <v>12</v>
      </c>
      <c r="X161" s="470">
        <f t="shared" si="174"/>
        <v>29199.4479466668</v>
      </c>
      <c r="Y161" s="476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367</v>
      </c>
      <c r="C162" s="470">
        <v>265733.833333334</v>
      </c>
      <c r="D162" s="469">
        <v>12</v>
      </c>
      <c r="E162" s="470">
        <f t="shared" si="161"/>
        <v>3188806.00000001</v>
      </c>
      <c r="F162" s="470"/>
      <c r="G162" s="474">
        <v>222464.48</v>
      </c>
      <c r="H162" s="476"/>
      <c r="I162" s="470">
        <f t="shared" si="162"/>
        <v>2966341.52000001</v>
      </c>
      <c r="J162" s="470">
        <v>200000</v>
      </c>
      <c r="K162" s="470">
        <v>0.2</v>
      </c>
      <c r="L162" s="470">
        <f t="shared" si="163"/>
        <v>593268.304000002</v>
      </c>
      <c r="M162" s="470">
        <f t="shared" si="164"/>
        <v>793268.304000002</v>
      </c>
      <c r="N162" s="470">
        <f t="shared" si="165"/>
        <v>1015732.784</v>
      </c>
      <c r="O162" s="470">
        <f t="shared" si="166"/>
        <v>2173073.21600001</v>
      </c>
      <c r="P162" s="470">
        <f t="shared" si="167"/>
        <v>21000</v>
      </c>
      <c r="Q162" s="470">
        <f t="shared" si="168"/>
        <v>33000</v>
      </c>
      <c r="R162" s="470">
        <f t="shared" si="169"/>
        <v>75000</v>
      </c>
      <c r="S162" s="470">
        <f t="shared" si="170"/>
        <v>95000</v>
      </c>
      <c r="T162" s="470">
        <f t="shared" si="171"/>
        <v>120345.375360001</v>
      </c>
      <c r="U162" s="470"/>
      <c r="V162" s="470">
        <f t="shared" si="173"/>
        <v>344345.375360001</v>
      </c>
      <c r="W162" s="471">
        <v>12</v>
      </c>
      <c r="X162" s="470">
        <f t="shared" si="174"/>
        <v>28695.4479466668</v>
      </c>
      <c r="Y162" s="476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368</v>
      </c>
      <c r="C163" s="470">
        <v>268733.833333334</v>
      </c>
      <c r="D163" s="469">
        <v>12</v>
      </c>
      <c r="E163" s="470">
        <f t="shared" si="161"/>
        <v>3224806.00000001</v>
      </c>
      <c r="F163" s="470"/>
      <c r="G163" s="474">
        <v>222464.48</v>
      </c>
      <c r="H163" s="476"/>
      <c r="I163" s="470">
        <f t="shared" si="162"/>
        <v>3002341.52000001</v>
      </c>
      <c r="J163" s="470">
        <v>200000</v>
      </c>
      <c r="K163" s="470">
        <v>0.2</v>
      </c>
      <c r="L163" s="470">
        <f t="shared" si="163"/>
        <v>600468.304000002</v>
      </c>
      <c r="M163" s="470">
        <f t="shared" si="164"/>
        <v>800468.304000002</v>
      </c>
      <c r="N163" s="470">
        <f t="shared" si="165"/>
        <v>1022932.784</v>
      </c>
      <c r="O163" s="470">
        <f t="shared" si="166"/>
        <v>2201873.21600001</v>
      </c>
      <c r="P163" s="470">
        <f t="shared" si="167"/>
        <v>21000</v>
      </c>
      <c r="Q163" s="470">
        <f t="shared" si="168"/>
        <v>33000</v>
      </c>
      <c r="R163" s="470">
        <f t="shared" si="169"/>
        <v>75000</v>
      </c>
      <c r="S163" s="470">
        <f t="shared" si="170"/>
        <v>95000</v>
      </c>
      <c r="T163" s="470">
        <f t="shared" si="171"/>
        <v>126393.375360001</v>
      </c>
      <c r="U163" s="470"/>
      <c r="V163" s="470">
        <f t="shared" si="173"/>
        <v>350393.375360001</v>
      </c>
      <c r="W163" s="471">
        <v>12</v>
      </c>
      <c r="X163" s="470">
        <f t="shared" si="174"/>
        <v>29199.4479466668</v>
      </c>
      <c r="Y163" s="476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369</v>
      </c>
      <c r="C164" s="470">
        <v>265733.833333334</v>
      </c>
      <c r="D164" s="469">
        <v>12</v>
      </c>
      <c r="E164" s="470">
        <f t="shared" si="161"/>
        <v>3188806.00000001</v>
      </c>
      <c r="F164" s="470"/>
      <c r="G164" s="474">
        <v>222464.48</v>
      </c>
      <c r="H164" s="476"/>
      <c r="I164" s="470">
        <f t="shared" si="162"/>
        <v>2966341.52000001</v>
      </c>
      <c r="J164" s="470">
        <v>200000</v>
      </c>
      <c r="K164" s="470">
        <v>0.2</v>
      </c>
      <c r="L164" s="470">
        <f t="shared" si="163"/>
        <v>593268.304000002</v>
      </c>
      <c r="M164" s="470">
        <f t="shared" si="164"/>
        <v>793268.304000002</v>
      </c>
      <c r="N164" s="470">
        <f t="shared" si="165"/>
        <v>1015732.784</v>
      </c>
      <c r="O164" s="470">
        <f t="shared" si="166"/>
        <v>2173073.21600001</v>
      </c>
      <c r="P164" s="470">
        <f t="shared" si="167"/>
        <v>21000</v>
      </c>
      <c r="Q164" s="470">
        <f t="shared" si="168"/>
        <v>33000</v>
      </c>
      <c r="R164" s="470">
        <f t="shared" si="169"/>
        <v>75000</v>
      </c>
      <c r="S164" s="470">
        <f t="shared" si="170"/>
        <v>95000</v>
      </c>
      <c r="T164" s="470">
        <f t="shared" si="171"/>
        <v>120345.375360001</v>
      </c>
      <c r="U164" s="470"/>
      <c r="V164" s="470">
        <f t="shared" si="173"/>
        <v>344345.375360001</v>
      </c>
      <c r="W164" s="471">
        <v>12</v>
      </c>
      <c r="X164" s="470">
        <f t="shared" si="174"/>
        <v>28695.4479466668</v>
      </c>
      <c r="Y164" s="476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370</v>
      </c>
      <c r="C165" s="470">
        <v>265733.833333334</v>
      </c>
      <c r="D165" s="469">
        <v>12</v>
      </c>
      <c r="E165" s="470">
        <f t="shared" si="161"/>
        <v>3188806.00000001</v>
      </c>
      <c r="F165" s="470"/>
      <c r="G165" s="474">
        <v>222464.48</v>
      </c>
      <c r="H165" s="476"/>
      <c r="I165" s="470">
        <f t="shared" si="162"/>
        <v>2966341.52000001</v>
      </c>
      <c r="J165" s="470">
        <v>200000</v>
      </c>
      <c r="K165" s="470">
        <v>0.2</v>
      </c>
      <c r="L165" s="470">
        <f t="shared" si="163"/>
        <v>593268.304000002</v>
      </c>
      <c r="M165" s="470">
        <f t="shared" si="164"/>
        <v>793268.304000002</v>
      </c>
      <c r="N165" s="470">
        <f t="shared" si="165"/>
        <v>1015732.784</v>
      </c>
      <c r="O165" s="470">
        <f t="shared" si="166"/>
        <v>2173073.21600001</v>
      </c>
      <c r="P165" s="470">
        <f t="shared" si="167"/>
        <v>21000</v>
      </c>
      <c r="Q165" s="470">
        <f t="shared" si="168"/>
        <v>33000</v>
      </c>
      <c r="R165" s="470">
        <f t="shared" si="169"/>
        <v>75000</v>
      </c>
      <c r="S165" s="470">
        <f t="shared" si="170"/>
        <v>95000</v>
      </c>
      <c r="T165" s="470">
        <f t="shared" si="171"/>
        <v>120345.375360001</v>
      </c>
      <c r="U165" s="470"/>
      <c r="V165" s="470">
        <f t="shared" si="173"/>
        <v>344345.375360001</v>
      </c>
      <c r="W165" s="471">
        <v>12</v>
      </c>
      <c r="X165" s="470">
        <f t="shared" si="174"/>
        <v>28695.4479466668</v>
      </c>
      <c r="Y165" s="476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357</v>
      </c>
      <c r="C166" s="470">
        <v>268733.833333334</v>
      </c>
      <c r="D166" s="469">
        <v>12</v>
      </c>
      <c r="E166" s="470">
        <f t="shared" si="161"/>
        <v>3224806.00000001</v>
      </c>
      <c r="F166" s="470"/>
      <c r="G166" s="474">
        <v>222464.48</v>
      </c>
      <c r="H166" s="476"/>
      <c r="I166" s="470">
        <f t="shared" si="162"/>
        <v>3002341.52000001</v>
      </c>
      <c r="J166" s="470">
        <v>200000</v>
      </c>
      <c r="K166" s="470">
        <v>0.2</v>
      </c>
      <c r="L166" s="470">
        <f t="shared" si="163"/>
        <v>600468.304000002</v>
      </c>
      <c r="M166" s="470">
        <f t="shared" si="164"/>
        <v>800468.304000002</v>
      </c>
      <c r="N166" s="470">
        <f t="shared" si="165"/>
        <v>1022932.784</v>
      </c>
      <c r="O166" s="470">
        <f t="shared" si="166"/>
        <v>2201873.21600001</v>
      </c>
      <c r="P166" s="470">
        <f t="shared" si="167"/>
        <v>21000</v>
      </c>
      <c r="Q166" s="470">
        <f t="shared" si="168"/>
        <v>33000</v>
      </c>
      <c r="R166" s="470">
        <f t="shared" si="169"/>
        <v>75000</v>
      </c>
      <c r="S166" s="470">
        <f t="shared" si="170"/>
        <v>95000</v>
      </c>
      <c r="T166" s="470">
        <f t="shared" si="171"/>
        <v>126393.375360001</v>
      </c>
      <c r="U166" s="470"/>
      <c r="V166" s="470">
        <f t="shared" si="173"/>
        <v>350393.375360001</v>
      </c>
      <c r="W166" s="471">
        <v>12</v>
      </c>
      <c r="X166" s="470">
        <f t="shared" si="174"/>
        <v>29199.4479466668</v>
      </c>
      <c r="Y166" s="476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371</v>
      </c>
      <c r="C167" s="470">
        <v>256767.333333333</v>
      </c>
      <c r="D167" s="469">
        <v>12</v>
      </c>
      <c r="E167" s="470">
        <f t="shared" si="161"/>
        <v>3081208</v>
      </c>
      <c r="F167" s="470"/>
      <c r="G167" s="474">
        <v>210976.639999999</v>
      </c>
      <c r="H167" s="476"/>
      <c r="I167" s="470">
        <f t="shared" si="162"/>
        <v>2870231.36</v>
      </c>
      <c r="J167" s="470">
        <v>200000</v>
      </c>
      <c r="K167" s="470">
        <v>0.2</v>
      </c>
      <c r="L167" s="470">
        <f t="shared" si="163"/>
        <v>574046.271999999</v>
      </c>
      <c r="M167" s="470">
        <f t="shared" si="164"/>
        <v>774046.271999999</v>
      </c>
      <c r="N167" s="470">
        <f t="shared" si="165"/>
        <v>985022.911999998</v>
      </c>
      <c r="O167" s="470">
        <f t="shared" si="166"/>
        <v>2096185.088</v>
      </c>
      <c r="P167" s="470">
        <f t="shared" si="167"/>
        <v>21000</v>
      </c>
      <c r="Q167" s="470">
        <f t="shared" si="168"/>
        <v>33000</v>
      </c>
      <c r="R167" s="470">
        <f t="shared" si="169"/>
        <v>75000</v>
      </c>
      <c r="S167" s="470">
        <f t="shared" si="170"/>
        <v>95000</v>
      </c>
      <c r="T167" s="470">
        <f t="shared" si="171"/>
        <v>104198.86848</v>
      </c>
      <c r="U167" s="470"/>
      <c r="V167" s="470">
        <f t="shared" si="173"/>
        <v>328198.868479999</v>
      </c>
      <c r="W167" s="471">
        <v>12</v>
      </c>
      <c r="X167" s="470">
        <f t="shared" si="174"/>
        <v>27349.9057066666</v>
      </c>
      <c r="Y167" s="476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373</v>
      </c>
      <c r="C168" s="470">
        <v>256767.333333333</v>
      </c>
      <c r="D168" s="469">
        <v>12</v>
      </c>
      <c r="E168" s="470">
        <f t="shared" si="161"/>
        <v>3081208</v>
      </c>
      <c r="F168" s="470"/>
      <c r="G168" s="474">
        <v>210976.639999999</v>
      </c>
      <c r="H168" s="476"/>
      <c r="I168" s="470">
        <f t="shared" si="162"/>
        <v>2870231.36</v>
      </c>
      <c r="J168" s="470">
        <v>200000</v>
      </c>
      <c r="K168" s="470">
        <v>0.2</v>
      </c>
      <c r="L168" s="470">
        <f t="shared" si="163"/>
        <v>574046.271999999</v>
      </c>
      <c r="M168" s="470">
        <f t="shared" si="164"/>
        <v>774046.271999999</v>
      </c>
      <c r="N168" s="470">
        <f t="shared" si="165"/>
        <v>985022.911999998</v>
      </c>
      <c r="O168" s="470">
        <f t="shared" si="166"/>
        <v>2096185.088</v>
      </c>
      <c r="P168" s="470">
        <f t="shared" si="167"/>
        <v>21000</v>
      </c>
      <c r="Q168" s="470">
        <f t="shared" si="168"/>
        <v>33000</v>
      </c>
      <c r="R168" s="470">
        <f t="shared" si="169"/>
        <v>75000</v>
      </c>
      <c r="S168" s="470">
        <f t="shared" si="170"/>
        <v>95000</v>
      </c>
      <c r="T168" s="470">
        <f t="shared" si="171"/>
        <v>104198.86848</v>
      </c>
      <c r="U168" s="470"/>
      <c r="V168" s="470">
        <f t="shared" si="173"/>
        <v>328198.868479999</v>
      </c>
      <c r="W168" s="471">
        <v>12</v>
      </c>
      <c r="X168" s="470">
        <f t="shared" si="174"/>
        <v>27349.9057066666</v>
      </c>
      <c r="Y168" s="476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374</v>
      </c>
      <c r="C169" s="470">
        <v>262750.583333333</v>
      </c>
      <c r="D169" s="469">
        <v>12</v>
      </c>
      <c r="E169" s="470">
        <f t="shared" si="161"/>
        <v>3153007</v>
      </c>
      <c r="F169" s="470"/>
      <c r="G169" s="474">
        <v>216720.559999999</v>
      </c>
      <c r="H169" s="476"/>
      <c r="I169" s="470">
        <f t="shared" si="162"/>
        <v>2936286.44</v>
      </c>
      <c r="J169" s="470">
        <v>200000</v>
      </c>
      <c r="K169" s="470">
        <v>0.2</v>
      </c>
      <c r="L169" s="470">
        <f t="shared" si="163"/>
        <v>587257.287999999</v>
      </c>
      <c r="M169" s="470">
        <f t="shared" si="164"/>
        <v>787257.287999999</v>
      </c>
      <c r="N169" s="470">
        <f t="shared" si="165"/>
        <v>1003977.848</v>
      </c>
      <c r="O169" s="470">
        <f t="shared" si="166"/>
        <v>2149029.152</v>
      </c>
      <c r="P169" s="470">
        <f t="shared" si="167"/>
        <v>21000</v>
      </c>
      <c r="Q169" s="470">
        <f t="shared" si="168"/>
        <v>33000</v>
      </c>
      <c r="R169" s="470">
        <f t="shared" si="169"/>
        <v>75000</v>
      </c>
      <c r="S169" s="470">
        <f t="shared" si="170"/>
        <v>95000</v>
      </c>
      <c r="T169" s="470">
        <f t="shared" si="171"/>
        <v>115296.12192</v>
      </c>
      <c r="U169" s="470"/>
      <c r="V169" s="470">
        <f t="shared" si="173"/>
        <v>339296.12192</v>
      </c>
      <c r="W169" s="471">
        <v>12</v>
      </c>
      <c r="X169" s="470">
        <f t="shared" si="174"/>
        <v>28274.6768266666</v>
      </c>
      <c r="Y169" s="476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376</v>
      </c>
      <c r="C170" s="470">
        <v>240784</v>
      </c>
      <c r="D170" s="469">
        <v>12</v>
      </c>
      <c r="E170" s="470">
        <f t="shared" si="161"/>
        <v>2889408</v>
      </c>
      <c r="F170" s="470"/>
      <c r="G170" s="474">
        <v>205232.64</v>
      </c>
      <c r="H170" s="476"/>
      <c r="I170" s="470">
        <f t="shared" si="162"/>
        <v>2684175.36</v>
      </c>
      <c r="J170" s="470">
        <v>200000</v>
      </c>
      <c r="K170" s="470">
        <v>0.2</v>
      </c>
      <c r="L170" s="470">
        <f t="shared" si="163"/>
        <v>536835.072</v>
      </c>
      <c r="M170" s="470">
        <f t="shared" si="164"/>
        <v>736835.072</v>
      </c>
      <c r="N170" s="470">
        <f t="shared" si="165"/>
        <v>942067.712</v>
      </c>
      <c r="O170" s="470">
        <f t="shared" si="166"/>
        <v>1947340.288</v>
      </c>
      <c r="P170" s="470">
        <f t="shared" si="167"/>
        <v>21000</v>
      </c>
      <c r="Q170" s="470">
        <f t="shared" si="168"/>
        <v>33000</v>
      </c>
      <c r="R170" s="470">
        <f t="shared" si="169"/>
        <v>75000</v>
      </c>
      <c r="S170" s="470">
        <f t="shared" si="170"/>
        <v>95000</v>
      </c>
      <c r="T170" s="470">
        <f t="shared" si="171"/>
        <v>72941.46048</v>
      </c>
      <c r="U170" s="470"/>
      <c r="V170" s="470">
        <f t="shared" si="173"/>
        <v>296941.46048</v>
      </c>
      <c r="W170" s="471">
        <v>12</v>
      </c>
      <c r="X170" s="470">
        <f t="shared" si="174"/>
        <v>24745.1217066667</v>
      </c>
      <c r="Y170" s="476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378</v>
      </c>
      <c r="C171" s="470">
        <v>240784</v>
      </c>
      <c r="D171" s="469">
        <v>12</v>
      </c>
      <c r="E171" s="470">
        <f t="shared" si="161"/>
        <v>2889408</v>
      </c>
      <c r="F171" s="470"/>
      <c r="G171" s="474">
        <v>205232.64</v>
      </c>
      <c r="H171" s="476"/>
      <c r="I171" s="470">
        <f t="shared" si="162"/>
        <v>2684175.36</v>
      </c>
      <c r="J171" s="470">
        <v>200000</v>
      </c>
      <c r="K171" s="470">
        <v>0.2</v>
      </c>
      <c r="L171" s="470">
        <f t="shared" si="163"/>
        <v>536835.072</v>
      </c>
      <c r="M171" s="470">
        <f t="shared" si="164"/>
        <v>736835.072</v>
      </c>
      <c r="N171" s="470">
        <f t="shared" si="165"/>
        <v>942067.712</v>
      </c>
      <c r="O171" s="470">
        <f t="shared" si="166"/>
        <v>1947340.288</v>
      </c>
      <c r="P171" s="470">
        <f t="shared" si="167"/>
        <v>21000</v>
      </c>
      <c r="Q171" s="470">
        <f t="shared" si="168"/>
        <v>33000</v>
      </c>
      <c r="R171" s="470">
        <f t="shared" si="169"/>
        <v>75000</v>
      </c>
      <c r="S171" s="470">
        <f t="shared" si="170"/>
        <v>95000</v>
      </c>
      <c r="T171" s="470">
        <f t="shared" si="171"/>
        <v>72941.46048</v>
      </c>
      <c r="U171" s="470"/>
      <c r="V171" s="470">
        <f t="shared" si="173"/>
        <v>296941.46048</v>
      </c>
      <c r="W171" s="471">
        <v>12</v>
      </c>
      <c r="X171" s="470">
        <f t="shared" si="174"/>
        <v>24745.1217066667</v>
      </c>
      <c r="Y171" s="476"/>
      <c r="Z171" s="929">
        <f t="shared" si="175"/>
        <v>24745.1217066667</v>
      </c>
      <c r="AA171" s="806">
        <v>7852.4192</v>
      </c>
      <c r="AB171" s="806">
        <f t="shared" si="176"/>
        <v>16892.7025066667</v>
      </c>
      <c r="AC171" s="473"/>
      <c r="AD171" s="473"/>
      <c r="AE171" s="473"/>
    </row>
    <row r="172" ht="15.5" spans="1:31">
      <c r="A172" s="467">
        <v>156</v>
      </c>
      <c r="B172" s="651" t="s">
        <v>379</v>
      </c>
      <c r="C172" s="470">
        <v>363463.725806452</v>
      </c>
      <c r="D172" s="469">
        <v>12</v>
      </c>
      <c r="E172" s="470">
        <f t="shared" si="161"/>
        <v>4361564.70967742</v>
      </c>
      <c r="F172" s="470"/>
      <c r="G172" s="474">
        <v>205232.64</v>
      </c>
      <c r="H172" s="476"/>
      <c r="I172" s="470">
        <f t="shared" si="162"/>
        <v>4156332.06967742</v>
      </c>
      <c r="J172" s="470">
        <v>200000</v>
      </c>
      <c r="K172" s="470">
        <v>0.2</v>
      </c>
      <c r="L172" s="470">
        <f t="shared" si="163"/>
        <v>831266.413935485</v>
      </c>
      <c r="M172" s="470">
        <f t="shared" si="164"/>
        <v>1031266.41393548</v>
      </c>
      <c r="N172" s="470">
        <f t="shared" si="165"/>
        <v>1236499.05393548</v>
      </c>
      <c r="O172" s="470">
        <f t="shared" si="166"/>
        <v>3125065.65574194</v>
      </c>
      <c r="P172" s="470">
        <f t="shared" si="167"/>
        <v>21000</v>
      </c>
      <c r="Q172" s="470">
        <f t="shared" si="168"/>
        <v>33000</v>
      </c>
      <c r="R172" s="470">
        <f t="shared" si="169"/>
        <v>75000</v>
      </c>
      <c r="S172" s="470">
        <f t="shared" si="170"/>
        <v>95000</v>
      </c>
      <c r="T172" s="470">
        <f t="shared" si="171"/>
        <v>320263.787705807</v>
      </c>
      <c r="U172" s="470"/>
      <c r="V172" s="470">
        <f t="shared" si="173"/>
        <v>544263.787705807</v>
      </c>
      <c r="W172" s="471">
        <v>12</v>
      </c>
      <c r="X172" s="470">
        <f t="shared" si="174"/>
        <v>45355.3156421506</v>
      </c>
      <c r="Y172" s="476"/>
      <c r="Z172" s="929">
        <f t="shared" si="175"/>
        <v>45355.3156421506</v>
      </c>
      <c r="AA172" s="806">
        <v>7492.4192</v>
      </c>
      <c r="AB172" s="806">
        <f t="shared" si="176"/>
        <v>37862.8964421506</v>
      </c>
      <c r="AC172" s="473"/>
      <c r="AD172" s="473"/>
      <c r="AE172" s="473"/>
    </row>
    <row r="173" ht="15.5" spans="1:31">
      <c r="A173" s="467">
        <v>157</v>
      </c>
      <c r="B173" s="651" t="s">
        <v>380</v>
      </c>
      <c r="C173" s="470">
        <v>363463.725806452</v>
      </c>
      <c r="D173" s="469">
        <v>12</v>
      </c>
      <c r="E173" s="470">
        <f t="shared" si="161"/>
        <v>4361564.70967742</v>
      </c>
      <c r="F173" s="470"/>
      <c r="G173" s="474">
        <v>205232.64</v>
      </c>
      <c r="H173" s="476"/>
      <c r="I173" s="470">
        <f t="shared" si="162"/>
        <v>4156332.06967742</v>
      </c>
      <c r="J173" s="470">
        <v>200000</v>
      </c>
      <c r="K173" s="470">
        <v>0.2</v>
      </c>
      <c r="L173" s="470">
        <f t="shared" si="163"/>
        <v>831266.413935485</v>
      </c>
      <c r="M173" s="470">
        <f t="shared" si="164"/>
        <v>1031266.41393548</v>
      </c>
      <c r="N173" s="470">
        <f t="shared" si="165"/>
        <v>1236499.05393548</v>
      </c>
      <c r="O173" s="470">
        <f t="shared" si="166"/>
        <v>3125065.65574194</v>
      </c>
      <c r="P173" s="470">
        <f t="shared" si="167"/>
        <v>21000</v>
      </c>
      <c r="Q173" s="470">
        <f t="shared" si="168"/>
        <v>33000</v>
      </c>
      <c r="R173" s="470">
        <f t="shared" si="169"/>
        <v>75000</v>
      </c>
      <c r="S173" s="470">
        <f t="shared" si="170"/>
        <v>95000</v>
      </c>
      <c r="T173" s="470">
        <f t="shared" si="171"/>
        <v>320263.787705807</v>
      </c>
      <c r="U173" s="470"/>
      <c r="V173" s="470">
        <f t="shared" si="173"/>
        <v>544263.787705807</v>
      </c>
      <c r="W173" s="471">
        <v>12</v>
      </c>
      <c r="X173" s="470">
        <f t="shared" si="174"/>
        <v>45355.3156421506</v>
      </c>
      <c r="Y173" s="476"/>
      <c r="Z173" s="929">
        <f t="shared" si="175"/>
        <v>45355.3156421506</v>
      </c>
      <c r="AA173" s="806">
        <v>7852.4192</v>
      </c>
      <c r="AB173" s="806">
        <f t="shared" si="176"/>
        <v>37502.8964421506</v>
      </c>
      <c r="AC173" s="473"/>
      <c r="AD173" s="473"/>
      <c r="AE173" s="473"/>
    </row>
    <row r="174" ht="15.5" spans="1:31">
      <c r="A174" s="467">
        <v>158</v>
      </c>
      <c r="B174" s="651" t="s">
        <v>381</v>
      </c>
      <c r="C174" s="938">
        <v>363463.725806452</v>
      </c>
      <c r="D174" s="469">
        <v>12</v>
      </c>
      <c r="E174" s="470">
        <f t="shared" si="161"/>
        <v>4361564.70967742</v>
      </c>
      <c r="F174" s="470"/>
      <c r="G174" s="474">
        <v>205232.64</v>
      </c>
      <c r="H174" s="476"/>
      <c r="I174" s="470">
        <f t="shared" si="162"/>
        <v>4156332.06967742</v>
      </c>
      <c r="J174" s="470">
        <v>200000</v>
      </c>
      <c r="K174" s="470">
        <v>0.2</v>
      </c>
      <c r="L174" s="470">
        <f t="shared" si="163"/>
        <v>831266.413935485</v>
      </c>
      <c r="M174" s="470">
        <f t="shared" si="164"/>
        <v>1031266.41393548</v>
      </c>
      <c r="N174" s="470">
        <f t="shared" si="165"/>
        <v>1236499.05393548</v>
      </c>
      <c r="O174" s="470">
        <f t="shared" si="166"/>
        <v>3125065.65574194</v>
      </c>
      <c r="P174" s="470">
        <f t="shared" si="167"/>
        <v>21000</v>
      </c>
      <c r="Q174" s="470">
        <f t="shared" si="168"/>
        <v>33000</v>
      </c>
      <c r="R174" s="470">
        <f t="shared" si="169"/>
        <v>75000</v>
      </c>
      <c r="S174" s="470">
        <f t="shared" si="170"/>
        <v>95000</v>
      </c>
      <c r="T174" s="470">
        <f t="shared" si="171"/>
        <v>320263.787705807</v>
      </c>
      <c r="U174" s="470"/>
      <c r="V174" s="470">
        <f t="shared" si="173"/>
        <v>544263.787705807</v>
      </c>
      <c r="W174" s="471">
        <v>12</v>
      </c>
      <c r="X174" s="470">
        <f t="shared" si="174"/>
        <v>45355.3156421506</v>
      </c>
      <c r="Y174" s="476"/>
      <c r="Z174" s="929">
        <f t="shared" si="175"/>
        <v>45355.3156421506</v>
      </c>
      <c r="AA174" s="806">
        <v>7492.4192</v>
      </c>
      <c r="AB174" s="806">
        <f t="shared" si="176"/>
        <v>37862.8964421506</v>
      </c>
      <c r="AC174" s="473"/>
      <c r="AD174" s="473"/>
      <c r="AE174" s="473"/>
    </row>
    <row r="175" ht="15.5" spans="1:31">
      <c r="A175" s="467">
        <v>159</v>
      </c>
      <c r="B175" s="651" t="s">
        <v>382</v>
      </c>
      <c r="C175" s="938">
        <v>363463.725806452</v>
      </c>
      <c r="D175" s="469">
        <v>12</v>
      </c>
      <c r="E175" s="470">
        <f t="shared" si="161"/>
        <v>4361564.70967742</v>
      </c>
      <c r="F175" s="470"/>
      <c r="G175" s="474">
        <v>205232.64</v>
      </c>
      <c r="H175" s="476"/>
      <c r="I175" s="470">
        <f t="shared" si="162"/>
        <v>4156332.06967742</v>
      </c>
      <c r="J175" s="470">
        <v>200000</v>
      </c>
      <c r="K175" s="470">
        <v>0.2</v>
      </c>
      <c r="L175" s="470">
        <f t="shared" si="163"/>
        <v>831266.413935485</v>
      </c>
      <c r="M175" s="470">
        <f t="shared" si="164"/>
        <v>1031266.41393548</v>
      </c>
      <c r="N175" s="470">
        <f t="shared" si="165"/>
        <v>1236499.05393548</v>
      </c>
      <c r="O175" s="470">
        <f t="shared" si="166"/>
        <v>3125065.65574194</v>
      </c>
      <c r="P175" s="470">
        <f t="shared" si="167"/>
        <v>21000</v>
      </c>
      <c r="Q175" s="470">
        <f t="shared" si="168"/>
        <v>33000</v>
      </c>
      <c r="R175" s="470">
        <f t="shared" si="169"/>
        <v>75000</v>
      </c>
      <c r="S175" s="470">
        <f t="shared" si="170"/>
        <v>95000</v>
      </c>
      <c r="T175" s="470">
        <f t="shared" si="171"/>
        <v>320263.787705807</v>
      </c>
      <c r="U175" s="470"/>
      <c r="V175" s="470">
        <f t="shared" si="173"/>
        <v>544263.787705807</v>
      </c>
      <c r="W175" s="471">
        <v>12</v>
      </c>
      <c r="X175" s="470">
        <f t="shared" si="174"/>
        <v>45355.3156421506</v>
      </c>
      <c r="Y175" s="476"/>
      <c r="Z175" s="929">
        <f t="shared" si="175"/>
        <v>45355.3156421506</v>
      </c>
      <c r="AA175" s="806">
        <v>7852.4192</v>
      </c>
      <c r="AB175" s="806">
        <f t="shared" si="176"/>
        <v>37502.8964421506</v>
      </c>
    </row>
    <row r="176" ht="15.5" spans="1:31">
      <c r="A176" s="467">
        <v>160</v>
      </c>
      <c r="B176" s="351" t="s">
        <v>383</v>
      </c>
      <c r="C176" s="806">
        <v>954446.8</v>
      </c>
      <c r="D176" s="469">
        <v>12</v>
      </c>
      <c r="E176" s="470">
        <f t="shared" si="161"/>
        <v>11453361.6</v>
      </c>
      <c r="F176" s="620"/>
      <c r="G176" s="474">
        <v>205232.64</v>
      </c>
      <c r="I176" s="470">
        <f t="shared" si="162"/>
        <v>11248128.96</v>
      </c>
      <c r="J176" s="470">
        <v>200000</v>
      </c>
      <c r="K176" s="470">
        <v>0.2</v>
      </c>
      <c r="L176" s="470">
        <f t="shared" si="163"/>
        <v>2249625.792</v>
      </c>
      <c r="M176" s="470">
        <f t="shared" si="164"/>
        <v>2449625.792</v>
      </c>
      <c r="N176" s="470">
        <f t="shared" si="165"/>
        <v>2654858.432</v>
      </c>
      <c r="O176" s="470">
        <f t="shared" si="166"/>
        <v>8798503.168</v>
      </c>
      <c r="P176" s="470">
        <f t="shared" si="167"/>
        <v>21000</v>
      </c>
      <c r="Q176" s="470">
        <f t="shared" si="168"/>
        <v>33000</v>
      </c>
      <c r="R176" s="470">
        <f t="shared" si="169"/>
        <v>75000</v>
      </c>
      <c r="S176" s="470">
        <f t="shared" si="170"/>
        <v>95000</v>
      </c>
      <c r="T176" s="470">
        <f t="shared" si="171"/>
        <v>336000</v>
      </c>
      <c r="U176" s="470">
        <f>0.24*(O176-3200000)</f>
        <v>1343640.76032</v>
      </c>
      <c r="V176" s="470">
        <f t="shared" si="173"/>
        <v>1903640.76032</v>
      </c>
      <c r="W176" s="471">
        <v>12</v>
      </c>
      <c r="X176" s="470">
        <f t="shared" si="174"/>
        <v>158636.730026667</v>
      </c>
      <c r="Z176" s="929">
        <f t="shared" si="175"/>
        <v>158636.730026667</v>
      </c>
      <c r="AA176" s="806">
        <v>7492.4192</v>
      </c>
      <c r="AB176" s="806">
        <f t="shared" si="176"/>
        <v>151144.310826667</v>
      </c>
    </row>
    <row r="177" ht="15.5" spans="1:28">
      <c r="A177" s="467">
        <v>161</v>
      </c>
      <c r="B177" s="351" t="s">
        <v>385</v>
      </c>
      <c r="C177" s="806">
        <v>173356.75</v>
      </c>
      <c r="D177" s="469">
        <v>12</v>
      </c>
      <c r="E177" s="470">
        <f t="shared" si="161"/>
        <v>2080281</v>
      </c>
      <c r="F177" s="620"/>
      <c r="G177" s="474">
        <v>205232.64</v>
      </c>
      <c r="I177" s="470">
        <f t="shared" si="162"/>
        <v>1875048.36</v>
      </c>
      <c r="J177" s="470">
        <v>200000</v>
      </c>
      <c r="K177" s="470">
        <v>0.2</v>
      </c>
      <c r="L177" s="470">
        <f t="shared" si="163"/>
        <v>375009.672</v>
      </c>
      <c r="M177" s="470">
        <f t="shared" si="164"/>
        <v>575009.672</v>
      </c>
      <c r="N177" s="470">
        <f t="shared" si="165"/>
        <v>780242.312</v>
      </c>
      <c r="O177" s="470">
        <f t="shared" si="166"/>
        <v>1300038.688</v>
      </c>
      <c r="P177" s="470">
        <f t="shared" si="167"/>
        <v>21000</v>
      </c>
      <c r="Q177" s="470">
        <f t="shared" si="168"/>
        <v>33000</v>
      </c>
      <c r="R177" s="470">
        <f t="shared" si="169"/>
        <v>75000</v>
      </c>
      <c r="S177" s="470">
        <f t="shared" si="170"/>
        <v>38007.35072</v>
      </c>
      <c r="T177" s="470">
        <f t="shared" si="171"/>
        <v>0</v>
      </c>
      <c r="U177" s="470"/>
      <c r="V177" s="470">
        <f t="shared" si="173"/>
        <v>167007.35072</v>
      </c>
      <c r="W177" s="471">
        <v>12</v>
      </c>
      <c r="X177" s="470">
        <f t="shared" si="174"/>
        <v>13917.2792266667</v>
      </c>
      <c r="Z177" s="929">
        <f t="shared" si="175"/>
        <v>13917.2792266667</v>
      </c>
      <c r="AA177" s="806">
        <v>7852.4192</v>
      </c>
      <c r="AB177" s="806">
        <f t="shared" si="176"/>
        <v>6064.86002666667</v>
      </c>
    </row>
    <row r="178" ht="15.5" spans="1:28">
      <c r="A178" s="467">
        <v>162</v>
      </c>
      <c r="B178" s="651" t="s">
        <v>668</v>
      </c>
      <c r="C178" s="806"/>
      <c r="D178" s="469"/>
      <c r="E178" s="470"/>
      <c r="F178" s="620"/>
      <c r="G178" s="474">
        <v>205232.64</v>
      </c>
      <c r="I178" s="470"/>
      <c r="J178" s="470"/>
      <c r="K178" s="470"/>
      <c r="L178" s="470"/>
      <c r="M178" s="470"/>
      <c r="N178" s="470">
        <f t="shared" si="165"/>
        <v>205232.64</v>
      </c>
      <c r="O178" s="470">
        <f t="shared" si="166"/>
        <v>-205232.64</v>
      </c>
      <c r="P178" s="470">
        <f t="shared" si="167"/>
        <v>-14366.2848</v>
      </c>
      <c r="Q178" s="470">
        <f t="shared" si="168"/>
        <v>0</v>
      </c>
      <c r="R178" s="470">
        <f t="shared" si="169"/>
        <v>0</v>
      </c>
      <c r="S178" s="470">
        <f t="shared" si="170"/>
        <v>0</v>
      </c>
      <c r="T178" s="470">
        <f t="shared" si="171"/>
        <v>0</v>
      </c>
      <c r="U178" s="470"/>
      <c r="V178" s="470">
        <f t="shared" si="173"/>
        <v>-14366.2848</v>
      </c>
      <c r="W178" s="471">
        <v>12</v>
      </c>
      <c r="X178" s="470">
        <f t="shared" si="174"/>
        <v>-1197.1904</v>
      </c>
      <c r="Z178" s="929">
        <f t="shared" si="175"/>
        <v>-1197.1904</v>
      </c>
      <c r="AA178" s="806"/>
      <c r="AB178" s="806"/>
    </row>
    <row r="179" ht="15.5" spans="1:28">
      <c r="A179" s="467">
        <v>163</v>
      </c>
      <c r="B179" s="651" t="s">
        <v>386</v>
      </c>
      <c r="C179" s="806">
        <v>173356.75</v>
      </c>
      <c r="D179" s="469">
        <v>12</v>
      </c>
      <c r="E179" s="470">
        <f t="shared" ref="E179:E187" si="177">C179*D179</f>
        <v>2080281</v>
      </c>
      <c r="F179" s="620"/>
      <c r="G179" s="474">
        <v>205232.64</v>
      </c>
      <c r="I179" s="470">
        <f t="shared" ref="I179:I187" si="178">E179-F179-G179-H179</f>
        <v>1875048.36</v>
      </c>
      <c r="J179" s="470">
        <v>200000</v>
      </c>
      <c r="K179" s="470">
        <v>0.2</v>
      </c>
      <c r="L179" s="470">
        <f t="shared" ref="L179:L187" si="179">I179*K179</f>
        <v>375009.672</v>
      </c>
      <c r="M179" s="470">
        <f t="shared" ref="M179:M187" si="180">J179+L179</f>
        <v>575009.672</v>
      </c>
      <c r="N179" s="470">
        <f t="shared" si="165"/>
        <v>780242.312</v>
      </c>
      <c r="O179" s="470">
        <f t="shared" si="166"/>
        <v>1300038.688</v>
      </c>
      <c r="P179" s="470">
        <f t="shared" si="167"/>
        <v>21000</v>
      </c>
      <c r="Q179" s="470">
        <f t="shared" si="168"/>
        <v>33000</v>
      </c>
      <c r="R179" s="470">
        <f t="shared" si="169"/>
        <v>75000</v>
      </c>
      <c r="S179" s="470">
        <f t="shared" si="170"/>
        <v>38007.35072</v>
      </c>
      <c r="T179" s="470">
        <f t="shared" si="171"/>
        <v>0</v>
      </c>
      <c r="V179" s="470">
        <f t="shared" si="173"/>
        <v>167007.35072</v>
      </c>
      <c r="W179" s="471">
        <v>12</v>
      </c>
      <c r="X179" s="470">
        <f t="shared" si="174"/>
        <v>13917.2792266667</v>
      </c>
      <c r="Z179" s="929">
        <f t="shared" si="175"/>
        <v>13917.2792266667</v>
      </c>
      <c r="AA179" s="806">
        <v>7852.4192</v>
      </c>
      <c r="AB179" s="806">
        <f t="shared" ref="AB179:AB187" si="181">Z179-AA179</f>
        <v>6064.86002666667</v>
      </c>
    </row>
    <row r="180" ht="15.5" spans="1:28">
      <c r="A180" s="467">
        <v>164</v>
      </c>
      <c r="B180" s="351" t="s">
        <v>358</v>
      </c>
      <c r="C180" s="806">
        <v>170495.666666667</v>
      </c>
      <c r="D180" s="469">
        <v>12</v>
      </c>
      <c r="E180" s="470">
        <f t="shared" si="177"/>
        <v>2045948</v>
      </c>
      <c r="F180" s="620"/>
      <c r="G180" s="474">
        <v>137755.84</v>
      </c>
      <c r="I180" s="470">
        <f t="shared" si="178"/>
        <v>1908192.16</v>
      </c>
      <c r="J180" s="470">
        <v>200000</v>
      </c>
      <c r="K180" s="470">
        <v>0.2</v>
      </c>
      <c r="L180" s="470">
        <f t="shared" si="179"/>
        <v>381638.432000001</v>
      </c>
      <c r="M180" s="470">
        <f t="shared" si="180"/>
        <v>581638.432000001</v>
      </c>
      <c r="N180" s="470">
        <f t="shared" si="165"/>
        <v>719394.272000001</v>
      </c>
      <c r="O180" s="470">
        <f t="shared" si="166"/>
        <v>1326553.728</v>
      </c>
      <c r="P180" s="470">
        <f t="shared" si="167"/>
        <v>21000</v>
      </c>
      <c r="Q180" s="470">
        <f t="shared" si="168"/>
        <v>33000</v>
      </c>
      <c r="R180" s="470">
        <f t="shared" si="169"/>
        <v>75000</v>
      </c>
      <c r="S180" s="470">
        <f t="shared" si="170"/>
        <v>43045.2083200006</v>
      </c>
      <c r="T180" s="470">
        <f t="shared" si="171"/>
        <v>0</v>
      </c>
      <c r="V180" s="470">
        <f t="shared" si="173"/>
        <v>172045.208320001</v>
      </c>
      <c r="W180" s="471">
        <v>12</v>
      </c>
      <c r="X180" s="470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1:28">
      <c r="A181" s="467">
        <v>165</v>
      </c>
      <c r="B181" s="351" t="s">
        <v>389</v>
      </c>
      <c r="C181" s="806">
        <v>164773.5</v>
      </c>
      <c r="D181" s="469">
        <v>12</v>
      </c>
      <c r="E181" s="470">
        <f t="shared" si="177"/>
        <v>1977282</v>
      </c>
      <c r="F181" s="620"/>
      <c r="G181" s="474">
        <v>132262.56</v>
      </c>
      <c r="I181" s="470">
        <f t="shared" si="178"/>
        <v>1845019.44</v>
      </c>
      <c r="J181" s="470">
        <v>200000</v>
      </c>
      <c r="K181" s="470">
        <v>0.2</v>
      </c>
      <c r="L181" s="470">
        <f t="shared" si="179"/>
        <v>369003.888</v>
      </c>
      <c r="M181" s="470">
        <f t="shared" si="180"/>
        <v>569003.888</v>
      </c>
      <c r="N181" s="470">
        <f t="shared" si="165"/>
        <v>701266.448</v>
      </c>
      <c r="O181" s="470">
        <f t="shared" si="166"/>
        <v>1276015.552</v>
      </c>
      <c r="P181" s="470">
        <f t="shared" si="167"/>
        <v>21000</v>
      </c>
      <c r="Q181" s="470">
        <f t="shared" si="168"/>
        <v>33000</v>
      </c>
      <c r="R181" s="470">
        <f t="shared" si="169"/>
        <v>75000</v>
      </c>
      <c r="S181" s="470">
        <f t="shared" si="170"/>
        <v>33442.95488</v>
      </c>
      <c r="T181" s="470">
        <f t="shared" si="171"/>
        <v>0</v>
      </c>
      <c r="V181" s="470">
        <f t="shared" si="173"/>
        <v>162442.95488</v>
      </c>
      <c r="W181" s="471">
        <v>12</v>
      </c>
      <c r="X181" s="470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1"/>
        <v>9851.85290666667</v>
      </c>
    </row>
    <row r="182" ht="15.5" spans="1:28">
      <c r="A182" s="467">
        <v>166</v>
      </c>
      <c r="B182" s="351" t="s">
        <v>392</v>
      </c>
      <c r="C182" s="806">
        <v>156912.666666667</v>
      </c>
      <c r="D182" s="469">
        <v>12</v>
      </c>
      <c r="E182" s="470">
        <f t="shared" si="177"/>
        <v>1882952</v>
      </c>
      <c r="F182" s="620"/>
      <c r="G182" s="474">
        <v>129516.16</v>
      </c>
      <c r="I182" s="470">
        <f t="shared" si="178"/>
        <v>1753435.84</v>
      </c>
      <c r="J182" s="470">
        <v>200000</v>
      </c>
      <c r="K182" s="470">
        <v>0.2</v>
      </c>
      <c r="L182" s="470">
        <f t="shared" si="179"/>
        <v>350687.168000001</v>
      </c>
      <c r="M182" s="470">
        <f t="shared" si="180"/>
        <v>550687.168000001</v>
      </c>
      <c r="N182" s="470">
        <f t="shared" si="165"/>
        <v>680203.328000001</v>
      </c>
      <c r="O182" s="470">
        <f t="shared" si="166"/>
        <v>1202748.672</v>
      </c>
      <c r="P182" s="470">
        <f t="shared" si="167"/>
        <v>21000</v>
      </c>
      <c r="Q182" s="470">
        <f t="shared" si="168"/>
        <v>33000</v>
      </c>
      <c r="R182" s="470">
        <f t="shared" si="169"/>
        <v>75000</v>
      </c>
      <c r="S182" s="470">
        <f t="shared" si="170"/>
        <v>19522.2476800006</v>
      </c>
      <c r="T182" s="470">
        <f t="shared" si="171"/>
        <v>0</v>
      </c>
      <c r="V182" s="470">
        <f t="shared" si="173"/>
        <v>148522.247680001</v>
      </c>
      <c r="W182" s="471">
        <v>12</v>
      </c>
      <c r="X182" s="470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1:28">
      <c r="A183" s="467">
        <v>167</v>
      </c>
      <c r="B183" s="351" t="s">
        <v>396</v>
      </c>
      <c r="C183" s="806">
        <v>157279.033333333</v>
      </c>
      <c r="D183" s="469">
        <v>12</v>
      </c>
      <c r="E183" s="470">
        <f t="shared" si="177"/>
        <v>1887348.4</v>
      </c>
      <c r="F183" s="620"/>
      <c r="G183" s="474">
        <v>123887.44</v>
      </c>
      <c r="I183" s="470">
        <f t="shared" si="178"/>
        <v>1763460.96</v>
      </c>
      <c r="J183" s="470">
        <v>200000</v>
      </c>
      <c r="K183" s="470">
        <v>0.2</v>
      </c>
      <c r="L183" s="470">
        <f t="shared" si="179"/>
        <v>352692.191999999</v>
      </c>
      <c r="M183" s="470">
        <f t="shared" si="180"/>
        <v>552692.191999999</v>
      </c>
      <c r="N183" s="470">
        <f t="shared" si="165"/>
        <v>676579.631999999</v>
      </c>
      <c r="O183" s="470">
        <f t="shared" si="166"/>
        <v>1210768.768</v>
      </c>
      <c r="P183" s="470">
        <f t="shared" si="167"/>
        <v>21000</v>
      </c>
      <c r="Q183" s="470">
        <f t="shared" si="168"/>
        <v>33000</v>
      </c>
      <c r="R183" s="470">
        <f t="shared" si="169"/>
        <v>75000</v>
      </c>
      <c r="S183" s="470">
        <f t="shared" si="170"/>
        <v>21046.0659199994</v>
      </c>
      <c r="T183" s="470">
        <f t="shared" si="171"/>
        <v>0</v>
      </c>
      <c r="V183" s="470">
        <f t="shared" si="173"/>
        <v>150046.065919999</v>
      </c>
      <c r="W183" s="471">
        <v>12</v>
      </c>
      <c r="X183" s="470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1"/>
        <v>7273.74002666662</v>
      </c>
    </row>
    <row r="184" ht="15.5" spans="1:28">
      <c r="A184" s="467">
        <v>168</v>
      </c>
      <c r="B184" s="351" t="s">
        <v>399</v>
      </c>
      <c r="C184" s="806">
        <v>148049.416666667</v>
      </c>
      <c r="D184" s="469">
        <v>12</v>
      </c>
      <c r="E184" s="470">
        <f t="shared" si="177"/>
        <v>1776593</v>
      </c>
      <c r="F184" s="620"/>
      <c r="G184" s="474">
        <v>123887.44</v>
      </c>
      <c r="I184" s="470">
        <f t="shared" si="178"/>
        <v>1652705.56</v>
      </c>
      <c r="J184" s="470">
        <v>200000</v>
      </c>
      <c r="K184" s="470">
        <v>0.2</v>
      </c>
      <c r="L184" s="470">
        <f t="shared" si="179"/>
        <v>330541.112000001</v>
      </c>
      <c r="M184" s="470">
        <f t="shared" si="180"/>
        <v>530541.112000001</v>
      </c>
      <c r="N184" s="470">
        <f t="shared" si="165"/>
        <v>654428.552000001</v>
      </c>
      <c r="O184" s="470">
        <f t="shared" si="166"/>
        <v>1122164.448</v>
      </c>
      <c r="P184" s="470">
        <f t="shared" si="167"/>
        <v>21000</v>
      </c>
      <c r="Q184" s="470">
        <f t="shared" si="168"/>
        <v>33000</v>
      </c>
      <c r="R184" s="470">
        <f t="shared" si="169"/>
        <v>75000</v>
      </c>
      <c r="S184" s="470">
        <f t="shared" si="170"/>
        <v>4211.24512000064</v>
      </c>
      <c r="T184" s="470">
        <f t="shared" si="171"/>
        <v>0</v>
      </c>
      <c r="V184" s="470">
        <f t="shared" si="173"/>
        <v>133211.245120001</v>
      </c>
      <c r="W184" s="471">
        <v>12</v>
      </c>
      <c r="X184" s="470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1:28">
      <c r="A185" s="467">
        <v>169</v>
      </c>
      <c r="B185" s="351" t="s">
        <v>400</v>
      </c>
      <c r="C185" s="806">
        <v>148049.416666667</v>
      </c>
      <c r="D185" s="469">
        <v>12</v>
      </c>
      <c r="E185" s="470">
        <f t="shared" si="177"/>
        <v>1776593</v>
      </c>
      <c r="F185" s="620"/>
      <c r="G185" s="487">
        <v>123887.44</v>
      </c>
      <c r="I185" s="486">
        <f t="shared" si="178"/>
        <v>1652705.56</v>
      </c>
      <c r="J185" s="470">
        <v>200000</v>
      </c>
      <c r="K185" s="470">
        <v>0.2</v>
      </c>
      <c r="L185" s="470">
        <f t="shared" si="179"/>
        <v>330541.112000001</v>
      </c>
      <c r="M185" s="470">
        <f t="shared" si="180"/>
        <v>530541.112000001</v>
      </c>
      <c r="N185" s="470">
        <f t="shared" si="165"/>
        <v>654428.552000001</v>
      </c>
      <c r="O185" s="470">
        <f t="shared" si="166"/>
        <v>1122164.448</v>
      </c>
      <c r="P185" s="470">
        <f t="shared" si="167"/>
        <v>21000</v>
      </c>
      <c r="Q185" s="470">
        <f t="shared" si="168"/>
        <v>33000</v>
      </c>
      <c r="R185" s="470">
        <f t="shared" si="169"/>
        <v>75000</v>
      </c>
      <c r="S185" s="470">
        <f t="shared" si="170"/>
        <v>4211.24512000064</v>
      </c>
      <c r="T185" s="470">
        <f t="shared" si="171"/>
        <v>0</v>
      </c>
      <c r="V185" s="470">
        <f t="shared" si="173"/>
        <v>133211.245120001</v>
      </c>
      <c r="W185" s="471">
        <v>12</v>
      </c>
      <c r="X185" s="470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1:28">
      <c r="A186" s="467">
        <v>170</v>
      </c>
      <c r="B186" s="351" t="s">
        <v>401</v>
      </c>
      <c r="C186" s="806">
        <v>162634.666666667</v>
      </c>
      <c r="D186" s="469">
        <v>12</v>
      </c>
      <c r="E186" s="470">
        <f t="shared" si="177"/>
        <v>1951616</v>
      </c>
      <c r="F186" s="620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70">
        <f t="shared" si="171"/>
        <v>0</v>
      </c>
      <c r="V186" s="486">
        <f t="shared" si="173"/>
        <v>158124.221440001</v>
      </c>
      <c r="W186" s="490">
        <v>12</v>
      </c>
      <c r="X186" s="486">
        <f t="shared" si="174"/>
        <v>13177.0184533334</v>
      </c>
      <c r="Z186" s="932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1:28">
      <c r="A187" s="467">
        <v>171</v>
      </c>
      <c r="B187" s="351" t="s">
        <v>404</v>
      </c>
      <c r="C187" s="806">
        <v>162634.666666667</v>
      </c>
      <c r="D187" s="469">
        <v>12</v>
      </c>
      <c r="E187" s="470">
        <f t="shared" si="177"/>
        <v>1951616</v>
      </c>
      <c r="F187" s="620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70">
        <f t="shared" si="171"/>
        <v>0</v>
      </c>
      <c r="V187" s="486">
        <f t="shared" si="173"/>
        <v>158124.221440001</v>
      </c>
      <c r="W187" s="490">
        <v>12</v>
      </c>
      <c r="X187" s="486">
        <f t="shared" si="174"/>
        <v>13177.0184533334</v>
      </c>
      <c r="Z187" s="932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1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 t="shared" ref="X188:AB188" si="182">SUM(X6:X187)</f>
        <v>14484768.4273648</v>
      </c>
      <c r="Y188" s="934"/>
      <c r="Z188" s="935">
        <f t="shared" si="182"/>
        <v>14484768.4273648</v>
      </c>
      <c r="AA188" s="935">
        <f t="shared" si="182"/>
        <v>10905235.8361748</v>
      </c>
      <c r="AB188" s="936">
        <f t="shared" si="182"/>
        <v>3580729.78158993</v>
      </c>
    </row>
    <row r="189" ht="17.5" spans="1:28">
      <c r="B189" s="33"/>
      <c r="C189" s="473"/>
      <c r="F189" s="500"/>
      <c r="Z189" s="296"/>
    </row>
    <row r="190" spans="1:28">
      <c r="F190" s="501"/>
      <c r="Z190" s="619"/>
    </row>
    <row r="191" spans="1:28">
      <c r="Z191" s="296"/>
    </row>
    <row r="192" spans="1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E15" activePane="bottomRight" state="frozen"/>
      <selection/>
      <selection pane="topRight"/>
      <selection pane="bottomLeft"/>
      <selection pane="bottomRight" activeCell="H16" sqref="H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683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612</v>
      </c>
      <c r="F4" s="906" t="s">
        <v>589</v>
      </c>
      <c r="G4" s="907" t="s">
        <v>619</v>
      </c>
      <c r="H4" s="907" t="s">
        <v>620</v>
      </c>
      <c r="I4" s="907" t="s">
        <v>598</v>
      </c>
      <c r="J4" s="907" t="s">
        <v>622</v>
      </c>
    </row>
    <row r="5" ht="17.25" customHeight="1" spans="1:10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</row>
    <row r="6" ht="17.25" customHeight="1" spans="1:10">
      <c r="A6" s="4"/>
      <c r="B6" s="4"/>
      <c r="C6" s="8"/>
      <c r="D6" s="8"/>
      <c r="E6" s="10" t="s">
        <v>623</v>
      </c>
      <c r="F6" s="909" t="s">
        <v>624</v>
      </c>
      <c r="G6" s="910" t="s">
        <v>631</v>
      </c>
      <c r="H6" s="910" t="s">
        <v>632</v>
      </c>
      <c r="I6" s="910" t="s">
        <v>633</v>
      </c>
      <c r="J6" s="910" t="s">
        <v>635</v>
      </c>
    </row>
    <row r="7" customHeight="1" spans="1:10">
      <c r="A7" s="9" t="s">
        <v>22</v>
      </c>
      <c r="B7" s="8" t="s">
        <v>23</v>
      </c>
      <c r="C7" s="8"/>
      <c r="D7" s="8"/>
      <c r="E7" s="10"/>
      <c r="F7" s="909"/>
      <c r="G7" s="910"/>
      <c r="H7" s="910" t="s">
        <v>641</v>
      </c>
      <c r="I7" s="910" t="s">
        <v>642</v>
      </c>
      <c r="J7" s="910" t="s">
        <v>642</v>
      </c>
    </row>
    <row r="8" customHeight="1" spans="1:10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912"/>
      <c r="H8" s="912"/>
      <c r="I8" s="912">
        <f t="shared" ref="I8:I38" si="0">H8-G8</f>
        <v>0</v>
      </c>
      <c r="J8" s="912">
        <f t="shared" ref="J8:J38" si="1">H8*12</f>
        <v>0</v>
      </c>
    </row>
    <row r="9" customHeight="1" spans="1:10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912"/>
      <c r="H9" s="912"/>
      <c r="I9" s="912">
        <f t="shared" si="0"/>
        <v>0</v>
      </c>
      <c r="J9" s="912">
        <f t="shared" si="1"/>
        <v>0</v>
      </c>
    </row>
    <row r="10" customHeight="1" spans="1:10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912"/>
      <c r="H10" s="912"/>
      <c r="I10" s="912">
        <f t="shared" si="0"/>
        <v>0</v>
      </c>
      <c r="J10" s="912">
        <f t="shared" si="1"/>
        <v>0</v>
      </c>
    </row>
    <row r="11" customHeight="1" spans="1:10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912">
        <v>10293.3979166667</v>
      </c>
      <c r="H11" s="912">
        <f t="shared" ref="H11:H13" si="2">0.025*F11</f>
        <v>13866.7375</v>
      </c>
      <c r="I11" s="912">
        <f t="shared" si="0"/>
        <v>3573.3395833333</v>
      </c>
      <c r="J11" s="912">
        <f t="shared" si="1"/>
        <v>166400.85</v>
      </c>
    </row>
    <row r="12" customHeight="1" spans="1:10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912">
        <v>10293.3979166667</v>
      </c>
      <c r="H12" s="912">
        <f t="shared" si="2"/>
        <v>13084.6625</v>
      </c>
      <c r="I12" s="912">
        <f t="shared" si="0"/>
        <v>2791.2645833333</v>
      </c>
      <c r="J12" s="912">
        <f t="shared" si="1"/>
        <v>157015.95</v>
      </c>
    </row>
    <row r="13" customHeight="1" spans="1:10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912">
        <v>7859.63125</v>
      </c>
      <c r="H13" s="912">
        <f t="shared" si="2"/>
        <v>11149.8958333333</v>
      </c>
      <c r="I13" s="912">
        <f t="shared" si="0"/>
        <v>3290.26458333333</v>
      </c>
      <c r="J13" s="912">
        <f t="shared" si="1"/>
        <v>133798.75</v>
      </c>
    </row>
    <row r="14" customHeight="1" spans="1:10">
      <c r="A14" s="10">
        <v>7</v>
      </c>
      <c r="B14" s="11" t="s">
        <v>40</v>
      </c>
      <c r="C14" s="4" t="s">
        <v>643</v>
      </c>
      <c r="D14" s="15" t="s">
        <v>192</v>
      </c>
      <c r="E14" s="85">
        <v>484373.75</v>
      </c>
      <c r="F14" s="911">
        <v>366417.5</v>
      </c>
      <c r="G14" s="912"/>
      <c r="H14" s="912">
        <f t="shared" ref="H14:H38" si="3">0.025*F14</f>
        <v>9160.4375</v>
      </c>
      <c r="I14" s="912">
        <f t="shared" si="0"/>
        <v>9160.4375</v>
      </c>
      <c r="J14" s="912">
        <f t="shared" si="1"/>
        <v>109925.25</v>
      </c>
    </row>
    <row r="15" customHeight="1" spans="1:10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912"/>
      <c r="H15" s="912">
        <f t="shared" si="3"/>
        <v>11149.8958333333</v>
      </c>
      <c r="I15" s="912">
        <f t="shared" si="0"/>
        <v>11149.8958333333</v>
      </c>
      <c r="J15" s="912">
        <f t="shared" si="1"/>
        <v>133798.75</v>
      </c>
    </row>
    <row r="16" customHeight="1" spans="1:10">
      <c r="A16" s="10">
        <v>9</v>
      </c>
      <c r="B16" s="11" t="s">
        <v>45</v>
      </c>
      <c r="C16" s="4" t="s">
        <v>46</v>
      </c>
      <c r="D16" s="10" t="s">
        <v>214</v>
      </c>
      <c r="E16" s="85">
        <v>456622.25</v>
      </c>
      <c r="F16" s="911">
        <v>347715.916666667</v>
      </c>
      <c r="G16" s="912"/>
      <c r="H16" s="912">
        <f t="shared" si="3"/>
        <v>8692.89791666667</v>
      </c>
      <c r="I16" s="912">
        <f t="shared" si="0"/>
        <v>8692.89791666667</v>
      </c>
      <c r="J16" s="912">
        <f t="shared" si="1"/>
        <v>104314.775</v>
      </c>
    </row>
    <row r="17" customHeight="1" spans="1:10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912"/>
      <c r="H17" s="912">
        <f t="shared" si="3"/>
        <v>10824.5270833333</v>
      </c>
      <c r="I17" s="912">
        <f t="shared" si="0"/>
        <v>10824.5270833333</v>
      </c>
      <c r="J17" s="912">
        <f t="shared" si="1"/>
        <v>129894.325</v>
      </c>
    </row>
    <row r="18" customHeight="1" spans="1:10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912"/>
      <c r="H18" s="912">
        <f t="shared" si="3"/>
        <v>8443.27083333333</v>
      </c>
      <c r="I18" s="912">
        <f t="shared" si="0"/>
        <v>8443.27083333333</v>
      </c>
      <c r="J18" s="912">
        <f t="shared" si="1"/>
        <v>101319.25</v>
      </c>
    </row>
    <row r="19" customHeight="1" spans="1:10">
      <c r="A19" s="10">
        <v>12</v>
      </c>
      <c r="B19" s="18" t="s">
        <v>54</v>
      </c>
      <c r="C19" s="4" t="s">
        <v>55</v>
      </c>
      <c r="D19" s="15" t="s">
        <v>644</v>
      </c>
      <c r="E19" s="85">
        <v>428915.916666667</v>
      </c>
      <c r="F19" s="911">
        <v>329044.916666667</v>
      </c>
      <c r="G19" s="912">
        <v>5607.17708333333</v>
      </c>
      <c r="H19" s="912">
        <f t="shared" si="3"/>
        <v>8226.12291666667</v>
      </c>
      <c r="I19" s="912">
        <f t="shared" si="0"/>
        <v>2618.94583333334</v>
      </c>
      <c r="J19" s="912">
        <f t="shared" si="1"/>
        <v>98713.4750000001</v>
      </c>
    </row>
    <row r="20" customHeight="1" spans="1:10">
      <c r="A20" s="10">
        <v>13</v>
      </c>
      <c r="B20" s="18" t="s">
        <v>57</v>
      </c>
      <c r="C20" s="4" t="s">
        <v>58</v>
      </c>
      <c r="D20" s="15" t="s">
        <v>602</v>
      </c>
      <c r="E20" s="680">
        <v>403138</v>
      </c>
      <c r="F20" s="911">
        <v>311673.25</v>
      </c>
      <c r="G20" s="912">
        <v>5967.30625</v>
      </c>
      <c r="H20" s="912">
        <f t="shared" si="3"/>
        <v>7791.83125</v>
      </c>
      <c r="I20" s="912">
        <f t="shared" si="0"/>
        <v>1824.525</v>
      </c>
      <c r="J20" s="912">
        <f t="shared" si="1"/>
        <v>93501.975</v>
      </c>
    </row>
    <row r="21" customHeight="1" spans="1:10">
      <c r="A21" s="10">
        <v>14</v>
      </c>
      <c r="B21" s="18" t="s">
        <v>60</v>
      </c>
      <c r="C21" s="4" t="s">
        <v>61</v>
      </c>
      <c r="D21" s="15" t="s">
        <v>602</v>
      </c>
      <c r="E21" s="680">
        <v>403138</v>
      </c>
      <c r="F21" s="911">
        <v>311673.25</v>
      </c>
      <c r="G21" s="912"/>
      <c r="H21" s="912">
        <f t="shared" si="3"/>
        <v>7791.83125</v>
      </c>
      <c r="I21" s="912">
        <f t="shared" si="0"/>
        <v>7791.83125</v>
      </c>
      <c r="J21" s="912">
        <f t="shared" si="1"/>
        <v>93501.975</v>
      </c>
    </row>
    <row r="22" customHeight="1" spans="1:10">
      <c r="A22" s="10">
        <v>15</v>
      </c>
      <c r="B22" s="11" t="s">
        <v>62</v>
      </c>
      <c r="C22" s="12" t="s">
        <v>645</v>
      </c>
      <c r="D22" s="15" t="s">
        <v>261</v>
      </c>
      <c r="E22" s="85">
        <v>402278</v>
      </c>
      <c r="F22" s="911">
        <f>'[18] FGN 2024 MGT Monthly'!$L$40</f>
        <v>311094.416666667</v>
      </c>
      <c r="G22" s="912">
        <v>5257.5625</v>
      </c>
      <c r="H22" s="912">
        <f t="shared" si="3"/>
        <v>7777.36041666667</v>
      </c>
      <c r="I22" s="912">
        <f t="shared" si="0"/>
        <v>2519.79791666667</v>
      </c>
      <c r="J22" s="912">
        <f t="shared" si="1"/>
        <v>93328.325</v>
      </c>
    </row>
    <row r="23" ht="18.75" customHeight="1" spans="1:10">
      <c r="A23" s="10">
        <v>16</v>
      </c>
      <c r="B23" s="11" t="s">
        <v>65</v>
      </c>
      <c r="C23" s="12" t="s">
        <v>178</v>
      </c>
      <c r="D23" s="15" t="s">
        <v>173</v>
      </c>
      <c r="E23" s="85">
        <v>390086.5</v>
      </c>
      <c r="F23" s="911">
        <v>302878.666666667</v>
      </c>
      <c r="G23" s="912"/>
      <c r="H23" s="912">
        <f t="shared" si="3"/>
        <v>7571.96666666667</v>
      </c>
      <c r="I23" s="912">
        <f t="shared" si="0"/>
        <v>7571.96666666667</v>
      </c>
      <c r="J23" s="912">
        <f t="shared" si="1"/>
        <v>90863.6000000001</v>
      </c>
    </row>
    <row r="24" customHeight="1" spans="1:10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912"/>
      <c r="H24" s="912">
        <f t="shared" si="3"/>
        <v>7161.17708333333</v>
      </c>
      <c r="I24" s="912">
        <f t="shared" si="0"/>
        <v>7161.17708333333</v>
      </c>
      <c r="J24" s="912">
        <f t="shared" si="1"/>
        <v>85934.1249999999</v>
      </c>
    </row>
    <row r="25" ht="21.6" customHeight="1" spans="1:10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912"/>
      <c r="H25" s="912">
        <f t="shared" si="3"/>
        <v>7161.17708333333</v>
      </c>
      <c r="I25" s="912">
        <f t="shared" si="0"/>
        <v>7161.17708333333</v>
      </c>
      <c r="J25" s="912">
        <f t="shared" si="1"/>
        <v>85934.1249999999</v>
      </c>
    </row>
    <row r="26" customHeight="1" spans="1:10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912"/>
      <c r="H26" s="912">
        <f t="shared" si="3"/>
        <v>6021.86458333332</v>
      </c>
      <c r="I26" s="912">
        <f t="shared" si="0"/>
        <v>6021.86458333332</v>
      </c>
      <c r="J26" s="912">
        <f t="shared" si="1"/>
        <v>72262.3749999999</v>
      </c>
    </row>
    <row r="27" customHeight="1" spans="1:10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912"/>
      <c r="H27" s="912">
        <f t="shared" si="3"/>
        <v>6021.86458333332</v>
      </c>
      <c r="I27" s="912">
        <f t="shared" si="0"/>
        <v>6021.86458333332</v>
      </c>
      <c r="J27" s="912">
        <f t="shared" si="1"/>
        <v>72262.3749999999</v>
      </c>
    </row>
    <row r="28" ht="18.75" customHeight="1" spans="1:10">
      <c r="A28" s="10">
        <v>21</v>
      </c>
      <c r="B28" s="4" t="s">
        <v>478</v>
      </c>
      <c r="C28" s="4" t="s">
        <v>94</v>
      </c>
      <c r="D28" s="10" t="s">
        <v>156</v>
      </c>
      <c r="E28" s="85">
        <v>277798</v>
      </c>
      <c r="F28" s="911">
        <v>227615.75</v>
      </c>
      <c r="G28" s="912"/>
      <c r="H28" s="912">
        <f t="shared" si="3"/>
        <v>5690.39375</v>
      </c>
      <c r="I28" s="912">
        <f t="shared" si="0"/>
        <v>5690.39375</v>
      </c>
      <c r="J28" s="912">
        <f t="shared" si="1"/>
        <v>68284.725</v>
      </c>
    </row>
    <row r="29" ht="18.75" customHeight="1" spans="1:10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912"/>
      <c r="H29" s="912">
        <f t="shared" si="3"/>
        <v>5690.39375</v>
      </c>
      <c r="I29" s="912">
        <f t="shared" si="0"/>
        <v>5690.39375</v>
      </c>
      <c r="J29" s="912">
        <f t="shared" si="1"/>
        <v>68284.725</v>
      </c>
    </row>
    <row r="30" customHeight="1" spans="1:10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912"/>
      <c r="H30" s="912">
        <f t="shared" si="3"/>
        <v>5690.39375</v>
      </c>
      <c r="I30" s="912">
        <f t="shared" si="0"/>
        <v>5690.39375</v>
      </c>
      <c r="J30" s="912">
        <f t="shared" si="1"/>
        <v>68284.725</v>
      </c>
    </row>
    <row r="31" ht="18.75" customHeight="1" spans="1:10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912"/>
      <c r="H31" s="912">
        <f t="shared" si="3"/>
        <v>5566.86458333332</v>
      </c>
      <c r="I31" s="912">
        <f t="shared" si="0"/>
        <v>5566.86458333332</v>
      </c>
      <c r="J31" s="912">
        <f t="shared" si="1"/>
        <v>66802.3749999999</v>
      </c>
    </row>
    <row r="32" ht="18.75" customHeight="1" spans="1:10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912"/>
      <c r="H32" s="912">
        <f t="shared" si="3"/>
        <v>5443.33541666668</v>
      </c>
      <c r="I32" s="912">
        <f t="shared" si="0"/>
        <v>5443.33541666668</v>
      </c>
      <c r="J32" s="912">
        <f t="shared" si="1"/>
        <v>65320.0250000001</v>
      </c>
    </row>
    <row r="33" ht="18.75" customHeight="1" spans="1:10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912"/>
      <c r="H33" s="912">
        <f t="shared" si="3"/>
        <v>5443.33541666668</v>
      </c>
      <c r="I33" s="912">
        <f t="shared" si="0"/>
        <v>5443.33541666668</v>
      </c>
      <c r="J33" s="912">
        <f t="shared" si="1"/>
        <v>65320.0250000001</v>
      </c>
    </row>
    <row r="34" ht="18.75" customHeight="1" spans="1:10">
      <c r="A34" s="10">
        <v>27</v>
      </c>
      <c r="B34" s="18" t="s">
        <v>91</v>
      </c>
      <c r="C34" s="17" t="s">
        <v>646</v>
      </c>
      <c r="D34" s="15" t="s">
        <v>156</v>
      </c>
      <c r="E34" s="85">
        <v>277798</v>
      </c>
      <c r="F34" s="911">
        <v>227615.75</v>
      </c>
      <c r="G34" s="912">
        <v>3653.5</v>
      </c>
      <c r="H34" s="912">
        <f t="shared" si="3"/>
        <v>5690.39375</v>
      </c>
      <c r="I34" s="912">
        <f t="shared" si="0"/>
        <v>2036.89375</v>
      </c>
      <c r="J34" s="912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912"/>
      <c r="H35" s="912">
        <f t="shared" si="3"/>
        <v>5443.33541666668</v>
      </c>
      <c r="I35" s="912">
        <f t="shared" si="0"/>
        <v>5443.33541666668</v>
      </c>
      <c r="J35" s="912">
        <f t="shared" si="1"/>
        <v>65320.0250000001</v>
      </c>
    </row>
    <row r="36" ht="18.75" customHeight="1" spans="1:10">
      <c r="A36" s="10">
        <v>29</v>
      </c>
      <c r="B36" s="18" t="s">
        <v>95</v>
      </c>
      <c r="C36" s="4" t="s">
        <v>647</v>
      </c>
      <c r="D36" s="10" t="s">
        <v>99</v>
      </c>
      <c r="E36" s="85">
        <v>263165.333333333</v>
      </c>
      <c r="F36" s="911">
        <v>217733.416666667</v>
      </c>
      <c r="G36" s="912"/>
      <c r="H36" s="912">
        <f t="shared" si="3"/>
        <v>5443.33541666668</v>
      </c>
      <c r="I36" s="912">
        <f t="shared" si="0"/>
        <v>5443.33541666668</v>
      </c>
      <c r="J36" s="912">
        <f t="shared" si="1"/>
        <v>65320.0250000001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912"/>
      <c r="H37" s="912">
        <f t="shared" si="3"/>
        <v>4909.11041666668</v>
      </c>
      <c r="I37" s="912">
        <f t="shared" si="0"/>
        <v>4909.11041666668</v>
      </c>
      <c r="J37" s="912">
        <f t="shared" si="1"/>
        <v>58909.3250000001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912"/>
      <c r="H38" s="912">
        <f t="shared" si="3"/>
        <v>4804.48541666668</v>
      </c>
      <c r="I38" s="912">
        <f t="shared" si="0"/>
        <v>4804.48541666668</v>
      </c>
      <c r="J38" s="912">
        <f t="shared" si="1"/>
        <v>57653.8250000001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4">SUM(E8:E38)</f>
        <v>14073003.667</v>
      </c>
      <c r="F39" s="913">
        <f t="shared" si="4"/>
        <v>10664632</v>
      </c>
      <c r="G39" s="221">
        <f t="shared" si="4"/>
        <v>48931.9729166667</v>
      </c>
      <c r="H39" s="221">
        <f t="shared" si="4"/>
        <v>211712.897916667</v>
      </c>
      <c r="I39" s="221">
        <f t="shared" si="4"/>
        <v>162780.925</v>
      </c>
      <c r="J39" s="221">
        <f t="shared" si="4"/>
        <v>2540554.775</v>
      </c>
    </row>
    <row r="40" ht="18.75" customHeight="1" spans="1:10">
      <c r="A40" s="10"/>
      <c r="B40" s="22"/>
      <c r="C40" s="4"/>
      <c r="D40" s="15"/>
      <c r="E40" s="221"/>
      <c r="F40" s="913"/>
      <c r="G40" s="912"/>
      <c r="H40" s="912"/>
      <c r="I40" s="912"/>
      <c r="J40" s="912"/>
    </row>
    <row r="41" ht="18.75" customHeight="1" spans="1:10">
      <c r="A41" s="10"/>
      <c r="B41" s="20" t="s">
        <v>121</v>
      </c>
      <c r="C41" s="4"/>
      <c r="D41" s="15"/>
      <c r="E41" s="85"/>
      <c r="F41" s="911"/>
      <c r="G41" s="912"/>
      <c r="H41" s="912"/>
      <c r="I41" s="912"/>
      <c r="J41" s="912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912"/>
      <c r="H42" s="912">
        <f>0.025*F42</f>
        <v>27169.4270833333</v>
      </c>
      <c r="I42" s="912">
        <f t="shared" ref="I42:I45" si="5">H42-G42</f>
        <v>27169.4270833333</v>
      </c>
      <c r="J42" s="912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912"/>
      <c r="H43" s="912">
        <f>0.025*F43</f>
        <v>6021.86458333332</v>
      </c>
      <c r="I43" s="912">
        <f t="shared" si="5"/>
        <v>6021.86458333332</v>
      </c>
      <c r="J43" s="912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912"/>
      <c r="H44" s="912">
        <f t="shared" ref="H44:H54" si="6">0.025*F44</f>
        <v>6154.27916666668</v>
      </c>
      <c r="I44" s="912">
        <f t="shared" si="5"/>
        <v>6154.27916666668</v>
      </c>
      <c r="J44" s="912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912"/>
      <c r="H45" s="912">
        <f t="shared" si="6"/>
        <v>5443.33541666668</v>
      </c>
      <c r="I45" s="912">
        <f t="shared" si="5"/>
        <v>5443.33541666668</v>
      </c>
      <c r="J45" s="912"/>
    </row>
    <row r="46" ht="19.5" customHeight="1" spans="1:10">
      <c r="A46" s="10"/>
      <c r="B46" s="14"/>
      <c r="C46" s="21">
        <v>4</v>
      </c>
      <c r="D46" s="10"/>
      <c r="E46" s="221">
        <f t="shared" ref="E46:J46" si="7">SUM(E42:E45)</f>
        <v>2308752.41666667</v>
      </c>
      <c r="F46" s="913">
        <f t="shared" si="7"/>
        <v>1791556.25</v>
      </c>
      <c r="G46" s="221">
        <f t="shared" si="7"/>
        <v>0</v>
      </c>
      <c r="H46" s="221">
        <f t="shared" si="7"/>
        <v>44788.9062499999</v>
      </c>
      <c r="I46" s="221">
        <f t="shared" si="7"/>
        <v>44788.9062499999</v>
      </c>
      <c r="J46" s="221">
        <f t="shared" si="7"/>
        <v>0</v>
      </c>
    </row>
    <row r="47" customHeight="1" spans="1:10">
      <c r="A47" s="10"/>
      <c r="B47" s="14"/>
      <c r="C47" s="4"/>
      <c r="D47" s="10"/>
      <c r="E47" s="221"/>
      <c r="F47" s="913"/>
      <c r="G47" s="912"/>
      <c r="H47" s="912"/>
      <c r="I47" s="912"/>
      <c r="J47" s="912"/>
    </row>
    <row r="48" customHeight="1" spans="1:10">
      <c r="A48" s="10"/>
      <c r="B48" s="23" t="s">
        <v>137</v>
      </c>
      <c r="C48" s="5"/>
      <c r="D48" s="24"/>
      <c r="E48" s="221"/>
      <c r="F48" s="913"/>
      <c r="G48" s="912"/>
      <c r="H48" s="912"/>
      <c r="I48" s="912"/>
      <c r="J48" s="912"/>
    </row>
    <row r="49" customHeight="1" spans="1:10">
      <c r="A49" s="10">
        <v>1</v>
      </c>
      <c r="B49" s="11" t="s">
        <v>138</v>
      </c>
      <c r="C49" s="4" t="s">
        <v>648</v>
      </c>
      <c r="D49" s="10" t="s">
        <v>36</v>
      </c>
      <c r="E49" s="85">
        <v>762373.166666667</v>
      </c>
      <c r="F49" s="911">
        <v>554669.5</v>
      </c>
      <c r="G49" s="912"/>
      <c r="H49" s="912">
        <f t="shared" si="6"/>
        <v>13866.7375</v>
      </c>
      <c r="I49" s="912">
        <f t="shared" ref="I49:I56" si="8">H49-G49</f>
        <v>13866.7375</v>
      </c>
      <c r="J49" s="912"/>
    </row>
    <row r="50" customHeight="1" spans="1:10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912"/>
      <c r="H50" s="912">
        <f t="shared" si="6"/>
        <v>11475.2625</v>
      </c>
      <c r="I50" s="912">
        <f t="shared" si="8"/>
        <v>11475.2625</v>
      </c>
      <c r="J50" s="912"/>
    </row>
    <row r="51" customHeight="1" spans="1:10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912">
        <v>8380.22708333333</v>
      </c>
      <c r="H51" s="912">
        <f t="shared" si="6"/>
        <v>11475.2625</v>
      </c>
      <c r="I51" s="912">
        <f t="shared" si="8"/>
        <v>3095.03541666667</v>
      </c>
      <c r="J51" s="912">
        <f>H51*12</f>
        <v>137703.15</v>
      </c>
    </row>
    <row r="52" customHeight="1" spans="1:10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912"/>
      <c r="H52" s="912">
        <f t="shared" si="6"/>
        <v>11149.8958333333</v>
      </c>
      <c r="I52" s="912">
        <f t="shared" si="8"/>
        <v>11149.8958333333</v>
      </c>
      <c r="J52" s="912"/>
    </row>
    <row r="53" customHeight="1" spans="1:10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912"/>
      <c r="H53" s="912">
        <f t="shared" si="6"/>
        <v>10824.5270833333</v>
      </c>
      <c r="I53" s="912">
        <f t="shared" si="8"/>
        <v>10824.5270833333</v>
      </c>
      <c r="J53" s="912"/>
    </row>
    <row r="54" customHeight="1" spans="1:10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912"/>
      <c r="H54" s="912">
        <f t="shared" si="6"/>
        <v>6154.27916666668</v>
      </c>
      <c r="I54" s="912">
        <f t="shared" si="8"/>
        <v>6154.27916666668</v>
      </c>
      <c r="J54" s="912"/>
    </row>
    <row r="55" customHeight="1" spans="1:10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912"/>
      <c r="H55" s="912">
        <f t="shared" ref="H55:H61" si="9">0.025*F55</f>
        <v>5566.86458333332</v>
      </c>
      <c r="I55" s="912">
        <f t="shared" si="8"/>
        <v>5566.86458333332</v>
      </c>
      <c r="J55" s="912"/>
    </row>
    <row r="56" customHeight="1" spans="1:10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912"/>
      <c r="H56" s="912">
        <f t="shared" si="9"/>
        <v>5566.86458333332</v>
      </c>
      <c r="I56" s="912">
        <f t="shared" si="8"/>
        <v>5566.86458333332</v>
      </c>
      <c r="J56" s="912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10">SUM(E49:E56)</f>
        <v>4037104.08333333</v>
      </c>
      <c r="F57" s="915">
        <f t="shared" si="10"/>
        <v>3043187.75</v>
      </c>
      <c r="G57" s="93">
        <f t="shared" si="10"/>
        <v>8380.22708333333</v>
      </c>
      <c r="H57" s="93">
        <f t="shared" si="10"/>
        <v>76079.69375</v>
      </c>
      <c r="I57" s="93">
        <f t="shared" si="10"/>
        <v>67699.4666666667</v>
      </c>
      <c r="J57" s="93">
        <f t="shared" si="10"/>
        <v>137703.15</v>
      </c>
    </row>
    <row r="58" customHeight="1" spans="1:10">
      <c r="A58" s="10"/>
      <c r="B58" s="22"/>
      <c r="C58" s="21"/>
      <c r="D58" s="21"/>
      <c r="E58" s="156"/>
      <c r="F58" s="916"/>
      <c r="G58" s="912"/>
      <c r="H58" s="912"/>
      <c r="I58" s="912"/>
      <c r="J58" s="912"/>
    </row>
    <row r="59" customHeight="1" spans="1:10">
      <c r="A59" s="10"/>
      <c r="B59" s="20" t="s">
        <v>159</v>
      </c>
      <c r="C59" s="21"/>
      <c r="D59" s="21"/>
      <c r="E59" s="156"/>
      <c r="F59" s="916"/>
      <c r="G59" s="912"/>
      <c r="H59" s="912"/>
      <c r="I59" s="912"/>
      <c r="J59" s="912"/>
    </row>
    <row r="60" customHeight="1" spans="1:10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912"/>
      <c r="H60" s="912">
        <f t="shared" si="9"/>
        <v>27169.4270833333</v>
      </c>
      <c r="I60" s="912">
        <f t="shared" ref="I60:I71" si="11">H60-G60</f>
        <v>27169.4270833333</v>
      </c>
      <c r="J60" s="912"/>
    </row>
    <row r="61" customHeight="1" spans="1:10">
      <c r="A61" s="10">
        <v>2</v>
      </c>
      <c r="B61" s="11" t="s">
        <v>162</v>
      </c>
      <c r="C61" s="12" t="s">
        <v>485</v>
      </c>
      <c r="D61" s="15" t="s">
        <v>486</v>
      </c>
      <c r="E61" s="85">
        <v>620675.583333333</v>
      </c>
      <c r="F61" s="911">
        <v>459010.5</v>
      </c>
      <c r="G61" s="912"/>
      <c r="H61" s="912">
        <f t="shared" si="9"/>
        <v>11475.2625</v>
      </c>
      <c r="I61" s="912">
        <f t="shared" si="11"/>
        <v>11475.2625</v>
      </c>
      <c r="J61" s="912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2">SUM(E60:E61)</f>
        <v>2056395.58333333</v>
      </c>
      <c r="F62" s="915">
        <f t="shared" si="12"/>
        <v>1545787.58333333</v>
      </c>
      <c r="G62" s="93">
        <f t="shared" si="12"/>
        <v>0</v>
      </c>
      <c r="H62" s="93">
        <f t="shared" si="12"/>
        <v>38644.6895833333</v>
      </c>
      <c r="I62" s="93">
        <f t="shared" si="12"/>
        <v>38644.6895833333</v>
      </c>
      <c r="J62" s="93">
        <f t="shared" si="12"/>
        <v>0</v>
      </c>
    </row>
    <row r="63" customHeight="1" spans="1:10">
      <c r="A63" s="10"/>
      <c r="B63" s="20"/>
      <c r="C63" s="21"/>
      <c r="D63" s="21"/>
      <c r="E63" s="156"/>
      <c r="F63" s="916"/>
      <c r="G63" s="912"/>
      <c r="H63" s="912"/>
      <c r="I63" s="912"/>
      <c r="J63" s="912"/>
    </row>
    <row r="64" customHeight="1" spans="1:10">
      <c r="A64" s="10"/>
      <c r="B64" s="20" t="s">
        <v>164</v>
      </c>
      <c r="C64" s="21"/>
      <c r="D64" s="21"/>
      <c r="E64" s="156"/>
      <c r="F64" s="916"/>
      <c r="G64" s="912"/>
      <c r="H64" s="912"/>
      <c r="I64" s="912"/>
      <c r="J64" s="912"/>
    </row>
    <row r="65" customHeight="1" spans="1:10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912">
        <v>10293.3979166667</v>
      </c>
      <c r="H65" s="912">
        <f>0.025*F65</f>
        <v>13866.7375</v>
      </c>
      <c r="I65" s="912">
        <f t="shared" si="11"/>
        <v>3573.3395833333</v>
      </c>
      <c r="J65" s="912">
        <f>H65*12</f>
        <v>166400.85</v>
      </c>
    </row>
    <row r="66" customHeight="1" spans="1:10">
      <c r="A66" s="10">
        <v>2</v>
      </c>
      <c r="B66" s="11" t="s">
        <v>167</v>
      </c>
      <c r="C66" s="4" t="s">
        <v>52</v>
      </c>
      <c r="D66" s="10" t="s">
        <v>214</v>
      </c>
      <c r="E66" s="85">
        <v>456622.25</v>
      </c>
      <c r="F66" s="911">
        <v>347715.916666667</v>
      </c>
      <c r="G66" s="912"/>
      <c r="H66" s="912">
        <f t="shared" ref="H66:H71" si="13">0.025*F66</f>
        <v>8692.89791666667</v>
      </c>
      <c r="I66" s="912">
        <f t="shared" si="11"/>
        <v>8692.89791666667</v>
      </c>
      <c r="J66" s="912"/>
    </row>
    <row r="67" customHeight="1" spans="1:10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912"/>
      <c r="H67" s="912">
        <f t="shared" si="13"/>
        <v>7366.57291666668</v>
      </c>
      <c r="I67" s="912">
        <f t="shared" si="11"/>
        <v>7366.57291666668</v>
      </c>
      <c r="J67" s="912"/>
    </row>
    <row r="68" customHeight="1" spans="1:10">
      <c r="A68" s="10">
        <v>4</v>
      </c>
      <c r="B68" s="11" t="s">
        <v>172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912"/>
      <c r="H68" s="912">
        <f t="shared" si="13"/>
        <v>7366.57291666668</v>
      </c>
      <c r="I68" s="912">
        <f t="shared" si="11"/>
        <v>7366.57291666668</v>
      </c>
      <c r="J68" s="912"/>
    </row>
    <row r="69" customHeight="1" spans="1:10">
      <c r="A69" s="10">
        <v>5</v>
      </c>
      <c r="B69" s="11" t="s">
        <v>174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912"/>
      <c r="H69" s="912">
        <f t="shared" si="13"/>
        <v>7366.57291666668</v>
      </c>
      <c r="I69" s="912">
        <f t="shared" si="11"/>
        <v>7366.57291666668</v>
      </c>
      <c r="J69" s="912"/>
    </row>
    <row r="70" customHeight="1" spans="1:10">
      <c r="A70" s="10">
        <v>6</v>
      </c>
      <c r="B70" s="11" t="s">
        <v>175</v>
      </c>
      <c r="C70" s="4" t="s">
        <v>649</v>
      </c>
      <c r="D70" s="10" t="s">
        <v>173</v>
      </c>
      <c r="E70" s="457">
        <v>390086.5</v>
      </c>
      <c r="F70" s="911">
        <v>302878.666666667</v>
      </c>
      <c r="G70" s="912"/>
      <c r="H70" s="912">
        <f t="shared" si="13"/>
        <v>7571.96666666667</v>
      </c>
      <c r="I70" s="912">
        <f t="shared" si="11"/>
        <v>7571.96666666667</v>
      </c>
      <c r="J70" s="912"/>
    </row>
    <row r="71" ht="21.6" customHeight="1" spans="1:10">
      <c r="A71" s="10">
        <v>7</v>
      </c>
      <c r="B71" s="11" t="s">
        <v>179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912"/>
      <c r="H71" s="912">
        <f t="shared" si="13"/>
        <v>6154.27916666668</v>
      </c>
      <c r="I71" s="912">
        <f t="shared" si="11"/>
        <v>6154.27916666668</v>
      </c>
      <c r="J71" s="912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4">SUM(E65:E71)</f>
        <v>3051668.91666667</v>
      </c>
      <c r="F72" s="915">
        <f t="shared" si="14"/>
        <v>2335424</v>
      </c>
      <c r="G72" s="93">
        <f t="shared" si="14"/>
        <v>10293.3979166667</v>
      </c>
      <c r="H72" s="93">
        <f t="shared" si="14"/>
        <v>58385.6</v>
      </c>
      <c r="I72" s="93">
        <f t="shared" si="14"/>
        <v>48092.2020833334</v>
      </c>
      <c r="J72" s="93">
        <f t="shared" si="14"/>
        <v>166400.85</v>
      </c>
    </row>
    <row r="73" customHeight="1" spans="1:10">
      <c r="A73" s="10"/>
      <c r="B73" s="22"/>
      <c r="C73" s="21"/>
      <c r="D73" s="21"/>
      <c r="E73" s="156"/>
      <c r="F73" s="916"/>
      <c r="G73" s="912"/>
      <c r="H73" s="912"/>
      <c r="I73" s="912"/>
      <c r="J73" s="912"/>
    </row>
    <row r="74" customHeight="1" spans="1:10">
      <c r="A74" s="10"/>
      <c r="B74" s="20" t="s">
        <v>183</v>
      </c>
      <c r="C74" s="21"/>
      <c r="D74" s="21"/>
      <c r="E74" s="156"/>
      <c r="F74" s="916"/>
      <c r="G74" s="912"/>
      <c r="H74" s="912"/>
      <c r="I74" s="912"/>
      <c r="J74" s="912"/>
    </row>
    <row r="75" customHeight="1" spans="1:10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911">
        <v>1086777.08333333</v>
      </c>
      <c r="G75" s="912"/>
      <c r="H75" s="912">
        <f t="shared" ref="H75:H80" si="15">0.025*F75</f>
        <v>27169.4270833333</v>
      </c>
      <c r="I75" s="912">
        <f t="shared" ref="I75:I80" si="16">H75-G75</f>
        <v>27169.4270833333</v>
      </c>
      <c r="J75" s="912"/>
    </row>
    <row r="76" customHeight="1" spans="1:10">
      <c r="A76" s="10">
        <v>2</v>
      </c>
      <c r="B76" s="11" t="s">
        <v>188</v>
      </c>
      <c r="C76" s="4" t="s">
        <v>189</v>
      </c>
      <c r="D76" s="10" t="s">
        <v>42</v>
      </c>
      <c r="E76" s="85">
        <v>582118.083333333</v>
      </c>
      <c r="F76" s="911">
        <v>445995.833333333</v>
      </c>
      <c r="G76" s="912"/>
      <c r="H76" s="912">
        <f t="shared" si="15"/>
        <v>11149.8958333333</v>
      </c>
      <c r="I76" s="912">
        <f t="shared" si="16"/>
        <v>11149.8958333333</v>
      </c>
      <c r="J76" s="912"/>
    </row>
    <row r="77" customHeight="1" spans="1:10">
      <c r="A77" s="10">
        <v>3</v>
      </c>
      <c r="B77" s="11" t="s">
        <v>190</v>
      </c>
      <c r="C77" s="4" t="s">
        <v>191</v>
      </c>
      <c r="D77" s="15" t="s">
        <v>47</v>
      </c>
      <c r="E77" s="85">
        <v>470498</v>
      </c>
      <c r="F77" s="911">
        <v>357066.666666667</v>
      </c>
      <c r="G77" s="912">
        <v>6154.32291666667</v>
      </c>
      <c r="H77" s="912">
        <f t="shared" si="15"/>
        <v>8926.66666666668</v>
      </c>
      <c r="I77" s="912">
        <f t="shared" si="16"/>
        <v>2772.34375000001</v>
      </c>
      <c r="J77" s="912">
        <f>H77*12</f>
        <v>107120</v>
      </c>
    </row>
    <row r="78" customHeight="1" spans="1:10">
      <c r="A78" s="10">
        <v>4</v>
      </c>
      <c r="B78" s="11" t="s">
        <v>197</v>
      </c>
      <c r="C78" s="4" t="s">
        <v>198</v>
      </c>
      <c r="D78" s="10" t="s">
        <v>131</v>
      </c>
      <c r="E78" s="85">
        <v>365703.833333333</v>
      </c>
      <c r="F78" s="911">
        <v>286447.083333333</v>
      </c>
      <c r="G78" s="912"/>
      <c r="H78" s="912">
        <f t="shared" si="15"/>
        <v>7161.17708333333</v>
      </c>
      <c r="I78" s="912">
        <f t="shared" si="16"/>
        <v>7161.17708333333</v>
      </c>
      <c r="J78" s="912"/>
    </row>
    <row r="79" customHeight="1" spans="1:10">
      <c r="A79" s="10">
        <v>5</v>
      </c>
      <c r="B79" s="11" t="s">
        <v>201</v>
      </c>
      <c r="C79" s="4" t="s">
        <v>182</v>
      </c>
      <c r="D79" s="10" t="s">
        <v>99</v>
      </c>
      <c r="E79" s="85">
        <v>263165.333333333</v>
      </c>
      <c r="F79" s="911">
        <v>222674.583333333</v>
      </c>
      <c r="G79" s="912"/>
      <c r="H79" s="912">
        <f t="shared" si="15"/>
        <v>5566.86458333332</v>
      </c>
      <c r="I79" s="912">
        <f t="shared" si="16"/>
        <v>5566.86458333332</v>
      </c>
      <c r="J79" s="912"/>
    </row>
    <row r="80" customHeight="1" spans="1:10">
      <c r="A80" s="10">
        <v>6</v>
      </c>
      <c r="B80" s="11" t="s">
        <v>203</v>
      </c>
      <c r="C80" s="4" t="s">
        <v>204</v>
      </c>
      <c r="D80" s="10" t="s">
        <v>108</v>
      </c>
      <c r="E80" s="85">
        <v>230631.916666667</v>
      </c>
      <c r="F80" s="911">
        <v>196364.416666667</v>
      </c>
      <c r="G80" s="912"/>
      <c r="H80" s="912">
        <f t="shared" si="15"/>
        <v>4909.11041666668</v>
      </c>
      <c r="I80" s="912">
        <f t="shared" si="16"/>
        <v>4909.11041666668</v>
      </c>
      <c r="J80" s="912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7">SUM(E75:E80)</f>
        <v>3347837.16666667</v>
      </c>
      <c r="F81" s="915">
        <f t="shared" si="17"/>
        <v>2595325.66666666</v>
      </c>
      <c r="G81" s="93">
        <f t="shared" si="17"/>
        <v>6154.32291666667</v>
      </c>
      <c r="H81" s="93">
        <f t="shared" si="17"/>
        <v>64883.1416666666</v>
      </c>
      <c r="I81" s="93">
        <f t="shared" si="17"/>
        <v>58728.8187499999</v>
      </c>
      <c r="J81" s="93">
        <f t="shared" si="17"/>
        <v>107120</v>
      </c>
    </row>
    <row r="82" customHeight="1" spans="1:10">
      <c r="A82" s="10"/>
      <c r="B82" s="20"/>
      <c r="C82" s="21"/>
      <c r="D82" s="21"/>
      <c r="E82" s="156"/>
      <c r="F82" s="916"/>
      <c r="G82" s="912"/>
      <c r="H82" s="912"/>
      <c r="I82" s="912"/>
      <c r="J82" s="912"/>
    </row>
    <row r="83" customHeight="1" spans="1:10">
      <c r="A83" s="10"/>
      <c r="B83" s="20" t="s">
        <v>205</v>
      </c>
      <c r="C83" s="25"/>
      <c r="D83" s="21"/>
      <c r="E83" s="156"/>
      <c r="F83" s="916"/>
      <c r="G83" s="912"/>
      <c r="H83" s="912"/>
      <c r="I83" s="912"/>
      <c r="J83" s="912"/>
    </row>
    <row r="84" customHeight="1" spans="1:10">
      <c r="A84" s="10">
        <v>1</v>
      </c>
      <c r="B84" s="11" t="s">
        <v>206</v>
      </c>
      <c r="C84" s="4" t="s">
        <v>145</v>
      </c>
      <c r="D84" s="10" t="s">
        <v>304</v>
      </c>
      <c r="E84" s="85">
        <f>'[3]Annual &amp; Monthly'!$H$44</f>
        <v>1352042.66666667</v>
      </c>
      <c r="F84" s="911">
        <v>1025768.33333333</v>
      </c>
      <c r="G84" s="912">
        <v>18254.975</v>
      </c>
      <c r="H84" s="912">
        <f>0.025*F84</f>
        <v>25644.2083333333</v>
      </c>
      <c r="I84" s="912">
        <f t="shared" ref="I84:I93" si="18">H84-G84</f>
        <v>7389.23333333325</v>
      </c>
      <c r="J84" s="912">
        <f>H84*12</f>
        <v>307730.499999999</v>
      </c>
    </row>
    <row r="85" customHeight="1" spans="1:10">
      <c r="A85" s="10">
        <v>2</v>
      </c>
      <c r="B85" s="11" t="s">
        <v>208</v>
      </c>
      <c r="C85" s="4" t="s">
        <v>209</v>
      </c>
      <c r="D85" s="10" t="s">
        <v>143</v>
      </c>
      <c r="E85" s="85">
        <v>716034</v>
      </c>
      <c r="F85" s="911">
        <v>523386.5</v>
      </c>
      <c r="G85" s="912"/>
      <c r="H85" s="912">
        <f t="shared" ref="H85:H93" si="19">0.025*F85</f>
        <v>13084.6625</v>
      </c>
      <c r="I85" s="912">
        <f t="shared" si="18"/>
        <v>13084.6625</v>
      </c>
      <c r="J85" s="912"/>
    </row>
    <row r="86" customHeight="1" spans="1:10">
      <c r="A86" s="10">
        <v>3</v>
      </c>
      <c r="B86" s="11" t="s">
        <v>479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912"/>
      <c r="H86" s="912">
        <f t="shared" si="19"/>
        <v>11149.8958333333</v>
      </c>
      <c r="I86" s="912">
        <f t="shared" si="18"/>
        <v>11149.8958333333</v>
      </c>
      <c r="J86" s="912"/>
    </row>
    <row r="87" ht="21.6" customHeight="1" spans="1:10">
      <c r="A87" s="10">
        <v>4</v>
      </c>
      <c r="B87" s="11" t="s">
        <v>211</v>
      </c>
      <c r="C87" s="4" t="s">
        <v>52</v>
      </c>
      <c r="D87" s="15" t="s">
        <v>214</v>
      </c>
      <c r="E87" s="85">
        <v>456622.25</v>
      </c>
      <c r="F87" s="911">
        <v>442746.5</v>
      </c>
      <c r="G87" s="912"/>
      <c r="H87" s="912">
        <f t="shared" si="19"/>
        <v>11068.6625</v>
      </c>
      <c r="I87" s="912">
        <f t="shared" si="18"/>
        <v>11068.6625</v>
      </c>
      <c r="J87" s="912"/>
    </row>
    <row r="88" ht="21.6" customHeight="1" spans="1:10">
      <c r="A88" s="10">
        <v>5</v>
      </c>
      <c r="B88" s="11" t="s">
        <v>212</v>
      </c>
      <c r="C88" s="4" t="s">
        <v>52</v>
      </c>
      <c r="D88" s="15" t="s">
        <v>214</v>
      </c>
      <c r="E88" s="85">
        <v>456622.25</v>
      </c>
      <c r="F88" s="911">
        <v>442746.5</v>
      </c>
      <c r="G88" s="912"/>
      <c r="H88" s="912">
        <f t="shared" si="19"/>
        <v>11068.6625</v>
      </c>
      <c r="I88" s="912">
        <f t="shared" si="18"/>
        <v>11068.6625</v>
      </c>
      <c r="J88" s="912"/>
    </row>
    <row r="89" ht="21.6" customHeight="1" spans="1:10">
      <c r="A89" s="10">
        <v>6</v>
      </c>
      <c r="B89" s="11" t="s">
        <v>213</v>
      </c>
      <c r="C89" s="12" t="s">
        <v>52</v>
      </c>
      <c r="D89" s="15" t="s">
        <v>53</v>
      </c>
      <c r="E89" s="85">
        <v>442746.5</v>
      </c>
      <c r="F89" s="911">
        <v>428870.75</v>
      </c>
      <c r="G89" s="912"/>
      <c r="H89" s="912">
        <f t="shared" si="19"/>
        <v>10721.76875</v>
      </c>
      <c r="I89" s="912">
        <f t="shared" si="18"/>
        <v>10721.76875</v>
      </c>
      <c r="J89" s="912"/>
    </row>
    <row r="90" ht="21.6" customHeight="1" spans="1:10">
      <c r="A90" s="10">
        <v>7</v>
      </c>
      <c r="B90" s="11" t="s">
        <v>215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912"/>
      <c r="H90" s="912">
        <f t="shared" si="19"/>
        <v>7366.57291666668</v>
      </c>
      <c r="I90" s="912">
        <f t="shared" si="18"/>
        <v>7366.57291666668</v>
      </c>
      <c r="J90" s="912"/>
    </row>
    <row r="91" ht="21.6" customHeight="1" spans="1:10">
      <c r="A91" s="10">
        <v>8</v>
      </c>
      <c r="B91" s="11" t="s">
        <v>216</v>
      </c>
      <c r="C91" s="17" t="s">
        <v>217</v>
      </c>
      <c r="D91" s="15" t="s">
        <v>64</v>
      </c>
      <c r="E91" s="85">
        <v>403137.916666667</v>
      </c>
      <c r="F91" s="911">
        <v>311673.25</v>
      </c>
      <c r="G91" s="912">
        <v>5259.74375</v>
      </c>
      <c r="H91" s="912">
        <f t="shared" si="19"/>
        <v>7791.83125</v>
      </c>
      <c r="I91" s="912">
        <f t="shared" si="18"/>
        <v>2532.0875</v>
      </c>
      <c r="J91" s="912">
        <f>H91*12</f>
        <v>93501.975</v>
      </c>
    </row>
    <row r="92" ht="21.6" customHeight="1" spans="1:10">
      <c r="A92" s="10">
        <v>9</v>
      </c>
      <c r="B92" s="11" t="s">
        <v>220</v>
      </c>
      <c r="C92" s="4" t="s">
        <v>221</v>
      </c>
      <c r="D92" s="10" t="s">
        <v>78</v>
      </c>
      <c r="E92" s="220">
        <v>308901.5</v>
      </c>
      <c r="F92" s="911">
        <v>246171.166666667</v>
      </c>
      <c r="G92" s="912"/>
      <c r="H92" s="912">
        <f t="shared" si="19"/>
        <v>6154.27916666668</v>
      </c>
      <c r="I92" s="912">
        <f t="shared" si="18"/>
        <v>6154.27916666668</v>
      </c>
      <c r="J92" s="912"/>
    </row>
    <row r="93" ht="21.6" customHeight="1" spans="1:10">
      <c r="A93" s="10">
        <v>10</v>
      </c>
      <c r="B93" s="11" t="s">
        <v>224</v>
      </c>
      <c r="C93" s="17" t="s">
        <v>505</v>
      </c>
      <c r="D93" s="15" t="s">
        <v>105</v>
      </c>
      <c r="E93" s="220">
        <v>236804.083333333</v>
      </c>
      <c r="F93" s="911">
        <v>200549.416666667</v>
      </c>
      <c r="G93" s="912"/>
      <c r="H93" s="912">
        <f t="shared" si="19"/>
        <v>5013.73541666668</v>
      </c>
      <c r="I93" s="912">
        <f t="shared" si="18"/>
        <v>5013.73541666668</v>
      </c>
      <c r="J93" s="912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20">SUM(E84:E93)</f>
        <v>5352203.16666667</v>
      </c>
      <c r="F94" s="915">
        <f t="shared" si="20"/>
        <v>4362571.16666666</v>
      </c>
      <c r="G94" s="93">
        <f t="shared" si="20"/>
        <v>23514.71875</v>
      </c>
      <c r="H94" s="93">
        <f t="shared" si="20"/>
        <v>109064.279166667</v>
      </c>
      <c r="I94" s="93">
        <f t="shared" si="20"/>
        <v>85549.5604166666</v>
      </c>
      <c r="J94" s="93">
        <f t="shared" si="20"/>
        <v>401232.474999999</v>
      </c>
    </row>
    <row r="95" customHeight="1" spans="1:10">
      <c r="A95" s="10"/>
      <c r="B95" s="22"/>
      <c r="C95" s="21"/>
      <c r="D95" s="21"/>
      <c r="E95" s="156"/>
      <c r="F95" s="916"/>
      <c r="G95" s="912"/>
      <c r="H95" s="912"/>
      <c r="I95" s="912"/>
      <c r="J95" s="912"/>
    </row>
    <row r="96" customHeight="1" spans="1:10">
      <c r="A96" s="10"/>
      <c r="B96" s="20" t="s">
        <v>226</v>
      </c>
      <c r="C96" s="21"/>
      <c r="D96" s="21"/>
      <c r="E96" s="156"/>
      <c r="F96" s="916"/>
      <c r="G96" s="912"/>
      <c r="H96" s="912"/>
      <c r="I96" s="912"/>
      <c r="J96" s="912"/>
    </row>
    <row r="97" customHeight="1" spans="1:10">
      <c r="A97" s="10">
        <v>1</v>
      </c>
      <c r="B97" s="14" t="s">
        <v>227</v>
      </c>
      <c r="C97" s="4" t="s">
        <v>650</v>
      </c>
      <c r="D97" s="16" t="s">
        <v>140</v>
      </c>
      <c r="E97" s="85">
        <v>1393881.33333333</v>
      </c>
      <c r="F97" s="911">
        <v>1056272.83333333</v>
      </c>
      <c r="G97" s="912">
        <v>18254.975</v>
      </c>
      <c r="H97" s="912">
        <f>0.025*F97</f>
        <v>26406.8208333333</v>
      </c>
      <c r="I97" s="912">
        <f t="shared" ref="I97:I101" si="21">H97-G97</f>
        <v>8151.84583333325</v>
      </c>
      <c r="J97" s="912">
        <f t="shared" ref="J97:J101" si="22">H97*12</f>
        <v>316881.849999999</v>
      </c>
    </row>
    <row r="98" customHeight="1" spans="1:10">
      <c r="A98" s="10">
        <v>2</v>
      </c>
      <c r="B98" s="11" t="s">
        <v>229</v>
      </c>
      <c r="C98" s="4" t="s">
        <v>230</v>
      </c>
      <c r="D98" s="15" t="s">
        <v>47</v>
      </c>
      <c r="E98" s="85">
        <v>470498</v>
      </c>
      <c r="F98" s="911">
        <v>357066.666666667</v>
      </c>
      <c r="G98" s="912"/>
      <c r="H98" s="912">
        <f>0.025*F98</f>
        <v>8926.66666666668</v>
      </c>
      <c r="I98" s="912">
        <f t="shared" si="21"/>
        <v>8926.66666666668</v>
      </c>
      <c r="J98" s="912">
        <f t="shared" si="22"/>
        <v>107120</v>
      </c>
    </row>
    <row r="99" customHeight="1" spans="1:10">
      <c r="A99" s="10">
        <v>3</v>
      </c>
      <c r="B99" s="11" t="s">
        <v>231</v>
      </c>
      <c r="C99" s="12" t="s">
        <v>232</v>
      </c>
      <c r="D99" s="15" t="s">
        <v>64</v>
      </c>
      <c r="E99" s="85">
        <v>403137.916666667</v>
      </c>
      <c r="F99" s="911">
        <v>311673.25</v>
      </c>
      <c r="G99" s="912">
        <v>5967.30625</v>
      </c>
      <c r="H99" s="912">
        <f>0.025*F99</f>
        <v>7791.83125</v>
      </c>
      <c r="I99" s="912">
        <f t="shared" si="21"/>
        <v>1824.525</v>
      </c>
      <c r="J99" s="912">
        <f t="shared" si="22"/>
        <v>93501.975</v>
      </c>
    </row>
    <row r="100" customHeight="1" spans="1:10">
      <c r="A100" s="10">
        <v>4</v>
      </c>
      <c r="B100" s="11" t="s">
        <v>235</v>
      </c>
      <c r="C100" s="4" t="s">
        <v>651</v>
      </c>
      <c r="D100" s="15" t="s">
        <v>173</v>
      </c>
      <c r="E100" s="85">
        <v>390086.5</v>
      </c>
      <c r="F100" s="911">
        <v>302878.666666667</v>
      </c>
      <c r="G100" s="912"/>
      <c r="H100" s="912">
        <f t="shared" ref="H100:H109" si="23">0.025*F100</f>
        <v>7571.96666666667</v>
      </c>
      <c r="I100" s="912">
        <f t="shared" si="21"/>
        <v>7571.96666666667</v>
      </c>
      <c r="J100" s="912">
        <f t="shared" si="22"/>
        <v>90863.6000000001</v>
      </c>
    </row>
    <row r="101" customHeight="1" spans="1:10">
      <c r="A101" s="10">
        <v>5</v>
      </c>
      <c r="B101" s="11" t="s">
        <v>236</v>
      </c>
      <c r="C101" s="4" t="s">
        <v>200</v>
      </c>
      <c r="D101" s="15" t="s">
        <v>78</v>
      </c>
      <c r="E101" s="220">
        <v>308901.5</v>
      </c>
      <c r="F101" s="911">
        <v>246171.166666667</v>
      </c>
      <c r="G101" s="912"/>
      <c r="H101" s="912">
        <f t="shared" si="23"/>
        <v>6154.27916666668</v>
      </c>
      <c r="I101" s="912">
        <f t="shared" si="21"/>
        <v>6154.27916666668</v>
      </c>
      <c r="J101" s="912">
        <f t="shared" si="22"/>
        <v>73851.3500000001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24">SUM(E97:E101)</f>
        <v>2966505.25</v>
      </c>
      <c r="F102" s="915">
        <f t="shared" si="24"/>
        <v>2274062.58333333</v>
      </c>
      <c r="G102" s="93">
        <f t="shared" si="24"/>
        <v>24222.28125</v>
      </c>
      <c r="H102" s="93">
        <f t="shared" si="24"/>
        <v>56851.5645833333</v>
      </c>
      <c r="I102" s="93">
        <f t="shared" si="24"/>
        <v>32629.2833333333</v>
      </c>
      <c r="J102" s="93">
        <f t="shared" si="24"/>
        <v>682218.774999999</v>
      </c>
    </row>
    <row r="103" customHeight="1" spans="1:10">
      <c r="A103" s="4"/>
      <c r="B103" s="22"/>
      <c r="C103" s="21"/>
      <c r="D103" s="26"/>
      <c r="E103" s="156"/>
      <c r="F103" s="916"/>
      <c r="G103" s="912"/>
      <c r="H103" s="912"/>
      <c r="I103" s="912"/>
      <c r="J103" s="912"/>
    </row>
    <row r="104" customHeight="1" spans="1:10">
      <c r="A104" s="4"/>
      <c r="B104" s="20" t="s">
        <v>239</v>
      </c>
      <c r="C104" s="4"/>
      <c r="D104" s="4"/>
      <c r="E104" s="4"/>
      <c r="F104" s="917"/>
      <c r="G104" s="912"/>
      <c r="H104" s="912"/>
      <c r="I104" s="912"/>
      <c r="J104" s="912"/>
    </row>
    <row r="105" customHeight="1" spans="1:10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911">
        <v>1086777.08333333</v>
      </c>
      <c r="G105" s="912">
        <v>0</v>
      </c>
      <c r="H105" s="912">
        <f t="shared" si="23"/>
        <v>27169.4270833333</v>
      </c>
      <c r="I105" s="912">
        <f t="shared" ref="I105:I111" si="25">H105-G105</f>
        <v>27169.4270833333</v>
      </c>
      <c r="J105" s="912"/>
    </row>
    <row r="106" customHeight="1" spans="1:10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911">
        <v>554669.5</v>
      </c>
      <c r="G106" s="912">
        <v>10293.3979166667</v>
      </c>
      <c r="H106" s="912">
        <f t="shared" si="23"/>
        <v>13866.7375</v>
      </c>
      <c r="I106" s="912">
        <f t="shared" si="25"/>
        <v>3573.3395833333</v>
      </c>
      <c r="J106" s="912">
        <f>H106*12</f>
        <v>166400.85</v>
      </c>
    </row>
    <row r="107" customHeight="1" spans="1:10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911">
        <v>337730.833333333</v>
      </c>
      <c r="G107" s="912">
        <v>5954.61041666667</v>
      </c>
      <c r="H107" s="912">
        <f t="shared" si="23"/>
        <v>8443.27083333333</v>
      </c>
      <c r="I107" s="912">
        <f t="shared" si="25"/>
        <v>2488.66041666666</v>
      </c>
      <c r="J107" s="912">
        <f>H107*12</f>
        <v>101319.25</v>
      </c>
    </row>
    <row r="108" customHeight="1" spans="1:10">
      <c r="A108" s="4">
        <v>4</v>
      </c>
      <c r="B108" s="11" t="s">
        <v>246</v>
      </c>
      <c r="C108" s="4" t="s">
        <v>653</v>
      </c>
      <c r="D108" s="10" t="s">
        <v>56</v>
      </c>
      <c r="E108" s="85">
        <v>441804.916666667</v>
      </c>
      <c r="F108" s="911">
        <v>337730.833333333</v>
      </c>
      <c r="G108" s="912"/>
      <c r="H108" s="912">
        <f t="shared" si="23"/>
        <v>8443.27083333333</v>
      </c>
      <c r="I108" s="912">
        <f t="shared" si="25"/>
        <v>8443.27083333333</v>
      </c>
      <c r="J108" s="912"/>
    </row>
    <row r="109" customHeight="1" spans="1:10">
      <c r="A109" s="4">
        <v>5</v>
      </c>
      <c r="B109" s="11" t="s">
        <v>249</v>
      </c>
      <c r="C109" s="4" t="s">
        <v>250</v>
      </c>
      <c r="D109" s="15" t="s">
        <v>603</v>
      </c>
      <c r="E109" s="220">
        <v>255320.583333333</v>
      </c>
      <c r="F109" s="911">
        <v>213104.416666667</v>
      </c>
      <c r="G109" s="912"/>
      <c r="H109" s="912">
        <f t="shared" si="23"/>
        <v>5327.61041666668</v>
      </c>
      <c r="I109" s="912">
        <f t="shared" si="25"/>
        <v>5327.61041666668</v>
      </c>
      <c r="J109" s="912"/>
    </row>
    <row r="110" customHeight="1" spans="1:10">
      <c r="A110" s="4">
        <v>6</v>
      </c>
      <c r="B110" s="18" t="s">
        <v>252</v>
      </c>
      <c r="C110" s="4" t="s">
        <v>250</v>
      </c>
      <c r="D110" s="10" t="s">
        <v>225</v>
      </c>
      <c r="E110" s="220">
        <v>255849</v>
      </c>
      <c r="F110" s="911">
        <v>212792.166666667</v>
      </c>
      <c r="G110" s="912"/>
      <c r="H110" s="912">
        <f t="shared" ref="H110:H115" si="26">0.025*F110</f>
        <v>5319.80416666668</v>
      </c>
      <c r="I110" s="912">
        <f t="shared" si="25"/>
        <v>5319.80416666668</v>
      </c>
      <c r="J110" s="912"/>
    </row>
    <row r="111" customHeight="1" spans="1:10">
      <c r="A111" s="4">
        <v>7</v>
      </c>
      <c r="B111" s="18" t="s">
        <v>253</v>
      </c>
      <c r="C111" s="4" t="s">
        <v>250</v>
      </c>
      <c r="D111" s="15" t="s">
        <v>105</v>
      </c>
      <c r="E111" s="220">
        <v>236804.083333333</v>
      </c>
      <c r="F111" s="911">
        <v>200549.416666667</v>
      </c>
      <c r="G111" s="912"/>
      <c r="H111" s="912">
        <f t="shared" si="26"/>
        <v>5013.73541666668</v>
      </c>
      <c r="I111" s="912">
        <f t="shared" si="25"/>
        <v>5013.73541666668</v>
      </c>
      <c r="J111" s="912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7">SUM(E105:E111)</f>
        <v>3829676.66666667</v>
      </c>
      <c r="F112" s="918">
        <f t="shared" si="27"/>
        <v>2943354.25</v>
      </c>
      <c r="G112" s="223">
        <f t="shared" si="27"/>
        <v>16248.0083333334</v>
      </c>
      <c r="H112" s="223">
        <f t="shared" si="27"/>
        <v>73583.8562499999</v>
      </c>
      <c r="I112" s="223">
        <f t="shared" si="27"/>
        <v>57335.8479166666</v>
      </c>
      <c r="J112" s="223">
        <f t="shared" si="27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2"/>
      <c r="H113" s="912"/>
      <c r="I113" s="912"/>
      <c r="J113" s="912"/>
    </row>
    <row r="114" customHeight="1" spans="1:10">
      <c r="A114" s="10"/>
      <c r="B114" s="20" t="s">
        <v>257</v>
      </c>
      <c r="C114" s="21"/>
      <c r="D114" s="21"/>
      <c r="E114" s="156"/>
      <c r="F114" s="916"/>
      <c r="G114" s="912"/>
      <c r="H114" s="912"/>
      <c r="I114" s="912"/>
      <c r="J114" s="912"/>
    </row>
    <row r="115" ht="18.75" customHeight="1" spans="1:10">
      <c r="A115" s="10">
        <v>1</v>
      </c>
      <c r="B115" s="11" t="s">
        <v>259</v>
      </c>
      <c r="C115" s="4" t="s">
        <v>260</v>
      </c>
      <c r="D115" s="15" t="s">
        <v>173</v>
      </c>
      <c r="E115" s="85">
        <v>390086.5</v>
      </c>
      <c r="F115" s="911">
        <v>302878.666666667</v>
      </c>
      <c r="G115" s="912"/>
      <c r="H115" s="912">
        <f t="shared" si="26"/>
        <v>7571.96666666667</v>
      </c>
      <c r="I115" s="912">
        <f t="shared" ref="I115:I117" si="28">H115-G115</f>
        <v>7571.96666666667</v>
      </c>
      <c r="J115" s="912"/>
    </row>
    <row r="116" ht="18.75" customHeight="1" spans="1:10">
      <c r="A116" s="10">
        <v>2</v>
      </c>
      <c r="B116" s="11" t="s">
        <v>480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912"/>
      <c r="H116" s="912">
        <f t="shared" ref="H116:H122" si="29">0.025*F116</f>
        <v>7366.57291666668</v>
      </c>
      <c r="I116" s="912">
        <f t="shared" si="28"/>
        <v>7366.57291666668</v>
      </c>
      <c r="J116" s="912"/>
    </row>
    <row r="117" customHeight="1" spans="1:10">
      <c r="A117" s="10">
        <v>3</v>
      </c>
      <c r="B117" s="11" t="s">
        <v>193</v>
      </c>
      <c r="C117" s="12" t="s">
        <v>194</v>
      </c>
      <c r="D117" s="15" t="s">
        <v>67</v>
      </c>
      <c r="E117" s="85">
        <v>390248.916666667</v>
      </c>
      <c r="F117" s="911">
        <v>302987.416666667</v>
      </c>
      <c r="G117" s="912">
        <v>5967.30625</v>
      </c>
      <c r="H117" s="912">
        <f t="shared" si="29"/>
        <v>7574.68541666667</v>
      </c>
      <c r="I117" s="912">
        <f t="shared" si="28"/>
        <v>1607.37916666667</v>
      </c>
      <c r="J117" s="912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30">SUM(E115:E117)</f>
        <v>1158230.58333333</v>
      </c>
      <c r="F118" s="915">
        <f t="shared" si="30"/>
        <v>900529.000000001</v>
      </c>
      <c r="G118" s="93">
        <f t="shared" si="30"/>
        <v>5967.30625</v>
      </c>
      <c r="H118" s="93">
        <f t="shared" si="30"/>
        <v>22513.225</v>
      </c>
      <c r="I118" s="93">
        <f t="shared" si="30"/>
        <v>16545.91875</v>
      </c>
      <c r="J118" s="93">
        <f t="shared" si="30"/>
        <v>90896.2250000001</v>
      </c>
    </row>
    <row r="119" ht="24.75" customHeight="1" spans="1:10">
      <c r="A119" s="4"/>
      <c r="B119" s="20"/>
      <c r="C119" s="21"/>
      <c r="D119" s="26"/>
      <c r="E119" s="93"/>
      <c r="F119" s="915"/>
      <c r="G119" s="912"/>
      <c r="H119" s="912"/>
      <c r="I119" s="912"/>
      <c r="J119" s="912"/>
    </row>
    <row r="120" ht="24.75" customHeight="1" spans="1:10">
      <c r="A120" s="10"/>
      <c r="B120" s="20" t="s">
        <v>268</v>
      </c>
      <c r="C120" s="21"/>
      <c r="D120" s="21"/>
      <c r="E120" s="156"/>
      <c r="F120" s="916"/>
      <c r="G120" s="912"/>
      <c r="H120" s="912"/>
      <c r="I120" s="912"/>
      <c r="J120" s="912"/>
    </row>
    <row r="121" ht="24.75" customHeight="1" spans="1:10">
      <c r="A121" s="10">
        <v>2</v>
      </c>
      <c r="B121" s="11" t="s">
        <v>271</v>
      </c>
      <c r="C121" s="4" t="s">
        <v>272</v>
      </c>
      <c r="D121" s="10" t="s">
        <v>275</v>
      </c>
      <c r="E121" s="85">
        <v>218287.583333333</v>
      </c>
      <c r="F121" s="911">
        <v>187994.416666667</v>
      </c>
      <c r="G121" s="912"/>
      <c r="H121" s="912">
        <f t="shared" si="29"/>
        <v>4699.86041666668</v>
      </c>
      <c r="I121" s="912">
        <f t="shared" ref="I121:I135" si="31">H121-G121</f>
        <v>4699.86041666668</v>
      </c>
      <c r="J121" s="912"/>
    </row>
    <row r="122" ht="24.75" customHeight="1" spans="1:10">
      <c r="A122" s="10">
        <v>3</v>
      </c>
      <c r="B122" s="11" t="s">
        <v>276</v>
      </c>
      <c r="C122" s="4" t="s">
        <v>277</v>
      </c>
      <c r="D122" s="10" t="s">
        <v>275</v>
      </c>
      <c r="E122" s="85">
        <v>218287.583333333</v>
      </c>
      <c r="F122" s="911">
        <v>187994.416666667</v>
      </c>
      <c r="G122" s="912"/>
      <c r="H122" s="912">
        <f t="shared" si="29"/>
        <v>4699.86041666668</v>
      </c>
      <c r="I122" s="912">
        <f t="shared" si="31"/>
        <v>4699.86041666668</v>
      </c>
      <c r="J122" s="912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32">SUM(E121:E122)</f>
        <v>436575.166666666</v>
      </c>
      <c r="F123" s="915">
        <f t="shared" si="32"/>
        <v>375988.833333334</v>
      </c>
      <c r="G123" s="93">
        <f t="shared" si="32"/>
        <v>0</v>
      </c>
      <c r="H123" s="93">
        <f t="shared" si="32"/>
        <v>9399.72083333335</v>
      </c>
      <c r="I123" s="93">
        <f t="shared" si="32"/>
        <v>9399.72083333335</v>
      </c>
      <c r="J123" s="93">
        <f t="shared" si="32"/>
        <v>0</v>
      </c>
    </row>
    <row r="124" customHeight="1" spans="1:10">
      <c r="A124" s="4"/>
      <c r="B124" s="20"/>
      <c r="C124" s="21"/>
      <c r="D124" s="26"/>
      <c r="E124" s="93"/>
      <c r="F124" s="915"/>
      <c r="G124" s="912"/>
      <c r="H124" s="912"/>
      <c r="I124" s="912"/>
      <c r="J124" s="912"/>
    </row>
    <row r="125" customHeight="1" spans="1:10">
      <c r="A125" s="4"/>
      <c r="B125" s="20" t="s">
        <v>278</v>
      </c>
      <c r="C125" s="21"/>
      <c r="D125" s="21"/>
      <c r="E125" s="156"/>
      <c r="F125" s="916"/>
      <c r="G125" s="912"/>
      <c r="H125" s="912"/>
      <c r="I125" s="912"/>
      <c r="J125" s="912"/>
    </row>
    <row r="126" customHeight="1" spans="1:10">
      <c r="A126" s="4">
        <v>1</v>
      </c>
      <c r="B126" s="11" t="s">
        <v>279</v>
      </c>
      <c r="C126" s="12" t="s">
        <v>280</v>
      </c>
      <c r="D126" s="15" t="s">
        <v>124</v>
      </c>
      <c r="E126" s="85">
        <v>1435720</v>
      </c>
      <c r="F126" s="911">
        <v>1086777.08333333</v>
      </c>
      <c r="G126" s="912">
        <v>19384.7666666667</v>
      </c>
      <c r="H126" s="912">
        <f t="shared" ref="H126:H135" si="33">0.025*F126</f>
        <v>27169.4270833333</v>
      </c>
      <c r="I126" s="912">
        <f t="shared" si="31"/>
        <v>7784.66041666655</v>
      </c>
      <c r="J126" s="912">
        <f t="shared" ref="J126:J135" si="34">H126*12</f>
        <v>326033.124999999</v>
      </c>
    </row>
    <row r="127" customHeight="1" spans="1:10">
      <c r="A127" s="4">
        <v>2</v>
      </c>
      <c r="B127" s="11" t="s">
        <v>281</v>
      </c>
      <c r="C127" s="12" t="s">
        <v>654</v>
      </c>
      <c r="D127" s="15" t="s">
        <v>36</v>
      </c>
      <c r="E127" s="85">
        <v>762373.166666667</v>
      </c>
      <c r="F127" s="911">
        <v>554669.5</v>
      </c>
      <c r="G127" s="912">
        <v>9980.56666666667</v>
      </c>
      <c r="H127" s="912">
        <f t="shared" si="33"/>
        <v>13866.7375</v>
      </c>
      <c r="I127" s="912">
        <f t="shared" si="31"/>
        <v>3886.17083333333</v>
      </c>
      <c r="J127" s="912">
        <f t="shared" si="34"/>
        <v>166400.85</v>
      </c>
    </row>
    <row r="128" customHeight="1" spans="1:10">
      <c r="A128" s="4">
        <v>3</v>
      </c>
      <c r="B128" s="14" t="s">
        <v>283</v>
      </c>
      <c r="C128" s="12" t="s">
        <v>655</v>
      </c>
      <c r="D128" s="15" t="s">
        <v>143</v>
      </c>
      <c r="E128" s="85">
        <v>716034</v>
      </c>
      <c r="F128" s="911">
        <v>523386.5</v>
      </c>
      <c r="G128" s="912">
        <v>9980.56666666667</v>
      </c>
      <c r="H128" s="912">
        <f t="shared" si="33"/>
        <v>13084.6625</v>
      </c>
      <c r="I128" s="912">
        <f t="shared" si="31"/>
        <v>3104.09583333333</v>
      </c>
      <c r="J128" s="912">
        <f t="shared" si="34"/>
        <v>157015.95</v>
      </c>
    </row>
    <row r="129" customHeight="1" spans="1:10">
      <c r="A129" s="4">
        <v>4</v>
      </c>
      <c r="B129" s="11" t="s">
        <v>286</v>
      </c>
      <c r="C129" s="12" t="s">
        <v>288</v>
      </c>
      <c r="D129" s="15" t="s">
        <v>192</v>
      </c>
      <c r="E129" s="85">
        <v>484373.75</v>
      </c>
      <c r="F129" s="911">
        <v>366417.5</v>
      </c>
      <c r="G129" s="912">
        <v>0</v>
      </c>
      <c r="H129" s="912">
        <f t="shared" si="33"/>
        <v>9160.4375</v>
      </c>
      <c r="I129" s="912">
        <f t="shared" si="31"/>
        <v>9160.4375</v>
      </c>
      <c r="J129" s="912">
        <f t="shared" si="34"/>
        <v>109925.25</v>
      </c>
    </row>
    <row r="130" customHeight="1" spans="1:10">
      <c r="A130" s="4">
        <v>5</v>
      </c>
      <c r="B130" s="11" t="s">
        <v>287</v>
      </c>
      <c r="C130" s="12" t="s">
        <v>656</v>
      </c>
      <c r="D130" s="15" t="s">
        <v>214</v>
      </c>
      <c r="E130" s="85">
        <v>456622.25</v>
      </c>
      <c r="F130" s="911">
        <v>347715.916666667</v>
      </c>
      <c r="G130" s="912">
        <v>5967.30625</v>
      </c>
      <c r="H130" s="912">
        <f t="shared" si="33"/>
        <v>8692.89791666667</v>
      </c>
      <c r="I130" s="912">
        <f t="shared" si="31"/>
        <v>2725.59166666667</v>
      </c>
      <c r="J130" s="912">
        <f t="shared" si="34"/>
        <v>104314.775</v>
      </c>
    </row>
    <row r="131" customHeight="1" spans="1:10">
      <c r="A131" s="4">
        <v>6</v>
      </c>
      <c r="B131" s="11" t="s">
        <v>289</v>
      </c>
      <c r="C131" s="12" t="s">
        <v>288</v>
      </c>
      <c r="D131" s="15" t="s">
        <v>47</v>
      </c>
      <c r="E131" s="85">
        <v>470498</v>
      </c>
      <c r="F131" s="911">
        <v>357066.666666667</v>
      </c>
      <c r="G131" s="912">
        <v>6154.32291666667</v>
      </c>
      <c r="H131" s="912">
        <f t="shared" si="33"/>
        <v>8926.66666666668</v>
      </c>
      <c r="I131" s="912">
        <f t="shared" si="31"/>
        <v>2772.34375000001</v>
      </c>
      <c r="J131" s="912">
        <f t="shared" si="34"/>
        <v>107120</v>
      </c>
    </row>
    <row r="132" customHeight="1" spans="1:10">
      <c r="A132" s="4">
        <v>7</v>
      </c>
      <c r="B132" s="11" t="s">
        <v>292</v>
      </c>
      <c r="C132" s="12" t="s">
        <v>657</v>
      </c>
      <c r="D132" s="10" t="s">
        <v>156</v>
      </c>
      <c r="E132" s="85">
        <v>277798</v>
      </c>
      <c r="F132" s="911">
        <v>227615.75</v>
      </c>
      <c r="G132" s="912"/>
      <c r="H132" s="912">
        <f t="shared" si="33"/>
        <v>5690.39375</v>
      </c>
      <c r="I132" s="912">
        <f t="shared" si="31"/>
        <v>5690.39375</v>
      </c>
      <c r="J132" s="912">
        <f t="shared" si="34"/>
        <v>68284.725</v>
      </c>
    </row>
    <row r="133" customHeight="1" spans="1:10">
      <c r="A133" s="4">
        <v>8</v>
      </c>
      <c r="B133" s="18" t="s">
        <v>294</v>
      </c>
      <c r="C133" s="12" t="s">
        <v>295</v>
      </c>
      <c r="D133" s="15" t="s">
        <v>108</v>
      </c>
      <c r="E133" s="85">
        <v>230631.916666667</v>
      </c>
      <c r="F133" s="911">
        <v>196364.416666667</v>
      </c>
      <c r="G133" s="912">
        <v>0</v>
      </c>
      <c r="H133" s="912">
        <f t="shared" si="33"/>
        <v>4909.11041666668</v>
      </c>
      <c r="I133" s="912">
        <f t="shared" si="31"/>
        <v>4909.11041666668</v>
      </c>
      <c r="J133" s="912">
        <f t="shared" si="34"/>
        <v>58909.3250000001</v>
      </c>
    </row>
    <row r="134" customHeight="1" spans="1:10">
      <c r="A134" s="4">
        <v>9</v>
      </c>
      <c r="B134" s="18" t="s">
        <v>296</v>
      </c>
      <c r="C134" s="12" t="s">
        <v>291</v>
      </c>
      <c r="D134" s="15" t="s">
        <v>108</v>
      </c>
      <c r="E134" s="85">
        <v>230631.916666667</v>
      </c>
      <c r="F134" s="911">
        <v>196364.416666667</v>
      </c>
      <c r="G134" s="912">
        <v>0</v>
      </c>
      <c r="H134" s="912">
        <f t="shared" si="33"/>
        <v>4909.11041666668</v>
      </c>
      <c r="I134" s="912">
        <f t="shared" si="31"/>
        <v>4909.11041666668</v>
      </c>
      <c r="J134" s="912">
        <f t="shared" si="34"/>
        <v>58909.3250000001</v>
      </c>
    </row>
    <row r="135" customHeight="1" spans="1:10">
      <c r="A135" s="4">
        <v>10</v>
      </c>
      <c r="B135" s="18" t="s">
        <v>297</v>
      </c>
      <c r="C135" s="12" t="s">
        <v>295</v>
      </c>
      <c r="D135" s="15" t="s">
        <v>111</v>
      </c>
      <c r="E135" s="85">
        <v>224459.75</v>
      </c>
      <c r="F135" s="911">
        <v>192179.416666667</v>
      </c>
      <c r="G135" s="912"/>
      <c r="H135" s="912">
        <f t="shared" si="33"/>
        <v>4804.48541666668</v>
      </c>
      <c r="I135" s="912">
        <f t="shared" si="31"/>
        <v>4804.48541666668</v>
      </c>
      <c r="J135" s="912">
        <f t="shared" si="34"/>
        <v>57653.8250000001</v>
      </c>
    </row>
    <row r="136" ht="28.5" customHeight="1" spans="1:10">
      <c r="A136" s="4"/>
      <c r="B136" s="20" t="s">
        <v>120</v>
      </c>
      <c r="C136" s="26" t="s">
        <v>658</v>
      </c>
      <c r="D136" s="15"/>
      <c r="E136" s="156">
        <f t="shared" ref="E136:J136" si="35">SUM(E126:E135)</f>
        <v>5289142.75</v>
      </c>
      <c r="F136" s="916">
        <f t="shared" si="35"/>
        <v>4048557.16666667</v>
      </c>
      <c r="G136" s="221">
        <f t="shared" si="35"/>
        <v>51467.5291666667</v>
      </c>
      <c r="H136" s="221">
        <f t="shared" si="35"/>
        <v>101213.929166667</v>
      </c>
      <c r="I136" s="221">
        <f t="shared" si="35"/>
        <v>49746.3999999999</v>
      </c>
      <c r="J136" s="221">
        <f t="shared" si="35"/>
        <v>1214567.15</v>
      </c>
    </row>
    <row r="137" customHeight="1" spans="1:10">
      <c r="A137" s="4"/>
      <c r="B137" s="22"/>
      <c r="C137" s="26"/>
      <c r="D137" s="15"/>
      <c r="E137" s="156"/>
      <c r="F137" s="916"/>
      <c r="G137" s="912"/>
      <c r="H137" s="912"/>
      <c r="I137" s="912"/>
      <c r="J137" s="912"/>
    </row>
    <row r="138" customHeight="1" spans="1:10">
      <c r="A138" s="4"/>
      <c r="B138" s="20" t="s">
        <v>299</v>
      </c>
      <c r="C138" s="12"/>
      <c r="D138" s="15"/>
      <c r="E138" s="85"/>
      <c r="F138" s="911"/>
      <c r="G138" s="912"/>
      <c r="H138" s="912"/>
      <c r="I138" s="912"/>
      <c r="J138" s="912"/>
    </row>
    <row r="139" customHeight="1" spans="1:10">
      <c r="A139" s="27">
        <v>1</v>
      </c>
      <c r="B139" s="14" t="s">
        <v>300</v>
      </c>
      <c r="C139" s="4" t="s">
        <v>301</v>
      </c>
      <c r="D139" s="10" t="s">
        <v>511</v>
      </c>
      <c r="E139" s="85">
        <f>'[3]Annual &amp; Monthly'!$H$44</f>
        <v>1352042.66666667</v>
      </c>
      <c r="F139" s="911">
        <v>1025768.33333333</v>
      </c>
      <c r="G139" s="912">
        <v>18254.975</v>
      </c>
      <c r="H139" s="912">
        <f t="shared" ref="H139:H156" si="36">0.025*F139</f>
        <v>25644.2083333333</v>
      </c>
      <c r="I139" s="912">
        <f t="shared" ref="I139:I198" si="37">H139-G139</f>
        <v>7389.23333333325</v>
      </c>
      <c r="J139" s="912">
        <f t="shared" ref="J139:J198" si="38">H139*12</f>
        <v>307730.499999999</v>
      </c>
    </row>
    <row r="140" customHeight="1" spans="1:10">
      <c r="A140" s="27">
        <v>2</v>
      </c>
      <c r="B140" s="14" t="s">
        <v>302</v>
      </c>
      <c r="C140" s="4" t="s">
        <v>488</v>
      </c>
      <c r="D140" s="16" t="s">
        <v>36</v>
      </c>
      <c r="E140" s="85">
        <v>762373.166666667</v>
      </c>
      <c r="F140" s="911">
        <v>554669.5</v>
      </c>
      <c r="G140" s="912">
        <v>10293.3979166667</v>
      </c>
      <c r="H140" s="912">
        <f t="shared" si="36"/>
        <v>13866.7375</v>
      </c>
      <c r="I140" s="912">
        <f t="shared" si="37"/>
        <v>3573.3395833333</v>
      </c>
      <c r="J140" s="912">
        <f t="shared" si="38"/>
        <v>166400.85</v>
      </c>
    </row>
    <row r="141" customHeight="1" spans="1:10">
      <c r="A141" s="27">
        <v>3</v>
      </c>
      <c r="B141" s="11" t="s">
        <v>305</v>
      </c>
      <c r="C141" s="12" t="s">
        <v>306</v>
      </c>
      <c r="D141" s="15" t="s">
        <v>42</v>
      </c>
      <c r="E141" s="85">
        <v>582118.083333333</v>
      </c>
      <c r="F141" s="911">
        <v>432981.083333333</v>
      </c>
      <c r="G141" s="912">
        <v>8380.22708333333</v>
      </c>
      <c r="H141" s="912">
        <f t="shared" si="36"/>
        <v>10824.5270833333</v>
      </c>
      <c r="I141" s="912">
        <f t="shared" si="37"/>
        <v>2444.3</v>
      </c>
      <c r="J141" s="912">
        <f t="shared" si="38"/>
        <v>129894.325</v>
      </c>
    </row>
    <row r="142" customHeight="1" spans="1:10">
      <c r="A142" s="27">
        <v>4</v>
      </c>
      <c r="B142" s="11" t="s">
        <v>307</v>
      </c>
      <c r="C142" s="4" t="s">
        <v>489</v>
      </c>
      <c r="D142" s="15" t="s">
        <v>42</v>
      </c>
      <c r="E142" s="85">
        <v>582119.083333333</v>
      </c>
      <c r="F142" s="911">
        <v>432981.083333333</v>
      </c>
      <c r="G142" s="912">
        <v>8381.22708333333</v>
      </c>
      <c r="H142" s="912">
        <f t="shared" si="36"/>
        <v>10824.5270833333</v>
      </c>
      <c r="I142" s="912">
        <f t="shared" si="37"/>
        <v>2443.3</v>
      </c>
      <c r="J142" s="912">
        <f t="shared" si="38"/>
        <v>129894.325</v>
      </c>
    </row>
    <row r="143" customHeight="1" spans="1:10">
      <c r="A143" s="27">
        <v>5</v>
      </c>
      <c r="B143" s="11" t="s">
        <v>309</v>
      </c>
      <c r="C143" s="4" t="s">
        <v>489</v>
      </c>
      <c r="D143" s="15" t="s">
        <v>42</v>
      </c>
      <c r="E143" s="85">
        <v>582120.083333333</v>
      </c>
      <c r="F143" s="911">
        <v>432981.083333333</v>
      </c>
      <c r="G143" s="912">
        <v>8382.22708333333</v>
      </c>
      <c r="H143" s="912">
        <f t="shared" si="36"/>
        <v>10824.5270833333</v>
      </c>
      <c r="I143" s="912">
        <f t="shared" si="37"/>
        <v>2442.3</v>
      </c>
      <c r="J143" s="912">
        <f t="shared" si="38"/>
        <v>129894.325</v>
      </c>
    </row>
    <row r="144" customHeight="1" spans="1:10">
      <c r="A144" s="27">
        <v>6</v>
      </c>
      <c r="B144" s="11" t="s">
        <v>312</v>
      </c>
      <c r="C144" s="12" t="s">
        <v>232</v>
      </c>
      <c r="D144" s="15" t="s">
        <v>67</v>
      </c>
      <c r="E144" s="85">
        <v>390248.916666667</v>
      </c>
      <c r="F144" s="911">
        <v>311673.25</v>
      </c>
      <c r="G144" s="912">
        <v>0</v>
      </c>
      <c r="H144" s="912">
        <f t="shared" si="36"/>
        <v>7791.83125</v>
      </c>
      <c r="I144" s="912">
        <f t="shared" si="37"/>
        <v>7791.83125</v>
      </c>
      <c r="J144" s="912">
        <f t="shared" si="38"/>
        <v>93501.975</v>
      </c>
    </row>
    <row r="145" customHeight="1" spans="1:10">
      <c r="A145" s="27">
        <v>7</v>
      </c>
      <c r="B145" s="11" t="s">
        <v>313</v>
      </c>
      <c r="C145" s="4" t="s">
        <v>659</v>
      </c>
      <c r="D145" s="15" t="s">
        <v>67</v>
      </c>
      <c r="E145" s="85">
        <v>390248.916666667</v>
      </c>
      <c r="F145" s="911">
        <v>302987.416666667</v>
      </c>
      <c r="G145" s="912">
        <v>0</v>
      </c>
      <c r="H145" s="912">
        <f t="shared" si="36"/>
        <v>7574.68541666667</v>
      </c>
      <c r="I145" s="912">
        <f t="shared" si="37"/>
        <v>7574.68541666667</v>
      </c>
      <c r="J145" s="912">
        <f t="shared" si="38"/>
        <v>90896.2250000001</v>
      </c>
    </row>
    <row r="146" customHeight="1" spans="1:10">
      <c r="A146" s="27">
        <v>8</v>
      </c>
      <c r="B146" s="11" t="s">
        <v>315</v>
      </c>
      <c r="C146" s="12" t="s">
        <v>660</v>
      </c>
      <c r="D146" s="15" t="s">
        <v>173</v>
      </c>
      <c r="E146" s="85">
        <v>390086.5</v>
      </c>
      <c r="F146" s="911">
        <v>302878.666666667</v>
      </c>
      <c r="G146" s="912">
        <v>0</v>
      </c>
      <c r="H146" s="912">
        <f t="shared" si="36"/>
        <v>7571.96666666667</v>
      </c>
      <c r="I146" s="912">
        <f t="shared" si="37"/>
        <v>7571.96666666667</v>
      </c>
      <c r="J146" s="912">
        <f t="shared" si="38"/>
        <v>90863.6000000001</v>
      </c>
    </row>
    <row r="147" customHeight="1" spans="1:10">
      <c r="A147" s="27">
        <v>9</v>
      </c>
      <c r="B147" s="11" t="s">
        <v>317</v>
      </c>
      <c r="C147" s="12" t="s">
        <v>318</v>
      </c>
      <c r="D147" s="15" t="s">
        <v>70</v>
      </c>
      <c r="E147" s="85">
        <v>377895.166666667</v>
      </c>
      <c r="F147" s="911">
        <v>294662.916666667</v>
      </c>
      <c r="G147" s="912">
        <v>4928.93333333333</v>
      </c>
      <c r="H147" s="912">
        <f t="shared" si="36"/>
        <v>7366.57291666668</v>
      </c>
      <c r="I147" s="912">
        <f t="shared" si="37"/>
        <v>2437.63958333335</v>
      </c>
      <c r="J147" s="912">
        <f t="shared" si="38"/>
        <v>88398.8750000001</v>
      </c>
    </row>
    <row r="148" customHeight="1" spans="1:10">
      <c r="A148" s="27">
        <v>10</v>
      </c>
      <c r="B148" s="18" t="s">
        <v>319</v>
      </c>
      <c r="C148" s="4" t="s">
        <v>320</v>
      </c>
      <c r="D148" s="15" t="s">
        <v>131</v>
      </c>
      <c r="E148" s="220">
        <v>365703.833333333</v>
      </c>
      <c r="F148" s="911">
        <v>286447.083333333</v>
      </c>
      <c r="G148" s="912">
        <v>0</v>
      </c>
      <c r="H148" s="912">
        <f t="shared" si="36"/>
        <v>7161.17708333333</v>
      </c>
      <c r="I148" s="912">
        <f t="shared" si="37"/>
        <v>7161.17708333333</v>
      </c>
      <c r="J148" s="912">
        <f t="shared" si="38"/>
        <v>85934.1249999999</v>
      </c>
    </row>
    <row r="149" customHeight="1" spans="1:10">
      <c r="A149" s="27">
        <v>11</v>
      </c>
      <c r="B149" s="11" t="s">
        <v>321</v>
      </c>
      <c r="C149" s="4" t="s">
        <v>320</v>
      </c>
      <c r="D149" s="15" t="s">
        <v>180</v>
      </c>
      <c r="E149" s="220">
        <v>353512.5</v>
      </c>
      <c r="F149" s="911">
        <v>278231.25</v>
      </c>
      <c r="G149" s="912">
        <v>0</v>
      </c>
      <c r="H149" s="912">
        <f t="shared" si="36"/>
        <v>6955.78125</v>
      </c>
      <c r="I149" s="912">
        <f t="shared" si="37"/>
        <v>6955.78125</v>
      </c>
      <c r="J149" s="912">
        <f t="shared" si="38"/>
        <v>83469.375</v>
      </c>
    </row>
    <row r="150" customHeight="1" spans="1:10">
      <c r="A150" s="27">
        <v>12</v>
      </c>
      <c r="B150" s="11" t="s">
        <v>322</v>
      </c>
      <c r="C150" s="4" t="s">
        <v>320</v>
      </c>
      <c r="D150" s="15" t="s">
        <v>180</v>
      </c>
      <c r="E150" s="220">
        <v>353512.5</v>
      </c>
      <c r="F150" s="911">
        <v>278231.25</v>
      </c>
      <c r="G150" s="912">
        <v>4928.93333333333</v>
      </c>
      <c r="H150" s="912">
        <f t="shared" si="36"/>
        <v>6955.78125</v>
      </c>
      <c r="I150" s="912">
        <f t="shared" si="37"/>
        <v>2026.84791666667</v>
      </c>
      <c r="J150" s="912">
        <f t="shared" si="38"/>
        <v>83469.375</v>
      </c>
    </row>
    <row r="151" customHeight="1" spans="1:10">
      <c r="A151" s="27">
        <v>13</v>
      </c>
      <c r="B151" s="11" t="s">
        <v>324</v>
      </c>
      <c r="C151" s="4" t="s">
        <v>320</v>
      </c>
      <c r="D151" s="15" t="s">
        <v>131</v>
      </c>
      <c r="E151" s="220">
        <v>365703.833333333</v>
      </c>
      <c r="F151" s="911">
        <v>286447.083333333</v>
      </c>
      <c r="G151" s="912">
        <v>0</v>
      </c>
      <c r="H151" s="912">
        <f t="shared" si="36"/>
        <v>7161.17708333333</v>
      </c>
      <c r="I151" s="912">
        <f t="shared" si="37"/>
        <v>7161.17708333333</v>
      </c>
      <c r="J151" s="912">
        <f t="shared" si="38"/>
        <v>85934.1249999999</v>
      </c>
    </row>
    <row r="152" customHeight="1" spans="1:10">
      <c r="A152" s="27">
        <v>14</v>
      </c>
      <c r="B152" s="11" t="s">
        <v>325</v>
      </c>
      <c r="C152" s="12" t="s">
        <v>326</v>
      </c>
      <c r="D152" s="15" t="s">
        <v>78</v>
      </c>
      <c r="E152" s="220">
        <v>308901.5</v>
      </c>
      <c r="F152" s="911">
        <v>246171.166666667</v>
      </c>
      <c r="G152" s="912">
        <v>0</v>
      </c>
      <c r="H152" s="912">
        <f t="shared" si="36"/>
        <v>6154.27916666668</v>
      </c>
      <c r="I152" s="912">
        <f t="shared" si="37"/>
        <v>6154.27916666668</v>
      </c>
      <c r="J152" s="912">
        <f t="shared" si="38"/>
        <v>73851.3500000001</v>
      </c>
    </row>
    <row r="153" customHeight="1" spans="1:10">
      <c r="A153" s="27">
        <v>15</v>
      </c>
      <c r="B153" s="11" t="s">
        <v>327</v>
      </c>
      <c r="C153" s="12" t="s">
        <v>328</v>
      </c>
      <c r="D153" s="10" t="s">
        <v>86</v>
      </c>
      <c r="E153" s="85">
        <v>270481.666666667</v>
      </c>
      <c r="F153" s="911">
        <v>222674.583333333</v>
      </c>
      <c r="G153" s="912">
        <v>0</v>
      </c>
      <c r="H153" s="912">
        <f t="shared" si="36"/>
        <v>5566.86458333332</v>
      </c>
      <c r="I153" s="912">
        <f t="shared" si="37"/>
        <v>5566.86458333332</v>
      </c>
      <c r="J153" s="912">
        <f t="shared" si="38"/>
        <v>66802.3749999999</v>
      </c>
    </row>
    <row r="154" customHeight="1" spans="1:10">
      <c r="A154" s="27">
        <v>16</v>
      </c>
      <c r="B154" s="11" t="s">
        <v>329</v>
      </c>
      <c r="C154" s="12" t="s">
        <v>661</v>
      </c>
      <c r="D154" s="15" t="s">
        <v>153</v>
      </c>
      <c r="E154" s="220">
        <v>316837.416666667</v>
      </c>
      <c r="F154" s="911">
        <v>308901.5</v>
      </c>
      <c r="G154" s="912">
        <v>0</v>
      </c>
      <c r="H154" s="912">
        <f t="shared" si="36"/>
        <v>7722.5375</v>
      </c>
      <c r="I154" s="912">
        <f t="shared" si="37"/>
        <v>7722.5375</v>
      </c>
      <c r="J154" s="912">
        <f t="shared" si="38"/>
        <v>92670.45</v>
      </c>
    </row>
    <row r="155" customHeight="1" spans="1:10">
      <c r="A155" s="27">
        <v>17</v>
      </c>
      <c r="B155" s="11" t="s">
        <v>331</v>
      </c>
      <c r="C155" s="12" t="s">
        <v>662</v>
      </c>
      <c r="D155" s="15" t="s">
        <v>156</v>
      </c>
      <c r="E155" s="220">
        <v>277798</v>
      </c>
      <c r="F155" s="911">
        <v>227615.75</v>
      </c>
      <c r="G155" s="912">
        <v>0</v>
      </c>
      <c r="H155" s="912">
        <f t="shared" si="36"/>
        <v>5690.39375</v>
      </c>
      <c r="I155" s="912">
        <f t="shared" si="37"/>
        <v>5690.39375</v>
      </c>
      <c r="J155" s="912">
        <f t="shared" si="38"/>
        <v>68284.725</v>
      </c>
    </row>
    <row r="156" customHeight="1" spans="1:10">
      <c r="A156" s="27">
        <v>18</v>
      </c>
      <c r="B156" s="11" t="s">
        <v>333</v>
      </c>
      <c r="C156" s="12" t="s">
        <v>663</v>
      </c>
      <c r="D156" s="15" t="s">
        <v>153</v>
      </c>
      <c r="E156" s="220">
        <v>316837.416666667</v>
      </c>
      <c r="F156" s="911">
        <v>308901.5</v>
      </c>
      <c r="G156" s="912">
        <v>4123.42083333333</v>
      </c>
      <c r="H156" s="912">
        <f t="shared" si="36"/>
        <v>7722.5375</v>
      </c>
      <c r="I156" s="912">
        <f t="shared" si="37"/>
        <v>3599.11666666667</v>
      </c>
      <c r="J156" s="912">
        <f t="shared" si="38"/>
        <v>92670.45</v>
      </c>
    </row>
    <row r="157" customHeight="1" spans="1:10">
      <c r="A157" s="27">
        <v>19</v>
      </c>
      <c r="B157" s="11" t="s">
        <v>334</v>
      </c>
      <c r="C157" s="12" t="s">
        <v>664</v>
      </c>
      <c r="D157" s="15" t="s">
        <v>156</v>
      </c>
      <c r="E157" s="220">
        <v>277798</v>
      </c>
      <c r="F157" s="911">
        <v>227615.75</v>
      </c>
      <c r="G157" s="912">
        <v>0</v>
      </c>
      <c r="H157" s="912">
        <f t="shared" ref="H157:H176" si="39">0.025*F157</f>
        <v>5690.39375</v>
      </c>
      <c r="I157" s="912">
        <f t="shared" si="37"/>
        <v>5690.39375</v>
      </c>
      <c r="J157" s="912">
        <f t="shared" si="38"/>
        <v>68284.725</v>
      </c>
    </row>
    <row r="158" customHeight="1" spans="1:10">
      <c r="A158" s="27">
        <v>20</v>
      </c>
      <c r="B158" s="18" t="s">
        <v>336</v>
      </c>
      <c r="C158" s="12" t="s">
        <v>337</v>
      </c>
      <c r="D158" s="15" t="s">
        <v>99</v>
      </c>
      <c r="E158" s="220">
        <v>263165.333333333</v>
      </c>
      <c r="F158" s="911">
        <v>217733.416666667</v>
      </c>
      <c r="G158" s="912">
        <v>0</v>
      </c>
      <c r="H158" s="912">
        <f t="shared" si="39"/>
        <v>5443.33541666668</v>
      </c>
      <c r="I158" s="912">
        <f t="shared" si="37"/>
        <v>5443.33541666668</v>
      </c>
      <c r="J158" s="912">
        <f t="shared" si="38"/>
        <v>65320.0250000001</v>
      </c>
    </row>
    <row r="159" customHeight="1" spans="1:10">
      <c r="A159" s="27">
        <v>21</v>
      </c>
      <c r="B159" s="18" t="s">
        <v>338</v>
      </c>
      <c r="C159" s="12" t="s">
        <v>337</v>
      </c>
      <c r="D159" s="15" t="s">
        <v>99</v>
      </c>
      <c r="E159" s="220">
        <v>263165.333333333</v>
      </c>
      <c r="F159" s="911">
        <v>217733.416666667</v>
      </c>
      <c r="G159" s="912">
        <v>0</v>
      </c>
      <c r="H159" s="912">
        <f t="shared" si="39"/>
        <v>5443.33541666668</v>
      </c>
      <c r="I159" s="912">
        <f t="shared" si="37"/>
        <v>5443.33541666668</v>
      </c>
      <c r="J159" s="912">
        <f t="shared" si="38"/>
        <v>65320.0250000001</v>
      </c>
    </row>
    <row r="160" customHeight="1" spans="1:10">
      <c r="A160" s="27">
        <v>22</v>
      </c>
      <c r="B160" s="18" t="s">
        <v>343</v>
      </c>
      <c r="C160" s="12" t="s">
        <v>344</v>
      </c>
      <c r="D160" s="15" t="s">
        <v>108</v>
      </c>
      <c r="E160" s="85">
        <v>230631.916666667</v>
      </c>
      <c r="F160" s="911">
        <v>196364.416666667</v>
      </c>
      <c r="G160" s="912">
        <v>0</v>
      </c>
      <c r="H160" s="912">
        <f t="shared" si="39"/>
        <v>4909.11041666668</v>
      </c>
      <c r="I160" s="912">
        <f t="shared" si="37"/>
        <v>4909.11041666668</v>
      </c>
      <c r="J160" s="912">
        <f t="shared" si="38"/>
        <v>58909.3250000001</v>
      </c>
    </row>
    <row r="161" customHeight="1" spans="1:10">
      <c r="A161" s="27">
        <v>23</v>
      </c>
      <c r="B161" s="18" t="s">
        <v>345</v>
      </c>
      <c r="C161" s="12" t="s">
        <v>346</v>
      </c>
      <c r="D161" s="15" t="s">
        <v>108</v>
      </c>
      <c r="E161" s="85">
        <v>230631.916666667</v>
      </c>
      <c r="F161" s="911">
        <v>196364.416666667</v>
      </c>
      <c r="G161" s="912">
        <v>0</v>
      </c>
      <c r="H161" s="912">
        <f t="shared" si="39"/>
        <v>4909.11041666668</v>
      </c>
      <c r="I161" s="912">
        <f t="shared" si="37"/>
        <v>4909.11041666668</v>
      </c>
      <c r="J161" s="912">
        <f t="shared" si="38"/>
        <v>58909.3250000001</v>
      </c>
    </row>
    <row r="162" customHeight="1" spans="1:10">
      <c r="A162" s="27">
        <v>24</v>
      </c>
      <c r="B162" s="18" t="s">
        <v>347</v>
      </c>
      <c r="C162" s="12" t="s">
        <v>348</v>
      </c>
      <c r="D162" s="15" t="s">
        <v>108</v>
      </c>
      <c r="E162" s="85">
        <v>230631.916666667</v>
      </c>
      <c r="F162" s="911">
        <v>196364.416666667</v>
      </c>
      <c r="G162" s="912">
        <v>0</v>
      </c>
      <c r="H162" s="912">
        <f t="shared" si="39"/>
        <v>4909.11041666668</v>
      </c>
      <c r="I162" s="912">
        <f t="shared" si="37"/>
        <v>4909.11041666668</v>
      </c>
      <c r="J162" s="912">
        <f t="shared" si="38"/>
        <v>58909.3250000001</v>
      </c>
    </row>
    <row r="163" customHeight="1" spans="1:10">
      <c r="A163" s="27">
        <v>25</v>
      </c>
      <c r="B163" s="18" t="s">
        <v>349</v>
      </c>
      <c r="C163" s="12" t="s">
        <v>665</v>
      </c>
      <c r="D163" s="15" t="s">
        <v>105</v>
      </c>
      <c r="E163" s="85">
        <v>236804.083333333</v>
      </c>
      <c r="F163" s="911">
        <v>200549.416666667</v>
      </c>
      <c r="G163" s="912">
        <v>0</v>
      </c>
      <c r="H163" s="912">
        <f t="shared" si="39"/>
        <v>5013.73541666668</v>
      </c>
      <c r="I163" s="912">
        <f t="shared" si="37"/>
        <v>5013.73541666668</v>
      </c>
      <c r="J163" s="912">
        <f t="shared" si="38"/>
        <v>60164.8250000001</v>
      </c>
    </row>
    <row r="164" customHeight="1" spans="1:10">
      <c r="A164" s="27">
        <v>26</v>
      </c>
      <c r="B164" s="18" t="s">
        <v>350</v>
      </c>
      <c r="C164" s="12" t="s">
        <v>346</v>
      </c>
      <c r="D164" s="15" t="s">
        <v>108</v>
      </c>
      <c r="E164" s="85">
        <v>230631.916666667</v>
      </c>
      <c r="F164" s="911">
        <v>196364.416666667</v>
      </c>
      <c r="G164" s="912">
        <v>0</v>
      </c>
      <c r="H164" s="912">
        <f t="shared" si="39"/>
        <v>4909.11041666668</v>
      </c>
      <c r="I164" s="912">
        <f t="shared" si="37"/>
        <v>4909.11041666668</v>
      </c>
      <c r="J164" s="912">
        <f t="shared" si="38"/>
        <v>58909.3250000001</v>
      </c>
    </row>
    <row r="165" customHeight="1" spans="1:10">
      <c r="A165" s="27">
        <v>27</v>
      </c>
      <c r="B165" s="18" t="s">
        <v>351</v>
      </c>
      <c r="C165" s="12" t="s">
        <v>352</v>
      </c>
      <c r="D165" s="15" t="s">
        <v>111</v>
      </c>
      <c r="E165" s="680">
        <v>224459.75</v>
      </c>
      <c r="F165" s="911">
        <v>192179.416666667</v>
      </c>
      <c r="G165" s="912"/>
      <c r="H165" s="912">
        <f t="shared" si="39"/>
        <v>4804.48541666668</v>
      </c>
      <c r="I165" s="912">
        <f t="shared" si="37"/>
        <v>4804.48541666668</v>
      </c>
      <c r="J165" s="912">
        <f t="shared" si="38"/>
        <v>57653.8250000001</v>
      </c>
    </row>
    <row r="166" customHeight="1" spans="1:10">
      <c r="A166" s="27">
        <v>28</v>
      </c>
      <c r="B166" s="18" t="s">
        <v>353</v>
      </c>
      <c r="C166" s="12" t="s">
        <v>352</v>
      </c>
      <c r="D166" s="15" t="s">
        <v>111</v>
      </c>
      <c r="E166" s="680">
        <v>224459.75</v>
      </c>
      <c r="F166" s="911">
        <v>192179.416666667</v>
      </c>
      <c r="G166" s="912"/>
      <c r="H166" s="912">
        <f t="shared" si="39"/>
        <v>4804.48541666668</v>
      </c>
      <c r="I166" s="912">
        <f t="shared" si="37"/>
        <v>4804.48541666668</v>
      </c>
      <c r="J166" s="912">
        <f t="shared" si="38"/>
        <v>57653.8250000001</v>
      </c>
    </row>
    <row r="167" customHeight="1" spans="1:10">
      <c r="A167" s="27">
        <v>29</v>
      </c>
      <c r="B167" s="11" t="s">
        <v>359</v>
      </c>
      <c r="C167" s="12" t="s">
        <v>512</v>
      </c>
      <c r="D167" s="15" t="s">
        <v>372</v>
      </c>
      <c r="E167" s="226">
        <v>173859.5</v>
      </c>
      <c r="F167" s="922">
        <v>159288.583333333</v>
      </c>
      <c r="G167" s="912">
        <v>2313.575</v>
      </c>
      <c r="H167" s="912">
        <f t="shared" si="39"/>
        <v>3982.21458333333</v>
      </c>
      <c r="I167" s="912">
        <f t="shared" si="37"/>
        <v>1668.63958333333</v>
      </c>
      <c r="J167" s="912">
        <f t="shared" si="38"/>
        <v>47786.5749999999</v>
      </c>
    </row>
    <row r="168" customHeight="1" spans="1:10">
      <c r="A168" s="27">
        <v>30</v>
      </c>
      <c r="B168" s="11" t="s">
        <v>362</v>
      </c>
      <c r="C168" s="12" t="s">
        <v>512</v>
      </c>
      <c r="D168" s="15" t="s">
        <v>372</v>
      </c>
      <c r="E168" s="226">
        <v>173859.5</v>
      </c>
      <c r="F168" s="922">
        <v>159288.583333333</v>
      </c>
      <c r="G168" s="912">
        <v>0</v>
      </c>
      <c r="H168" s="912">
        <f t="shared" si="39"/>
        <v>3982.21458333333</v>
      </c>
      <c r="I168" s="912">
        <f t="shared" si="37"/>
        <v>3982.21458333333</v>
      </c>
      <c r="J168" s="912">
        <f t="shared" si="38"/>
        <v>47786.5749999999</v>
      </c>
    </row>
    <row r="169" customHeight="1" spans="1:10">
      <c r="A169" s="27">
        <v>31</v>
      </c>
      <c r="B169" s="11" t="s">
        <v>666</v>
      </c>
      <c r="C169" s="12" t="s">
        <v>512</v>
      </c>
      <c r="D169" s="15" t="s">
        <v>372</v>
      </c>
      <c r="E169" s="226">
        <v>173859.5</v>
      </c>
      <c r="F169" s="922">
        <v>159288.583333333</v>
      </c>
      <c r="G169" s="912">
        <v>0</v>
      </c>
      <c r="H169" s="912">
        <f t="shared" si="39"/>
        <v>3982.21458333333</v>
      </c>
      <c r="I169" s="912">
        <f t="shared" si="37"/>
        <v>3982.21458333333</v>
      </c>
      <c r="J169" s="912">
        <f t="shared" si="38"/>
        <v>47786.5749999999</v>
      </c>
    </row>
    <row r="170" customHeight="1" spans="1:10">
      <c r="A170" s="27">
        <v>32</v>
      </c>
      <c r="B170" s="11" t="s">
        <v>363</v>
      </c>
      <c r="C170" s="12" t="s">
        <v>512</v>
      </c>
      <c r="D170" s="15" t="s">
        <v>372</v>
      </c>
      <c r="E170" s="226">
        <v>173859.5</v>
      </c>
      <c r="F170" s="922">
        <v>159288.583333333</v>
      </c>
      <c r="G170" s="912">
        <v>2313.575</v>
      </c>
      <c r="H170" s="912">
        <f t="shared" si="39"/>
        <v>3982.21458333333</v>
      </c>
      <c r="I170" s="912">
        <f t="shared" si="37"/>
        <v>1668.63958333333</v>
      </c>
      <c r="J170" s="912">
        <f t="shared" si="38"/>
        <v>47786.5749999999</v>
      </c>
    </row>
    <row r="171" customHeight="1" spans="1:10">
      <c r="A171" s="27">
        <v>33</v>
      </c>
      <c r="B171" s="11" t="s">
        <v>364</v>
      </c>
      <c r="C171" s="12" t="s">
        <v>512</v>
      </c>
      <c r="D171" s="15" t="s">
        <v>372</v>
      </c>
      <c r="E171" s="226">
        <v>173859.5</v>
      </c>
      <c r="F171" s="922">
        <v>159288.583333333</v>
      </c>
      <c r="G171" s="912"/>
      <c r="H171" s="912">
        <f t="shared" si="39"/>
        <v>3982.21458333333</v>
      </c>
      <c r="I171" s="912">
        <f t="shared" si="37"/>
        <v>3982.21458333333</v>
      </c>
      <c r="J171" s="912">
        <f t="shared" si="38"/>
        <v>47786.5749999999</v>
      </c>
    </row>
    <row r="172" customHeight="1" spans="1:10">
      <c r="A172" s="27">
        <v>34</v>
      </c>
      <c r="B172" s="11" t="s">
        <v>365</v>
      </c>
      <c r="C172" s="12" t="s">
        <v>512</v>
      </c>
      <c r="D172" s="15" t="s">
        <v>384</v>
      </c>
      <c r="E172" s="226">
        <v>168598.166666667</v>
      </c>
      <c r="F172" s="922">
        <v>155678.666666667</v>
      </c>
      <c r="G172" s="912"/>
      <c r="H172" s="912">
        <f t="shared" si="39"/>
        <v>3891.96666666668</v>
      </c>
      <c r="I172" s="912">
        <f t="shared" si="37"/>
        <v>3891.96666666668</v>
      </c>
      <c r="J172" s="912">
        <f t="shared" si="38"/>
        <v>46703.6000000001</v>
      </c>
    </row>
    <row r="173" customHeight="1" spans="1:10">
      <c r="A173" s="27">
        <v>35</v>
      </c>
      <c r="B173" s="11" t="s">
        <v>367</v>
      </c>
      <c r="C173" s="12" t="s">
        <v>512</v>
      </c>
      <c r="D173" s="15" t="s">
        <v>384</v>
      </c>
      <c r="E173" s="226">
        <v>168598.166666667</v>
      </c>
      <c r="F173" s="922">
        <v>155678.666666667</v>
      </c>
      <c r="G173" s="912"/>
      <c r="H173" s="912">
        <f t="shared" si="39"/>
        <v>3891.96666666668</v>
      </c>
      <c r="I173" s="912">
        <f t="shared" si="37"/>
        <v>3891.96666666668</v>
      </c>
      <c r="J173" s="912">
        <f t="shared" si="38"/>
        <v>46703.6000000001</v>
      </c>
    </row>
    <row r="174" customHeight="1" spans="1:10">
      <c r="A174" s="27">
        <v>36</v>
      </c>
      <c r="B174" s="14" t="s">
        <v>368</v>
      </c>
      <c r="C174" s="12" t="s">
        <v>512</v>
      </c>
      <c r="D174" s="15" t="s">
        <v>384</v>
      </c>
      <c r="E174" s="226">
        <v>168598.166666667</v>
      </c>
      <c r="F174" s="922">
        <v>155678.666666667</v>
      </c>
      <c r="G174" s="912"/>
      <c r="H174" s="912">
        <f t="shared" si="39"/>
        <v>3891.96666666668</v>
      </c>
      <c r="I174" s="912">
        <f t="shared" si="37"/>
        <v>3891.96666666668</v>
      </c>
      <c r="J174" s="912">
        <f t="shared" si="38"/>
        <v>46703.6000000001</v>
      </c>
    </row>
    <row r="175" customHeight="1" spans="1:10">
      <c r="A175" s="27">
        <v>37</v>
      </c>
      <c r="B175" s="11" t="s">
        <v>369</v>
      </c>
      <c r="C175" s="12" t="s">
        <v>512</v>
      </c>
      <c r="D175" s="15" t="s">
        <v>384</v>
      </c>
      <c r="E175" s="226">
        <v>168598.166666667</v>
      </c>
      <c r="F175" s="922">
        <v>155678.666666667</v>
      </c>
      <c r="G175" s="912"/>
      <c r="H175" s="912">
        <f t="shared" si="39"/>
        <v>3891.96666666668</v>
      </c>
      <c r="I175" s="912">
        <f t="shared" si="37"/>
        <v>3891.96666666668</v>
      </c>
      <c r="J175" s="912">
        <f t="shared" si="38"/>
        <v>46703.6000000001</v>
      </c>
    </row>
    <row r="176" customHeight="1" spans="1:10">
      <c r="A176" s="27">
        <v>38</v>
      </c>
      <c r="B176" s="18" t="s">
        <v>370</v>
      </c>
      <c r="C176" s="12" t="s">
        <v>512</v>
      </c>
      <c r="D176" s="15" t="s">
        <v>384</v>
      </c>
      <c r="E176" s="226">
        <v>168598.166666667</v>
      </c>
      <c r="F176" s="922">
        <v>155678.666666667</v>
      </c>
      <c r="G176" s="912"/>
      <c r="H176" s="912">
        <f t="shared" si="39"/>
        <v>3891.96666666668</v>
      </c>
      <c r="I176" s="912">
        <f t="shared" si="37"/>
        <v>3891.96666666668</v>
      </c>
      <c r="J176" s="912">
        <f t="shared" si="38"/>
        <v>46703.6000000001</v>
      </c>
    </row>
    <row r="177" customHeight="1" spans="1:10">
      <c r="A177" s="27">
        <v>39</v>
      </c>
      <c r="B177" s="18" t="s">
        <v>357</v>
      </c>
      <c r="C177" s="12" t="s">
        <v>512</v>
      </c>
      <c r="D177" s="15" t="s">
        <v>384</v>
      </c>
      <c r="E177" s="226">
        <v>168598.166666667</v>
      </c>
      <c r="F177" s="922">
        <v>155678.666666667</v>
      </c>
      <c r="G177" s="912"/>
      <c r="H177" s="912">
        <f t="shared" ref="H177:H198" si="40">0.025*F177</f>
        <v>3891.96666666668</v>
      </c>
      <c r="I177" s="912">
        <f t="shared" si="37"/>
        <v>3891.96666666668</v>
      </c>
      <c r="J177" s="912">
        <f t="shared" si="38"/>
        <v>46703.6000000001</v>
      </c>
    </row>
    <row r="178" customHeight="1" spans="1:10">
      <c r="A178" s="27">
        <v>40</v>
      </c>
      <c r="B178" s="11" t="s">
        <v>371</v>
      </c>
      <c r="C178" s="12" t="s">
        <v>360</v>
      </c>
      <c r="D178" s="15" t="s">
        <v>606</v>
      </c>
      <c r="E178" s="85">
        <v>158075.5</v>
      </c>
      <c r="F178" s="922">
        <v>148459</v>
      </c>
      <c r="G178" s="912"/>
      <c r="H178" s="912">
        <f t="shared" si="40"/>
        <v>3711.475</v>
      </c>
      <c r="I178" s="912">
        <f t="shared" si="37"/>
        <v>3711.475</v>
      </c>
      <c r="J178" s="912">
        <f t="shared" si="38"/>
        <v>44537.7</v>
      </c>
    </row>
    <row r="179" customHeight="1" spans="1:10">
      <c r="A179" s="27">
        <v>41</v>
      </c>
      <c r="B179" s="11" t="s">
        <v>373</v>
      </c>
      <c r="C179" s="12" t="s">
        <v>360</v>
      </c>
      <c r="D179" s="15" t="s">
        <v>606</v>
      </c>
      <c r="E179" s="85">
        <v>158075.5</v>
      </c>
      <c r="F179" s="922">
        <v>148459</v>
      </c>
      <c r="G179" s="912"/>
      <c r="H179" s="912">
        <f t="shared" si="40"/>
        <v>3711.475</v>
      </c>
      <c r="I179" s="912">
        <f t="shared" si="37"/>
        <v>3711.475</v>
      </c>
      <c r="J179" s="912">
        <f t="shared" si="38"/>
        <v>44537.7</v>
      </c>
    </row>
    <row r="180" customHeight="1" spans="1:10">
      <c r="A180" s="27">
        <v>42</v>
      </c>
      <c r="B180" s="18" t="s">
        <v>374</v>
      </c>
      <c r="C180" s="12" t="s">
        <v>360</v>
      </c>
      <c r="D180" s="15" t="s">
        <v>377</v>
      </c>
      <c r="E180" s="85">
        <v>163336.833333333</v>
      </c>
      <c r="F180" s="922">
        <v>152068.833333333</v>
      </c>
      <c r="G180" s="912"/>
      <c r="H180" s="912">
        <f t="shared" si="40"/>
        <v>3801.72083333333</v>
      </c>
      <c r="I180" s="912">
        <f t="shared" si="37"/>
        <v>3801.72083333333</v>
      </c>
      <c r="J180" s="912">
        <f t="shared" si="38"/>
        <v>45620.6499999999</v>
      </c>
    </row>
    <row r="181" customHeight="1" spans="1:10">
      <c r="A181" s="27">
        <v>43</v>
      </c>
      <c r="B181" s="11" t="s">
        <v>376</v>
      </c>
      <c r="C181" s="12" t="s">
        <v>387</v>
      </c>
      <c r="D181" s="15" t="s">
        <v>607</v>
      </c>
      <c r="E181" s="85">
        <v>152814.166666667</v>
      </c>
      <c r="F181" s="922">
        <v>144849.083333333</v>
      </c>
      <c r="G181" s="912"/>
      <c r="H181" s="912">
        <f t="shared" si="40"/>
        <v>3621.22708333333</v>
      </c>
      <c r="I181" s="912">
        <f t="shared" si="37"/>
        <v>3621.22708333333</v>
      </c>
      <c r="J181" s="912">
        <f t="shared" si="38"/>
        <v>43454.7249999999</v>
      </c>
    </row>
    <row r="182" customHeight="1" spans="1:10">
      <c r="A182" s="27">
        <v>44</v>
      </c>
      <c r="B182" s="11" t="s">
        <v>378</v>
      </c>
      <c r="C182" s="12" t="s">
        <v>514</v>
      </c>
      <c r="D182" s="15" t="s">
        <v>667</v>
      </c>
      <c r="E182" s="85">
        <v>94145.75</v>
      </c>
      <c r="F182" s="922">
        <v>101053.25</v>
      </c>
      <c r="G182" s="912"/>
      <c r="H182" s="912">
        <f t="shared" si="40"/>
        <v>2526.33125</v>
      </c>
      <c r="I182" s="912">
        <f t="shared" si="37"/>
        <v>2526.33125</v>
      </c>
      <c r="J182" s="912">
        <f t="shared" si="38"/>
        <v>30315.975</v>
      </c>
    </row>
    <row r="183" customHeight="1" spans="1:10">
      <c r="A183" s="27">
        <v>45</v>
      </c>
      <c r="B183" s="11" t="s">
        <v>379</v>
      </c>
      <c r="C183" s="12" t="s">
        <v>514</v>
      </c>
      <c r="D183" s="15" t="s">
        <v>667</v>
      </c>
      <c r="E183" s="85">
        <v>94145.75</v>
      </c>
      <c r="F183" s="922">
        <v>101053.25</v>
      </c>
      <c r="G183" s="912"/>
      <c r="H183" s="912">
        <f t="shared" si="40"/>
        <v>2526.33125</v>
      </c>
      <c r="I183" s="912">
        <f t="shared" si="37"/>
        <v>2526.33125</v>
      </c>
      <c r="J183" s="912">
        <f t="shared" si="38"/>
        <v>30315.975</v>
      </c>
    </row>
    <row r="184" customHeight="1" spans="1:10">
      <c r="A184" s="27">
        <v>46</v>
      </c>
      <c r="B184" s="11" t="s">
        <v>380</v>
      </c>
      <c r="C184" s="12" t="s">
        <v>514</v>
      </c>
      <c r="D184" s="15" t="s">
        <v>667</v>
      </c>
      <c r="E184" s="85">
        <v>94145.75</v>
      </c>
      <c r="F184" s="922">
        <v>101053.25</v>
      </c>
      <c r="G184" s="912"/>
      <c r="H184" s="912">
        <f t="shared" si="40"/>
        <v>2526.33125</v>
      </c>
      <c r="I184" s="912">
        <f t="shared" si="37"/>
        <v>2526.33125</v>
      </c>
      <c r="J184" s="912">
        <f t="shared" si="38"/>
        <v>30315.975</v>
      </c>
    </row>
    <row r="185" customHeight="1" spans="1:10">
      <c r="A185" s="27">
        <v>47</v>
      </c>
      <c r="B185" s="11" t="s">
        <v>381</v>
      </c>
      <c r="C185" s="12" t="s">
        <v>514</v>
      </c>
      <c r="D185" s="15" t="s">
        <v>667</v>
      </c>
      <c r="E185" s="85">
        <v>94145.75</v>
      </c>
      <c r="F185" s="922">
        <v>101053.25</v>
      </c>
      <c r="G185" s="912"/>
      <c r="H185" s="912">
        <f t="shared" si="40"/>
        <v>2526.33125</v>
      </c>
      <c r="I185" s="912">
        <f t="shared" si="37"/>
        <v>2526.33125</v>
      </c>
      <c r="J185" s="912">
        <f t="shared" si="38"/>
        <v>30315.975</v>
      </c>
    </row>
    <row r="186" customHeight="1" spans="1:10">
      <c r="A186" s="27">
        <v>48</v>
      </c>
      <c r="B186" s="11" t="s">
        <v>382</v>
      </c>
      <c r="C186" s="12" t="s">
        <v>514</v>
      </c>
      <c r="D186" s="15" t="s">
        <v>667</v>
      </c>
      <c r="E186" s="85">
        <v>94145.75</v>
      </c>
      <c r="F186" s="922">
        <v>101053.25</v>
      </c>
      <c r="G186" s="912"/>
      <c r="H186" s="912">
        <f t="shared" si="40"/>
        <v>2526.33125</v>
      </c>
      <c r="I186" s="912">
        <f t="shared" si="37"/>
        <v>2526.33125</v>
      </c>
      <c r="J186" s="912">
        <f t="shared" si="38"/>
        <v>30315.975</v>
      </c>
    </row>
    <row r="187" customHeight="1" spans="1:10">
      <c r="A187" s="27">
        <v>49</v>
      </c>
      <c r="B187" s="18" t="s">
        <v>383</v>
      </c>
      <c r="C187" s="12" t="s">
        <v>514</v>
      </c>
      <c r="D187" s="15" t="s">
        <v>667</v>
      </c>
      <c r="E187" s="85">
        <v>94145.75</v>
      </c>
      <c r="F187" s="922">
        <v>101053.25</v>
      </c>
      <c r="G187" s="912"/>
      <c r="H187" s="912">
        <f t="shared" si="40"/>
        <v>2526.33125</v>
      </c>
      <c r="I187" s="912">
        <f t="shared" si="37"/>
        <v>2526.33125</v>
      </c>
      <c r="J187" s="912">
        <f t="shared" si="38"/>
        <v>30315.975</v>
      </c>
    </row>
    <row r="188" customHeight="1" spans="1:10">
      <c r="A188" s="27">
        <v>50</v>
      </c>
      <c r="B188" s="18" t="s">
        <v>385</v>
      </c>
      <c r="C188" s="12" t="s">
        <v>514</v>
      </c>
      <c r="D188" s="15" t="s">
        <v>667</v>
      </c>
      <c r="E188" s="85">
        <v>94145.75</v>
      </c>
      <c r="F188" s="922">
        <v>101053.25</v>
      </c>
      <c r="G188" s="912"/>
      <c r="H188" s="912">
        <f t="shared" si="40"/>
        <v>2526.33125</v>
      </c>
      <c r="I188" s="912">
        <f t="shared" si="37"/>
        <v>2526.33125</v>
      </c>
      <c r="J188" s="912">
        <f t="shared" si="38"/>
        <v>30315.975</v>
      </c>
    </row>
    <row r="189" customHeight="1" spans="1:10">
      <c r="A189" s="27">
        <v>51</v>
      </c>
      <c r="B189" s="11" t="s">
        <v>668</v>
      </c>
      <c r="C189" s="12" t="s">
        <v>387</v>
      </c>
      <c r="D189" s="15" t="s">
        <v>667</v>
      </c>
      <c r="E189" s="85">
        <v>94145.75</v>
      </c>
      <c r="F189" s="922">
        <v>101053.25</v>
      </c>
      <c r="G189" s="912"/>
      <c r="H189" s="912">
        <f t="shared" si="40"/>
        <v>2526.33125</v>
      </c>
      <c r="I189" s="912">
        <f t="shared" si="37"/>
        <v>2526.33125</v>
      </c>
      <c r="J189" s="912">
        <f t="shared" si="38"/>
        <v>30315.975</v>
      </c>
    </row>
    <row r="190" customHeight="1" spans="1:10">
      <c r="A190" s="27">
        <v>52</v>
      </c>
      <c r="B190" s="11" t="s">
        <v>386</v>
      </c>
      <c r="C190" s="12" t="s">
        <v>387</v>
      </c>
      <c r="D190" s="15" t="s">
        <v>667</v>
      </c>
      <c r="E190" s="85">
        <v>94145.75</v>
      </c>
      <c r="F190" s="922">
        <v>101053.25</v>
      </c>
      <c r="G190" s="912"/>
      <c r="H190" s="912">
        <f t="shared" si="40"/>
        <v>2526.33125</v>
      </c>
      <c r="I190" s="912">
        <f t="shared" si="37"/>
        <v>2526.33125</v>
      </c>
      <c r="J190" s="912">
        <f t="shared" si="38"/>
        <v>30315.975</v>
      </c>
    </row>
    <row r="191" customHeight="1" spans="1:10">
      <c r="A191" s="27">
        <v>53</v>
      </c>
      <c r="B191" s="18" t="s">
        <v>358</v>
      </c>
      <c r="C191" s="12" t="s">
        <v>390</v>
      </c>
      <c r="D191" s="15" t="s">
        <v>669</v>
      </c>
      <c r="E191" s="85">
        <v>91598</v>
      </c>
      <c r="F191" s="922">
        <v>99486.9166666667</v>
      </c>
      <c r="G191" s="912"/>
      <c r="H191" s="912">
        <f t="shared" si="40"/>
        <v>2487.17291666667</v>
      </c>
      <c r="I191" s="912">
        <f t="shared" si="37"/>
        <v>2487.17291666667</v>
      </c>
      <c r="J191" s="912">
        <f t="shared" si="38"/>
        <v>29846.075</v>
      </c>
    </row>
    <row r="192" customHeight="1" spans="1:10">
      <c r="A192" s="27">
        <v>54</v>
      </c>
      <c r="B192" s="18" t="s">
        <v>389</v>
      </c>
      <c r="C192" s="12" t="s">
        <v>390</v>
      </c>
      <c r="D192" s="15" t="s">
        <v>393</v>
      </c>
      <c r="E192" s="85">
        <v>86502.5</v>
      </c>
      <c r="F192" s="922">
        <v>96354.25</v>
      </c>
      <c r="G192" s="912"/>
      <c r="H192" s="912">
        <f t="shared" si="40"/>
        <v>2408.85625</v>
      </c>
      <c r="I192" s="912">
        <f t="shared" si="37"/>
        <v>2408.85625</v>
      </c>
      <c r="J192" s="912">
        <f t="shared" si="38"/>
        <v>28906.275</v>
      </c>
    </row>
    <row r="193" customHeight="1" spans="1:10">
      <c r="A193" s="27">
        <v>55</v>
      </c>
      <c r="B193" s="18" t="s">
        <v>392</v>
      </c>
      <c r="C193" s="12" t="s">
        <v>390</v>
      </c>
      <c r="D193" s="15" t="s">
        <v>395</v>
      </c>
      <c r="E193" s="85">
        <v>83933</v>
      </c>
      <c r="F193" s="922">
        <v>94788.1666666667</v>
      </c>
      <c r="G193" s="912"/>
      <c r="H193" s="912">
        <f t="shared" si="40"/>
        <v>2369.70416666667</v>
      </c>
      <c r="I193" s="912">
        <f t="shared" si="37"/>
        <v>2369.70416666667</v>
      </c>
      <c r="J193" s="912">
        <f t="shared" si="38"/>
        <v>28436.45</v>
      </c>
    </row>
    <row r="194" customHeight="1" spans="1:10">
      <c r="A194" s="27">
        <v>56</v>
      </c>
      <c r="B194" s="18" t="s">
        <v>396</v>
      </c>
      <c r="C194" s="12" t="s">
        <v>397</v>
      </c>
      <c r="D194" s="15" t="s">
        <v>609</v>
      </c>
      <c r="E194" s="85">
        <v>78733.8333333333</v>
      </c>
      <c r="F194" s="911">
        <v>91578.25</v>
      </c>
      <c r="G194" s="912"/>
      <c r="H194" s="912">
        <f t="shared" si="40"/>
        <v>2289.45625</v>
      </c>
      <c r="I194" s="912">
        <f t="shared" si="37"/>
        <v>2289.45625</v>
      </c>
      <c r="J194" s="912">
        <f t="shared" si="38"/>
        <v>27473.475</v>
      </c>
    </row>
    <row r="195" customHeight="1" spans="1:10">
      <c r="A195" s="27">
        <v>57</v>
      </c>
      <c r="B195" s="18" t="s">
        <v>399</v>
      </c>
      <c r="C195" s="12" t="s">
        <v>397</v>
      </c>
      <c r="D195" s="15" t="s">
        <v>609</v>
      </c>
      <c r="E195" s="85">
        <v>78733.8333333333</v>
      </c>
      <c r="F195" s="911">
        <v>91578.25</v>
      </c>
      <c r="G195" s="912"/>
      <c r="H195" s="912">
        <f t="shared" si="40"/>
        <v>2289.45625</v>
      </c>
      <c r="I195" s="912">
        <f t="shared" si="37"/>
        <v>2289.45625</v>
      </c>
      <c r="J195" s="912">
        <f t="shared" si="38"/>
        <v>27473.475</v>
      </c>
    </row>
    <row r="196" customHeight="1" spans="1:10">
      <c r="A196" s="27">
        <v>58</v>
      </c>
      <c r="B196" s="18" t="s">
        <v>400</v>
      </c>
      <c r="C196" s="12" t="s">
        <v>397</v>
      </c>
      <c r="D196" s="15" t="s">
        <v>609</v>
      </c>
      <c r="E196" s="85">
        <v>78733.8333333333</v>
      </c>
      <c r="F196" s="911">
        <v>91578.25</v>
      </c>
      <c r="G196" s="912"/>
      <c r="H196" s="912">
        <f t="shared" si="40"/>
        <v>2289.45625</v>
      </c>
      <c r="I196" s="912">
        <f t="shared" si="37"/>
        <v>2289.45625</v>
      </c>
      <c r="J196" s="912">
        <f t="shared" si="38"/>
        <v>27473.475</v>
      </c>
    </row>
    <row r="197" customHeight="1" spans="1:10">
      <c r="A197" s="27">
        <v>59</v>
      </c>
      <c r="B197" s="18" t="s">
        <v>401</v>
      </c>
      <c r="C197" s="12" t="s">
        <v>402</v>
      </c>
      <c r="D197" s="15" t="s">
        <v>391</v>
      </c>
      <c r="E197" s="85">
        <v>89050.25</v>
      </c>
      <c r="F197" s="911">
        <v>97920.6666666667</v>
      </c>
      <c r="G197" s="912"/>
      <c r="H197" s="912">
        <f t="shared" si="40"/>
        <v>2448.01666666667</v>
      </c>
      <c r="I197" s="912">
        <f t="shared" si="37"/>
        <v>2448.01666666667</v>
      </c>
      <c r="J197" s="912">
        <f t="shared" si="38"/>
        <v>29376.2</v>
      </c>
    </row>
    <row r="198" customHeight="1" spans="1:10">
      <c r="A198" s="27">
        <v>60</v>
      </c>
      <c r="B198" s="18" t="s">
        <v>404</v>
      </c>
      <c r="C198" s="12" t="s">
        <v>402</v>
      </c>
      <c r="D198" s="15" t="s">
        <v>391</v>
      </c>
      <c r="E198" s="85">
        <v>89050.25</v>
      </c>
      <c r="F198" s="911">
        <v>97920.6666666667</v>
      </c>
      <c r="G198" s="912"/>
      <c r="H198" s="912">
        <f t="shared" si="40"/>
        <v>2448.01666666667</v>
      </c>
      <c r="I198" s="912">
        <f t="shared" si="37"/>
        <v>2448.01666666667</v>
      </c>
      <c r="J198" s="912">
        <f t="shared" si="38"/>
        <v>29376.2</v>
      </c>
    </row>
    <row r="199" ht="30.75" customHeight="1" spans="1:10">
      <c r="A199" s="27"/>
      <c r="B199" s="8" t="s">
        <v>120</v>
      </c>
      <c r="C199" s="28" t="s">
        <v>670</v>
      </c>
      <c r="D199" s="29"/>
      <c r="E199" s="93">
        <f t="shared" ref="E199:J199" si="41">SUM(E139:E198)</f>
        <v>14787756.9166667</v>
      </c>
      <c r="F199" s="915">
        <f t="shared" si="41"/>
        <v>12563688.5</v>
      </c>
      <c r="G199" s="93">
        <f t="shared" si="41"/>
        <v>72300.4916666667</v>
      </c>
      <c r="H199" s="93">
        <f t="shared" si="41"/>
        <v>314092.2125</v>
      </c>
      <c r="I199" s="93">
        <f t="shared" si="41"/>
        <v>241791.720833333</v>
      </c>
      <c r="J199" s="93">
        <f t="shared" si="41"/>
        <v>3769106.55</v>
      </c>
    </row>
    <row r="200" ht="30" customHeight="1" spans="1:10">
      <c r="A200" s="4"/>
      <c r="B200" s="30" t="s">
        <v>671</v>
      </c>
      <c r="C200" s="31">
        <f>C39+C46+C57+C62+C72+C81+C94+C102+C112+C123+C136+C199</f>
        <v>153</v>
      </c>
      <c r="D200" s="32"/>
      <c r="E200" s="227">
        <f t="shared" ref="E200:J200" si="42">E199+E136+E123+E118+E112+E102+E94+E81+E72+E62+E57+E46+E39</f>
        <v>62694852.3336667</v>
      </c>
      <c r="F200" s="923">
        <f t="shared" si="42"/>
        <v>49444664.75</v>
      </c>
      <c r="G200" s="227">
        <f t="shared" si="42"/>
        <v>267480.25625</v>
      </c>
      <c r="H200" s="227">
        <f t="shared" si="42"/>
        <v>1181213.71666667</v>
      </c>
      <c r="I200" s="924">
        <f t="shared" si="42"/>
        <v>913733.460416666</v>
      </c>
      <c r="J200" s="227">
        <f t="shared" si="42"/>
        <v>9377520.05</v>
      </c>
    </row>
    <row r="201" s="1" customFormat="1" ht="35.25" customHeight="1" spans="1:10">
      <c r="A201" s="4"/>
      <c r="B201" s="30" t="s">
        <v>672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673</v>
      </c>
      <c r="C202" s="31">
        <f>SUM(C200:C201)</f>
        <v>175</v>
      </c>
      <c r="D202" s="32"/>
      <c r="E202" s="227">
        <f t="shared" ref="E202:J202" si="43">E200+E201</f>
        <v>69258581.5836667</v>
      </c>
      <c r="F202" s="227">
        <f t="shared" si="43"/>
        <v>54790759.5833333</v>
      </c>
      <c r="G202" s="227">
        <f t="shared" si="43"/>
        <v>267480.25625</v>
      </c>
      <c r="H202" s="227">
        <f t="shared" si="43"/>
        <v>1181213.71666667</v>
      </c>
      <c r="I202" s="227">
        <f t="shared" si="43"/>
        <v>913733.460416666</v>
      </c>
      <c r="J202" s="227">
        <f t="shared" si="43"/>
        <v>9377520.05</v>
      </c>
    </row>
    <row r="203" customHeight="1" spans="1:10">
      <c r="F203" s="1"/>
      <c r="G203" s="13"/>
      <c r="H203" s="13"/>
      <c r="I203" s="13"/>
      <c r="J203" s="13"/>
    </row>
    <row r="204" customHeight="1" spans="1:10">
      <c r="F204" s="1"/>
    </row>
    <row r="205" customHeight="1" spans="1:10">
      <c r="F205" s="1"/>
    </row>
    <row r="206" customHeight="1" spans="1:10">
      <c r="F206" s="1"/>
    </row>
    <row r="207" customHeight="1" spans="1:10">
      <c r="F207" s="1"/>
    </row>
    <row r="208" customHeight="1" spans="1:10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view="pageBreakPreview" zoomScaleNormal="100" workbookViewId="0">
      <selection activeCell="N4" sqref="N4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546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674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998"/>
      <c r="J3" s="998"/>
      <c r="K3" s="998"/>
    </row>
    <row r="4" ht="41" customHeight="1" spans="1:11">
      <c r="A4" s="754" t="s">
        <v>548</v>
      </c>
      <c r="B4" s="990" t="s">
        <v>549</v>
      </c>
      <c r="C4" s="990" t="s">
        <v>550</v>
      </c>
      <c r="D4" s="990" t="s">
        <v>551</v>
      </c>
      <c r="E4" s="990" t="s">
        <v>552</v>
      </c>
      <c r="F4" s="990" t="s">
        <v>675</v>
      </c>
      <c r="G4" s="990" t="s">
        <v>676</v>
      </c>
      <c r="H4" s="990" t="s">
        <v>555</v>
      </c>
      <c r="I4" s="990" t="s">
        <v>556</v>
      </c>
      <c r="J4" s="990" t="s">
        <v>557</v>
      </c>
      <c r="K4" s="990" t="s">
        <v>558</v>
      </c>
    </row>
    <row r="5" ht="14" spans="1:11">
      <c r="A5" s="754"/>
      <c r="B5" s="999"/>
      <c r="C5" s="1000"/>
      <c r="D5" s="1000"/>
      <c r="E5" s="1000"/>
      <c r="F5" s="1001" t="s">
        <v>21</v>
      </c>
      <c r="G5" s="1001" t="s">
        <v>21</v>
      </c>
      <c r="H5" s="1001" t="s">
        <v>21</v>
      </c>
      <c r="I5" s="1001"/>
      <c r="J5" s="1001"/>
      <c r="K5" s="1001" t="s">
        <v>21</v>
      </c>
    </row>
    <row r="6" ht="30" customHeight="1" spans="1:11">
      <c r="A6" s="760">
        <v>1</v>
      </c>
      <c r="B6" s="1002" t="s">
        <v>697</v>
      </c>
      <c r="C6" s="1003" t="s">
        <v>698</v>
      </c>
      <c r="D6" s="1004" t="s">
        <v>699</v>
      </c>
      <c r="E6" s="1002" t="s">
        <v>700</v>
      </c>
      <c r="F6" s="1005">
        <v>659657</v>
      </c>
      <c r="G6" s="1005">
        <v>780713.916666666</v>
      </c>
      <c r="H6" s="1005">
        <f>G6-F6</f>
        <v>121056.916666666</v>
      </c>
      <c r="I6" s="824" t="s">
        <v>701</v>
      </c>
      <c r="J6" s="1006">
        <f>14/30</f>
        <v>0.466666666666667</v>
      </c>
      <c r="K6" s="1005">
        <f>J6*H6</f>
        <v>56493.2277777775</v>
      </c>
    </row>
    <row r="7" ht="30" customHeight="1" spans="1:11">
      <c r="A7" s="760">
        <v>2</v>
      </c>
      <c r="B7" s="1002" t="s">
        <v>702</v>
      </c>
      <c r="C7" s="1003" t="s">
        <v>703</v>
      </c>
      <c r="D7" s="1007" t="s">
        <v>699</v>
      </c>
      <c r="E7" s="1002" t="s">
        <v>700</v>
      </c>
      <c r="F7" s="1005">
        <v>659657</v>
      </c>
      <c r="G7" s="1005">
        <v>780713.916666666</v>
      </c>
      <c r="H7" s="1005">
        <f t="shared" ref="H7:H32" si="0">G7-F7</f>
        <v>121056.916666666</v>
      </c>
      <c r="I7" s="824" t="s">
        <v>701</v>
      </c>
      <c r="J7" s="1006">
        <f>14/30</f>
        <v>0.466666666666667</v>
      </c>
      <c r="K7" s="1005">
        <f t="shared" ref="K7:K31" si="1">J7*H7</f>
        <v>56493.2277777775</v>
      </c>
    </row>
    <row r="8" ht="30" customHeight="1" spans="1:11">
      <c r="A8" s="760">
        <v>3</v>
      </c>
      <c r="B8" s="1002" t="s">
        <v>704</v>
      </c>
      <c r="C8" s="1003" t="s">
        <v>451</v>
      </c>
      <c r="D8" s="1007" t="s">
        <v>705</v>
      </c>
      <c r="E8" s="1002" t="s">
        <v>706</v>
      </c>
      <c r="F8" s="1005">
        <v>661351.333333333</v>
      </c>
      <c r="G8" s="1005">
        <f>542419.5+140000</f>
        <v>682419.5</v>
      </c>
      <c r="H8" s="1005">
        <f t="shared" si="0"/>
        <v>21068.166666667</v>
      </c>
      <c r="I8" s="1003" t="s">
        <v>707</v>
      </c>
      <c r="J8" s="1006">
        <f>2+(19/31)</f>
        <v>2.61290322580645</v>
      </c>
      <c r="K8" s="1005">
        <f t="shared" si="1"/>
        <v>55049.0806451621</v>
      </c>
    </row>
    <row r="9" ht="30" customHeight="1" spans="1:11">
      <c r="A9" s="760">
        <v>4</v>
      </c>
      <c r="B9" s="1002" t="s">
        <v>708</v>
      </c>
      <c r="C9" s="1003" t="s">
        <v>709</v>
      </c>
      <c r="D9" s="1008" t="s">
        <v>710</v>
      </c>
      <c r="E9" s="1002" t="s">
        <v>711</v>
      </c>
      <c r="F9" s="1005">
        <f>692662.666666667</f>
        <v>692662.666666667</v>
      </c>
      <c r="G9" s="1005">
        <f>552846.583333333+150000</f>
        <v>702846.583333333</v>
      </c>
      <c r="H9" s="1005">
        <f t="shared" si="0"/>
        <v>10183.916666666</v>
      </c>
      <c r="I9" s="824" t="s">
        <v>681</v>
      </c>
      <c r="J9" s="1006">
        <f t="shared" ref="J9:J12" si="2">1+(26/31)</f>
        <v>1.83870967741935</v>
      </c>
      <c r="K9" s="1005">
        <f t="shared" si="1"/>
        <v>18725.2661290311</v>
      </c>
    </row>
    <row r="10" ht="30" customHeight="1" spans="1:11">
      <c r="A10" s="760">
        <v>5</v>
      </c>
      <c r="B10" s="820" t="s">
        <v>712</v>
      </c>
      <c r="C10" s="1003" t="s">
        <v>713</v>
      </c>
      <c r="D10" s="1008" t="s">
        <v>710</v>
      </c>
      <c r="E10" s="1002" t="s">
        <v>711</v>
      </c>
      <c r="F10" s="1005">
        <v>542662.666666667</v>
      </c>
      <c r="G10" s="1005">
        <v>552846.583333333</v>
      </c>
      <c r="H10" s="1005">
        <f t="shared" si="0"/>
        <v>10183.916666666</v>
      </c>
      <c r="I10" s="759" t="s">
        <v>714</v>
      </c>
      <c r="J10" s="1006">
        <f>2+(23/31)</f>
        <v>2.74193548387097</v>
      </c>
      <c r="K10" s="1005">
        <f t="shared" si="1"/>
        <v>27923.6424731166</v>
      </c>
    </row>
    <row r="11" ht="30" customHeight="1" spans="1:11">
      <c r="A11" s="760">
        <v>6</v>
      </c>
      <c r="B11" s="1002" t="s">
        <v>715</v>
      </c>
      <c r="C11" s="1003" t="s">
        <v>716</v>
      </c>
      <c r="D11" s="1007" t="s">
        <v>710</v>
      </c>
      <c r="E11" s="1002" t="s">
        <v>711</v>
      </c>
      <c r="F11" s="1005">
        <v>542662.666666667</v>
      </c>
      <c r="G11" s="1005">
        <v>552846.583333333</v>
      </c>
      <c r="H11" s="1005">
        <f t="shared" si="0"/>
        <v>10183.916666666</v>
      </c>
      <c r="I11" s="824" t="s">
        <v>681</v>
      </c>
      <c r="J11" s="1006">
        <f t="shared" si="2"/>
        <v>1.83870967741935</v>
      </c>
      <c r="K11" s="1005">
        <f t="shared" si="1"/>
        <v>18725.2661290311</v>
      </c>
    </row>
    <row r="12" ht="30" customHeight="1" spans="1:11">
      <c r="A12" s="760">
        <v>7</v>
      </c>
      <c r="B12" s="1002" t="s">
        <v>717</v>
      </c>
      <c r="C12" s="1003" t="s">
        <v>718</v>
      </c>
      <c r="D12" s="1007" t="s">
        <v>719</v>
      </c>
      <c r="E12" s="1002" t="s">
        <v>720</v>
      </c>
      <c r="F12" s="1005">
        <f>806497.166666667</f>
        <v>806497.166666667</v>
      </c>
      <c r="G12" s="1005">
        <f>567472.75+250000</f>
        <v>817472.75</v>
      </c>
      <c r="H12" s="1005">
        <f t="shared" si="0"/>
        <v>10975.583333333</v>
      </c>
      <c r="I12" s="824" t="s">
        <v>681</v>
      </c>
      <c r="J12" s="1006">
        <f t="shared" si="2"/>
        <v>1.83870967741935</v>
      </c>
      <c r="K12" s="1005">
        <f t="shared" si="1"/>
        <v>20180.911290322</v>
      </c>
    </row>
    <row r="13" ht="30" customHeight="1" spans="1:11">
      <c r="A13" s="760">
        <v>8</v>
      </c>
      <c r="B13" s="1002" t="s">
        <v>721</v>
      </c>
      <c r="C13" s="1003" t="s">
        <v>722</v>
      </c>
      <c r="D13" s="1007" t="s">
        <v>710</v>
      </c>
      <c r="E13" s="1002" t="s">
        <v>711</v>
      </c>
      <c r="F13" s="1005">
        <v>592662.666666667</v>
      </c>
      <c r="G13" s="1005">
        <v>602846.583333333</v>
      </c>
      <c r="H13" s="1005">
        <f t="shared" si="0"/>
        <v>10183.916666666</v>
      </c>
      <c r="I13" s="824" t="s">
        <v>723</v>
      </c>
      <c r="J13" s="1006">
        <f>1+23/31</f>
        <v>1.74193548387097</v>
      </c>
      <c r="K13" s="1005">
        <f t="shared" si="1"/>
        <v>17739.7258064506</v>
      </c>
    </row>
    <row r="14" ht="30" customHeight="1" spans="1:11">
      <c r="A14" s="760">
        <v>9</v>
      </c>
      <c r="B14" s="1002" t="s">
        <v>724</v>
      </c>
      <c r="C14" s="1003" t="s">
        <v>725</v>
      </c>
      <c r="D14" s="1007" t="s">
        <v>726</v>
      </c>
      <c r="E14" s="1002" t="s">
        <v>567</v>
      </c>
      <c r="F14" s="1005">
        <v>459131.166666667</v>
      </c>
      <c r="G14" s="1005">
        <v>501159</v>
      </c>
      <c r="H14" s="1005">
        <f t="shared" si="0"/>
        <v>42027.833333333</v>
      </c>
      <c r="I14" s="1003" t="s">
        <v>727</v>
      </c>
      <c r="J14" s="1006">
        <v>3</v>
      </c>
      <c r="K14" s="1005">
        <f t="shared" si="1"/>
        <v>126083.499999999</v>
      </c>
    </row>
    <row r="15" ht="30" customHeight="1" spans="1:11">
      <c r="A15" s="760">
        <v>10</v>
      </c>
      <c r="B15" s="1002" t="s">
        <v>728</v>
      </c>
      <c r="C15" s="1003" t="s">
        <v>729</v>
      </c>
      <c r="D15" s="1008" t="s">
        <v>730</v>
      </c>
      <c r="E15" s="1002" t="s">
        <v>567</v>
      </c>
      <c r="F15" s="1005">
        <v>450135.833333334</v>
      </c>
      <c r="G15" s="1005">
        <v>501159</v>
      </c>
      <c r="H15" s="1005">
        <f t="shared" si="0"/>
        <v>51023.166666666</v>
      </c>
      <c r="I15" s="1003" t="s">
        <v>731</v>
      </c>
      <c r="J15" s="1006">
        <f>3+(1/30)</f>
        <v>3.03333333333333</v>
      </c>
      <c r="K15" s="1005">
        <f t="shared" si="1"/>
        <v>154770.27222222</v>
      </c>
    </row>
    <row r="16" ht="30" customHeight="1" spans="1:11">
      <c r="A16" s="760">
        <v>11</v>
      </c>
      <c r="B16" s="1002" t="s">
        <v>732</v>
      </c>
      <c r="C16" s="1003" t="s">
        <v>733</v>
      </c>
      <c r="D16" s="1007" t="s">
        <v>726</v>
      </c>
      <c r="E16" s="1002" t="s">
        <v>567</v>
      </c>
      <c r="F16" s="1005">
        <v>459131.166666667</v>
      </c>
      <c r="G16" s="1005">
        <v>501159</v>
      </c>
      <c r="H16" s="1005">
        <f t="shared" si="0"/>
        <v>42027.833333333</v>
      </c>
      <c r="I16" s="824" t="s">
        <v>734</v>
      </c>
      <c r="J16" s="1006">
        <f>28/30</f>
        <v>0.933333333333333</v>
      </c>
      <c r="K16" s="1005">
        <f t="shared" si="1"/>
        <v>39225.9777777775</v>
      </c>
    </row>
    <row r="17" ht="30" customHeight="1" spans="1:11">
      <c r="A17" s="760">
        <v>12</v>
      </c>
      <c r="B17" s="1002" t="s">
        <v>735</v>
      </c>
      <c r="C17" s="1003" t="s">
        <v>698</v>
      </c>
      <c r="D17" s="1008" t="s">
        <v>736</v>
      </c>
      <c r="E17" s="1002" t="s">
        <v>680</v>
      </c>
      <c r="F17" s="1005">
        <v>398711.666666667</v>
      </c>
      <c r="G17" s="1005">
        <v>432145.333333333</v>
      </c>
      <c r="H17" s="1005">
        <f t="shared" si="0"/>
        <v>33433.666666666</v>
      </c>
      <c r="I17" s="824" t="s">
        <v>737</v>
      </c>
      <c r="J17" s="1006">
        <f>1+(18/31)</f>
        <v>1.58064516129032</v>
      </c>
      <c r="K17" s="1005">
        <f t="shared" si="1"/>
        <v>52846.7634408591</v>
      </c>
    </row>
    <row r="18" ht="30" customHeight="1" spans="1:11">
      <c r="A18" s="760">
        <v>13</v>
      </c>
      <c r="B18" s="1002" t="s">
        <v>738</v>
      </c>
      <c r="C18" s="1003" t="s">
        <v>703</v>
      </c>
      <c r="D18" s="1008" t="s">
        <v>679</v>
      </c>
      <c r="E18" s="1002" t="s">
        <v>680</v>
      </c>
      <c r="F18" s="1005">
        <v>415320.666666667</v>
      </c>
      <c r="G18" s="1005">
        <v>432145.333333333</v>
      </c>
      <c r="H18" s="1005">
        <f t="shared" si="0"/>
        <v>16824.666666666</v>
      </c>
      <c r="I18" s="824" t="s">
        <v>739</v>
      </c>
      <c r="J18" s="1006">
        <f t="shared" ref="J18:J23" si="3">2+(3/31)</f>
        <v>2.09677419354839</v>
      </c>
      <c r="K18" s="1005">
        <f t="shared" si="1"/>
        <v>35277.5268817192</v>
      </c>
    </row>
    <row r="19" ht="30" customHeight="1" spans="1:11">
      <c r="A19" s="760">
        <v>14</v>
      </c>
      <c r="B19" s="1002" t="s">
        <v>740</v>
      </c>
      <c r="C19" s="1003" t="s">
        <v>741</v>
      </c>
      <c r="D19" s="1008" t="s">
        <v>679</v>
      </c>
      <c r="E19" s="1002" t="s">
        <v>680</v>
      </c>
      <c r="F19" s="1005">
        <v>415320.666666667</v>
      </c>
      <c r="G19" s="1005">
        <v>432145.333333333</v>
      </c>
      <c r="H19" s="1005">
        <f t="shared" si="0"/>
        <v>16824.666666666</v>
      </c>
      <c r="I19" s="824" t="s">
        <v>723</v>
      </c>
      <c r="J19" s="1006">
        <f>1+23/31</f>
        <v>1.74193548387097</v>
      </c>
      <c r="K19" s="1005">
        <f t="shared" si="1"/>
        <v>29307.4838709667</v>
      </c>
    </row>
    <row r="20" ht="30" customHeight="1" spans="1:11">
      <c r="A20" s="760">
        <v>15</v>
      </c>
      <c r="B20" s="1002" t="s">
        <v>742</v>
      </c>
      <c r="C20" s="1003" t="s">
        <v>574</v>
      </c>
      <c r="D20" s="1008" t="s">
        <v>679</v>
      </c>
      <c r="E20" s="1002" t="s">
        <v>680</v>
      </c>
      <c r="F20" s="1005">
        <v>415320.666666667</v>
      </c>
      <c r="G20" s="1005">
        <v>432145.333333333</v>
      </c>
      <c r="H20" s="1005">
        <f t="shared" si="0"/>
        <v>16824.666666666</v>
      </c>
      <c r="I20" s="824" t="s">
        <v>743</v>
      </c>
      <c r="J20" s="1006">
        <f>2+(29/31)</f>
        <v>2.93548387096774</v>
      </c>
      <c r="K20" s="1005">
        <f t="shared" si="1"/>
        <v>49388.5376344067</v>
      </c>
    </row>
    <row r="21" ht="30" customHeight="1" spans="1:11">
      <c r="A21" s="760">
        <v>16</v>
      </c>
      <c r="B21" s="1002" t="s">
        <v>744</v>
      </c>
      <c r="C21" s="1003" t="s">
        <v>745</v>
      </c>
      <c r="D21" s="1008" t="s">
        <v>679</v>
      </c>
      <c r="E21" s="1002" t="s">
        <v>680</v>
      </c>
      <c r="F21" s="1005">
        <v>455320.666666667</v>
      </c>
      <c r="G21" s="1005">
        <f>432145.333333333+50000</f>
        <v>482145.333333333</v>
      </c>
      <c r="H21" s="1005">
        <f t="shared" si="0"/>
        <v>26824.666666666</v>
      </c>
      <c r="I21" s="1003" t="s">
        <v>746</v>
      </c>
      <c r="J21" s="1006">
        <f>7+(15/28)</f>
        <v>7.53571428571429</v>
      </c>
      <c r="K21" s="1005">
        <f t="shared" si="1"/>
        <v>202143.023809519</v>
      </c>
    </row>
    <row r="22" ht="30" customHeight="1" spans="1:11">
      <c r="A22" s="760">
        <v>17</v>
      </c>
      <c r="B22" s="1002" t="s">
        <v>747</v>
      </c>
      <c r="C22" s="1003" t="s">
        <v>748</v>
      </c>
      <c r="D22" s="1008" t="s">
        <v>736</v>
      </c>
      <c r="E22" s="1002" t="s">
        <v>680</v>
      </c>
      <c r="F22" s="1005">
        <v>398711.666666667</v>
      </c>
      <c r="G22" s="1005">
        <v>432145.333333333</v>
      </c>
      <c r="H22" s="1005">
        <f t="shared" si="0"/>
        <v>33433.666666666</v>
      </c>
      <c r="I22" s="824" t="s">
        <v>739</v>
      </c>
      <c r="J22" s="1006">
        <f t="shared" si="3"/>
        <v>2.09677419354839</v>
      </c>
      <c r="K22" s="1005">
        <f t="shared" si="1"/>
        <v>70102.8494623644</v>
      </c>
    </row>
    <row r="23" ht="30" customHeight="1" spans="1:11">
      <c r="A23" s="760">
        <v>18</v>
      </c>
      <c r="B23" s="1002" t="s">
        <v>749</v>
      </c>
      <c r="C23" s="1003" t="s">
        <v>750</v>
      </c>
      <c r="D23" s="1008" t="s">
        <v>679</v>
      </c>
      <c r="E23" s="1002" t="s">
        <v>680</v>
      </c>
      <c r="F23" s="1005">
        <v>415320.666666667</v>
      </c>
      <c r="G23" s="1005">
        <v>432145.333333333</v>
      </c>
      <c r="H23" s="1005">
        <f t="shared" si="0"/>
        <v>16824.666666666</v>
      </c>
      <c r="I23" s="824" t="s">
        <v>739</v>
      </c>
      <c r="J23" s="1006">
        <f t="shared" si="3"/>
        <v>2.09677419354839</v>
      </c>
      <c r="K23" s="1005">
        <f t="shared" si="1"/>
        <v>35277.5268817192</v>
      </c>
    </row>
    <row r="24" ht="30" customHeight="1" spans="1:11">
      <c r="A24" s="760">
        <v>19</v>
      </c>
      <c r="B24" s="1002" t="s">
        <v>751</v>
      </c>
      <c r="C24" s="1003" t="s">
        <v>698</v>
      </c>
      <c r="D24" s="1007" t="s">
        <v>752</v>
      </c>
      <c r="E24" s="1002" t="s">
        <v>571</v>
      </c>
      <c r="F24" s="1005">
        <v>0</v>
      </c>
      <c r="G24" s="1005">
        <v>0</v>
      </c>
      <c r="H24" s="1005">
        <f t="shared" si="0"/>
        <v>0</v>
      </c>
      <c r="I24" s="1003" t="s">
        <v>746</v>
      </c>
      <c r="J24" s="1006">
        <v>0</v>
      </c>
      <c r="K24" s="1005">
        <f t="shared" si="1"/>
        <v>0</v>
      </c>
    </row>
    <row r="25" ht="30" customHeight="1" spans="1:11">
      <c r="A25" s="760">
        <v>20</v>
      </c>
      <c r="B25" s="1002" t="s">
        <v>753</v>
      </c>
      <c r="C25" s="1003" t="s">
        <v>574</v>
      </c>
      <c r="D25" s="1007" t="s">
        <v>754</v>
      </c>
      <c r="E25" s="1002" t="s">
        <v>571</v>
      </c>
      <c r="F25" s="1005">
        <v>358920.666666667</v>
      </c>
      <c r="G25" s="1005">
        <v>390407.083333333</v>
      </c>
      <c r="H25" s="1005">
        <f t="shared" si="0"/>
        <v>31486.416666666</v>
      </c>
      <c r="I25" s="824" t="s">
        <v>739</v>
      </c>
      <c r="J25" s="1006">
        <v>2.09677419354839</v>
      </c>
      <c r="K25" s="1005">
        <f t="shared" si="1"/>
        <v>66019.9059139773</v>
      </c>
    </row>
    <row r="26" ht="30" customHeight="1" spans="1:11">
      <c r="A26" s="760">
        <v>21</v>
      </c>
      <c r="B26" s="1002" t="s">
        <v>755</v>
      </c>
      <c r="C26" s="1003" t="s">
        <v>698</v>
      </c>
      <c r="D26" s="1008" t="s">
        <v>756</v>
      </c>
      <c r="E26" s="1002" t="s">
        <v>757</v>
      </c>
      <c r="F26" s="1005">
        <v>170356.75</v>
      </c>
      <c r="G26" s="1005">
        <v>240784</v>
      </c>
      <c r="H26" s="1005">
        <f t="shared" si="0"/>
        <v>70427.25</v>
      </c>
      <c r="I26" s="1003" t="s">
        <v>758</v>
      </c>
      <c r="J26" s="1006">
        <f>10+(4/30)</f>
        <v>10.1333333333333</v>
      </c>
      <c r="K26" s="1005">
        <f t="shared" si="1"/>
        <v>713662.799999998</v>
      </c>
    </row>
    <row r="27" ht="30" customHeight="1" spans="1:11">
      <c r="A27" s="760">
        <v>22</v>
      </c>
      <c r="B27" s="1002" t="s">
        <v>759</v>
      </c>
      <c r="C27" s="1003" t="s">
        <v>760</v>
      </c>
      <c r="D27" s="1008" t="s">
        <v>756</v>
      </c>
      <c r="E27" s="1002" t="s">
        <v>757</v>
      </c>
      <c r="F27" s="1005">
        <v>170356.75</v>
      </c>
      <c r="G27" s="1005">
        <v>240784</v>
      </c>
      <c r="H27" s="1005">
        <f t="shared" si="0"/>
        <v>70427.25</v>
      </c>
      <c r="I27" s="824" t="s">
        <v>723</v>
      </c>
      <c r="J27" s="1006">
        <f t="shared" ref="J27:J31" si="4">1+23/31</f>
        <v>1.74193548387097</v>
      </c>
      <c r="K27" s="1005">
        <f t="shared" si="1"/>
        <v>122679.725806452</v>
      </c>
    </row>
    <row r="28" ht="30" customHeight="1" spans="1:11">
      <c r="A28" s="760">
        <v>23</v>
      </c>
      <c r="B28" s="1002" t="s">
        <v>761</v>
      </c>
      <c r="C28" s="1003" t="s">
        <v>713</v>
      </c>
      <c r="D28" s="1008" t="s">
        <v>756</v>
      </c>
      <c r="E28" s="1002" t="s">
        <v>757</v>
      </c>
      <c r="F28" s="1005">
        <v>170356.75</v>
      </c>
      <c r="G28" s="1005">
        <v>240784</v>
      </c>
      <c r="H28" s="1005">
        <f t="shared" si="0"/>
        <v>70427.25</v>
      </c>
      <c r="I28" s="824" t="s">
        <v>723</v>
      </c>
      <c r="J28" s="1006">
        <f t="shared" si="4"/>
        <v>1.74193548387097</v>
      </c>
      <c r="K28" s="1005">
        <f t="shared" si="1"/>
        <v>122679.725806452</v>
      </c>
    </row>
    <row r="29" ht="30" customHeight="1" spans="1:11">
      <c r="A29" s="760">
        <v>24</v>
      </c>
      <c r="B29" s="1002" t="s">
        <v>762</v>
      </c>
      <c r="C29" s="1003" t="s">
        <v>745</v>
      </c>
      <c r="D29" s="1008" t="s">
        <v>756</v>
      </c>
      <c r="E29" s="1002" t="s">
        <v>757</v>
      </c>
      <c r="F29" s="1005">
        <v>170356.75</v>
      </c>
      <c r="G29" s="1005">
        <v>240784</v>
      </c>
      <c r="H29" s="1005">
        <f t="shared" si="0"/>
        <v>70427.25</v>
      </c>
      <c r="I29" s="824" t="s">
        <v>723</v>
      </c>
      <c r="J29" s="1006">
        <f t="shared" si="4"/>
        <v>1.74193548387097</v>
      </c>
      <c r="K29" s="1005">
        <f t="shared" si="1"/>
        <v>122679.725806452</v>
      </c>
    </row>
    <row r="30" ht="25" customHeight="1" spans="1:11">
      <c r="A30" s="760">
        <v>25</v>
      </c>
      <c r="B30" s="1002" t="s">
        <v>763</v>
      </c>
      <c r="C30" s="1003" t="s">
        <v>698</v>
      </c>
      <c r="D30" s="1008" t="s">
        <v>756</v>
      </c>
      <c r="E30" s="1002" t="s">
        <v>757</v>
      </c>
      <c r="F30" s="1005">
        <v>170356.75</v>
      </c>
      <c r="G30" s="1005">
        <v>240784</v>
      </c>
      <c r="H30" s="1005">
        <f t="shared" si="0"/>
        <v>70427.25</v>
      </c>
      <c r="I30" s="824" t="s">
        <v>723</v>
      </c>
      <c r="J30" s="1006">
        <f t="shared" si="4"/>
        <v>1.74193548387097</v>
      </c>
      <c r="K30" s="1005">
        <f t="shared" si="1"/>
        <v>122679.725806452</v>
      </c>
    </row>
    <row r="31" ht="23" customHeight="1" spans="1:11">
      <c r="A31" s="760">
        <v>26</v>
      </c>
      <c r="B31" s="1002" t="s">
        <v>764</v>
      </c>
      <c r="C31" s="1003" t="s">
        <v>765</v>
      </c>
      <c r="D31" s="1008" t="s">
        <v>756</v>
      </c>
      <c r="E31" s="1002" t="s">
        <v>757</v>
      </c>
      <c r="F31" s="1005">
        <v>170356.75</v>
      </c>
      <c r="G31" s="1005">
        <v>240784</v>
      </c>
      <c r="H31" s="1005">
        <f t="shared" si="0"/>
        <v>70427.25</v>
      </c>
      <c r="I31" s="824" t="s">
        <v>723</v>
      </c>
      <c r="J31" s="1006">
        <f t="shared" si="4"/>
        <v>1.74193548387097</v>
      </c>
      <c r="K31" s="1005">
        <f t="shared" si="1"/>
        <v>122679.725806452</v>
      </c>
    </row>
    <row r="32" ht="22" customHeight="1" spans="1:11">
      <c r="A32" s="1007"/>
      <c r="B32" s="1007" t="s">
        <v>120</v>
      </c>
      <c r="C32" s="1007"/>
      <c r="D32" s="1007"/>
      <c r="E32" s="1007"/>
      <c r="F32" s="1005"/>
      <c r="G32" s="1005"/>
      <c r="H32" s="1009">
        <f>SUM(H6:H31)</f>
        <v>1065012.66666666</v>
      </c>
      <c r="I32" s="1007"/>
      <c r="J32" s="1010"/>
      <c r="K32" s="1011">
        <f>SUM(K6:K31)</f>
        <v>2458835.14495645</v>
      </c>
    </row>
    <row r="33" ht="14" spans="1:11">
      <c r="A33" s="1012"/>
      <c r="B33" s="1012"/>
      <c r="C33" s="1012"/>
      <c r="D33" s="1012"/>
      <c r="E33" s="1012"/>
      <c r="F33" s="1012"/>
      <c r="G33" s="1012"/>
      <c r="H33" s="1012"/>
      <c r="I33" s="1012"/>
      <c r="J33" s="1012"/>
      <c r="K33" s="1012"/>
    </row>
    <row r="34" ht="14" spans="1:11">
      <c r="A34" s="1012"/>
      <c r="B34" s="1012"/>
      <c r="C34" s="1012"/>
      <c r="D34" s="1012"/>
      <c r="E34" s="1012"/>
      <c r="F34" s="1012"/>
      <c r="G34" s="1012"/>
      <c r="H34" s="1012"/>
      <c r="I34" s="1012"/>
      <c r="J34" s="1012"/>
      <c r="K34" s="1012"/>
    </row>
    <row r="35" ht="14" spans="1:11">
      <c r="A35" s="1012"/>
      <c r="B35" s="1012"/>
      <c r="C35" s="1012"/>
      <c r="D35" s="1012"/>
      <c r="E35" s="1012"/>
      <c r="F35" s="1012"/>
      <c r="G35" s="1012"/>
      <c r="H35" s="1012"/>
      <c r="I35" s="1012"/>
      <c r="J35" s="1012"/>
      <c r="K35" s="1012"/>
    </row>
    <row r="36" ht="14" spans="1:11">
      <c r="A36" s="1012"/>
      <c r="B36" s="1012"/>
      <c r="C36" s="1012"/>
      <c r="D36" s="1012"/>
      <c r="E36" s="1012"/>
      <c r="F36" s="1012"/>
      <c r="G36" s="1012"/>
      <c r="H36" s="1012"/>
      <c r="I36" s="1012"/>
      <c r="J36" s="1012"/>
      <c r="K36" s="1012"/>
    </row>
    <row r="37" ht="14" spans="1:11">
      <c r="A37" s="1012"/>
      <c r="B37" s="1012"/>
      <c r="C37" s="1012"/>
      <c r="D37" s="1012"/>
      <c r="E37" s="1012"/>
      <c r="F37" s="1012"/>
      <c r="G37" s="1012"/>
      <c r="H37" s="1012"/>
      <c r="I37" s="1012"/>
      <c r="J37" s="1012"/>
      <c r="K37" s="1012"/>
    </row>
    <row r="38" ht="14" spans="1:11">
      <c r="A38" s="1012"/>
      <c r="B38" s="1012"/>
      <c r="C38" s="1012"/>
      <c r="D38" s="1012"/>
      <c r="E38" s="1012"/>
      <c r="F38" s="1012"/>
      <c r="G38" s="1012"/>
      <c r="H38" s="1012"/>
      <c r="I38" s="1012"/>
      <c r="J38" s="1012"/>
      <c r="K38" s="1012"/>
    </row>
    <row r="39" ht="14" spans="1:11">
      <c r="A39" s="1012"/>
      <c r="B39" s="1012"/>
      <c r="C39" s="1012"/>
      <c r="D39" s="1012"/>
      <c r="E39" s="1012"/>
      <c r="F39" s="1012"/>
      <c r="G39" s="1012"/>
      <c r="H39" s="1012"/>
      <c r="I39" s="1012"/>
      <c r="J39" s="1012"/>
      <c r="K39" s="1012"/>
    </row>
    <row r="40" ht="14" spans="1:11">
      <c r="A40" s="1012"/>
      <c r="B40" s="1012"/>
      <c r="C40" s="1012"/>
      <c r="D40" s="1012"/>
      <c r="E40" s="1012"/>
      <c r="F40" s="1012"/>
      <c r="G40" s="1012"/>
      <c r="H40" s="1012"/>
      <c r="I40" s="1012"/>
      <c r="J40" s="1012"/>
      <c r="K40" s="1012"/>
    </row>
    <row r="41" ht="14" spans="1:11">
      <c r="A41" s="1012"/>
      <c r="B41" s="1012"/>
      <c r="C41" s="1012"/>
      <c r="D41" s="1012"/>
      <c r="E41" s="1012"/>
      <c r="F41" s="1012"/>
      <c r="G41" s="1012"/>
      <c r="H41" s="1012"/>
      <c r="I41" s="1012"/>
      <c r="J41" s="1012"/>
      <c r="K41" s="1012"/>
    </row>
    <row r="42" ht="14" spans="1:11">
      <c r="A42" s="1012"/>
      <c r="B42" s="1012"/>
      <c r="C42" s="1012"/>
      <c r="D42" s="1012"/>
      <c r="E42" s="1012"/>
      <c r="F42" s="1012"/>
      <c r="G42" s="1012"/>
      <c r="H42" s="1012"/>
      <c r="I42" s="1012"/>
      <c r="J42" s="1012"/>
      <c r="K42" s="1012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  <rowBreaks count="1" manualBreakCount="1">
    <brk id="1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view="pageBreakPreview" zoomScaleNormal="100" topLeftCell="A15" workbookViewId="0">
      <selection activeCell="M16" sqref="M16"/>
    </sheetView>
  </sheetViews>
  <sheetFormatPr defaultColWidth="8.72727272727273" defaultRowHeight="12.5"/>
  <cols>
    <col min="1" max="1" width="4" customWidth="1"/>
    <col min="2" max="2" width="18.8181818181818" customWidth="1"/>
    <col min="3" max="3" width="8.27272727272727" customWidth="1"/>
    <col min="4" max="4" width="15.6363636363636" customWidth="1"/>
    <col min="5" max="5" width="8.63636363636364" customWidth="1"/>
    <col min="6" max="6" width="10.1818181818182" customWidth="1"/>
    <col min="7" max="7" width="12.1818181818182" customWidth="1"/>
    <col min="8" max="8" width="11.3636363636364" customWidth="1"/>
    <col min="9" max="9" width="10.6363636363636" customWidth="1"/>
    <col min="10" max="10" width="9.63636363636364" customWidth="1"/>
    <col min="11" max="11" width="12.5454545454545" customWidth="1"/>
    <col min="12" max="12" width="11" customWidth="1"/>
    <col min="13" max="13" width="12.7272727272727" customWidth="1"/>
    <col min="14" max="14" width="12.4545454545455" customWidth="1"/>
    <col min="15" max="15" width="12.1818181818182" customWidth="1"/>
    <col min="16" max="16" width="9.63636363636364"/>
  </cols>
  <sheetData>
    <row r="1" ht="17.5" spans="1:16">
      <c r="A1" s="989" t="s">
        <v>546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</row>
    <row r="2" ht="17.5" spans="1:16">
      <c r="A2" s="989" t="s">
        <v>766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</row>
    <row r="3" ht="9" customHeight="1"/>
    <row r="4" ht="44" customHeight="1" spans="1:16">
      <c r="A4" s="990" t="s">
        <v>548</v>
      </c>
      <c r="B4" s="990" t="s">
        <v>549</v>
      </c>
      <c r="C4" s="990" t="s">
        <v>767</v>
      </c>
      <c r="D4" s="284" t="s">
        <v>3</v>
      </c>
      <c r="E4" s="284" t="s">
        <v>768</v>
      </c>
      <c r="F4" s="674" t="s">
        <v>769</v>
      </c>
      <c r="G4" s="674" t="s">
        <v>770</v>
      </c>
      <c r="H4" s="674" t="s">
        <v>771</v>
      </c>
      <c r="I4" s="674" t="s">
        <v>772</v>
      </c>
      <c r="J4" s="674" t="s">
        <v>773</v>
      </c>
      <c r="K4" s="991" t="s">
        <v>9</v>
      </c>
      <c r="L4" s="941" t="s">
        <v>16</v>
      </c>
      <c r="M4" s="674" t="s">
        <v>774</v>
      </c>
      <c r="N4" s="674" t="s">
        <v>775</v>
      </c>
      <c r="O4" s="674" t="s">
        <v>776</v>
      </c>
    </row>
    <row r="5" ht="30" customHeight="1" spans="1:16">
      <c r="A5" s="280">
        <v>1</v>
      </c>
      <c r="B5" s="987" t="s">
        <v>777</v>
      </c>
      <c r="C5" s="987" t="s">
        <v>447</v>
      </c>
      <c r="D5" s="987" t="s">
        <v>778</v>
      </c>
      <c r="E5" s="987" t="s">
        <v>779</v>
      </c>
      <c r="F5" s="992">
        <v>432981.083333333</v>
      </c>
      <c r="G5" s="992">
        <v>267732.833333333</v>
      </c>
      <c r="H5" s="992">
        <f>F5+G5</f>
        <v>700713.916666667</v>
      </c>
      <c r="I5" s="992"/>
      <c r="J5" s="992">
        <v>80000</v>
      </c>
      <c r="K5" s="993">
        <f>H5+I5+J5</f>
        <v>780713.916666667</v>
      </c>
      <c r="L5" s="994">
        <v>117800.772906667</v>
      </c>
      <c r="M5" s="994">
        <f>0.08*H5</f>
        <v>56057.1133333333</v>
      </c>
      <c r="N5" s="994">
        <f>M5*12</f>
        <v>672685.36</v>
      </c>
      <c r="O5" s="995">
        <f>K5-L5-M5</f>
        <v>606856.030426667</v>
      </c>
    </row>
    <row r="6" ht="30" customHeight="1" spans="1:16">
      <c r="A6" s="280">
        <v>2</v>
      </c>
      <c r="B6" s="987" t="s">
        <v>780</v>
      </c>
      <c r="C6" s="987" t="s">
        <v>765</v>
      </c>
      <c r="D6" s="987" t="s">
        <v>781</v>
      </c>
      <c r="E6" s="987" t="s">
        <v>779</v>
      </c>
      <c r="F6" s="992">
        <v>432981.083333333</v>
      </c>
      <c r="G6" s="992">
        <v>267732.833333333</v>
      </c>
      <c r="H6" s="992">
        <f t="shared" ref="H6:H28" si="0">F6+G6</f>
        <v>700713.916666667</v>
      </c>
      <c r="I6" s="992">
        <v>160000</v>
      </c>
      <c r="J6" s="992"/>
      <c r="K6" s="993">
        <f t="shared" ref="K6:K28" si="1">H6+I6+J6</f>
        <v>860713.916666667</v>
      </c>
      <c r="L6" s="994">
        <v>133160.772906667</v>
      </c>
      <c r="M6" s="994">
        <f t="shared" ref="M6:M28" si="2">0.08*H6</f>
        <v>56057.1133333333</v>
      </c>
      <c r="N6" s="994">
        <f t="shared" ref="N6:N28" si="3">M6*12</f>
        <v>672685.36</v>
      </c>
      <c r="O6" s="995">
        <f t="shared" ref="O6:O28" si="4">K6-L6-M6</f>
        <v>671496.030426667</v>
      </c>
    </row>
    <row r="7" ht="30" customHeight="1" spans="1:16">
      <c r="A7" s="280">
        <v>3</v>
      </c>
      <c r="B7" s="987" t="s">
        <v>782</v>
      </c>
      <c r="C7" s="987" t="s">
        <v>783</v>
      </c>
      <c r="D7" s="987" t="s">
        <v>781</v>
      </c>
      <c r="E7" s="987" t="s">
        <v>779</v>
      </c>
      <c r="F7" s="992">
        <v>432981.083333333</v>
      </c>
      <c r="G7" s="992">
        <v>267732.833333333</v>
      </c>
      <c r="H7" s="992">
        <f t="shared" si="0"/>
        <v>700713.916666667</v>
      </c>
      <c r="I7" s="992">
        <v>160000</v>
      </c>
      <c r="J7" s="992"/>
      <c r="K7" s="993">
        <f t="shared" si="1"/>
        <v>860713.916666667</v>
      </c>
      <c r="L7" s="994">
        <v>133160.772906667</v>
      </c>
      <c r="M7" s="994">
        <f t="shared" si="2"/>
        <v>56057.1133333333</v>
      </c>
      <c r="N7" s="994">
        <f t="shared" si="3"/>
        <v>672685.36</v>
      </c>
      <c r="O7" s="995">
        <f t="shared" si="4"/>
        <v>671496.030426667</v>
      </c>
    </row>
    <row r="8" ht="30" customHeight="1" spans="1:16">
      <c r="A8" s="280">
        <v>4</v>
      </c>
      <c r="B8" s="987" t="s">
        <v>784</v>
      </c>
      <c r="C8" s="987" t="s">
        <v>785</v>
      </c>
      <c r="D8" s="987" t="s">
        <v>786</v>
      </c>
      <c r="E8" s="987" t="s">
        <v>787</v>
      </c>
      <c r="F8" s="992">
        <v>329014.416666667</v>
      </c>
      <c r="G8" s="992">
        <v>197659.166666667</v>
      </c>
      <c r="H8" s="992">
        <f t="shared" si="0"/>
        <v>526673.583333333</v>
      </c>
      <c r="I8" s="992"/>
      <c r="J8" s="992">
        <v>70000</v>
      </c>
      <c r="K8" s="993">
        <f t="shared" si="1"/>
        <v>596673.583333333</v>
      </c>
      <c r="L8" s="994">
        <v>85138.2884266667</v>
      </c>
      <c r="M8" s="994">
        <f t="shared" si="2"/>
        <v>42133.8866666667</v>
      </c>
      <c r="N8" s="994">
        <f t="shared" si="3"/>
        <v>505606.64</v>
      </c>
      <c r="O8" s="995">
        <f t="shared" si="4"/>
        <v>469401.40824</v>
      </c>
    </row>
    <row r="9" ht="30" customHeight="1" spans="1:16">
      <c r="A9" s="280">
        <v>5</v>
      </c>
      <c r="B9" s="987" t="s">
        <v>788</v>
      </c>
      <c r="C9" s="987" t="s">
        <v>789</v>
      </c>
      <c r="D9" s="987" t="s">
        <v>790</v>
      </c>
      <c r="E9" s="987" t="s">
        <v>791</v>
      </c>
      <c r="F9" s="992">
        <v>278231.25</v>
      </c>
      <c r="G9" s="992">
        <v>162927.75</v>
      </c>
      <c r="H9" s="992">
        <f t="shared" si="0"/>
        <v>441159</v>
      </c>
      <c r="I9" s="992">
        <f>110000+48527.49</f>
        <v>158527.49</v>
      </c>
      <c r="J9" s="992"/>
      <c r="K9" s="993">
        <f t="shared" si="1"/>
        <v>599686.49</v>
      </c>
      <c r="L9" s="994">
        <v>87030.2705066667</v>
      </c>
      <c r="M9" s="994">
        <f t="shared" si="2"/>
        <v>35292.72</v>
      </c>
      <c r="N9" s="994">
        <f t="shared" si="3"/>
        <v>423512.64</v>
      </c>
      <c r="O9" s="995">
        <f t="shared" si="4"/>
        <v>477363.499493333</v>
      </c>
      <c r="P9" s="213"/>
    </row>
    <row r="10" ht="30" customHeight="1" spans="1:16">
      <c r="A10" s="280">
        <v>6</v>
      </c>
      <c r="B10" s="987" t="s">
        <v>792</v>
      </c>
      <c r="C10" s="987" t="s">
        <v>793</v>
      </c>
      <c r="D10" s="987" t="s">
        <v>794</v>
      </c>
      <c r="E10" s="987" t="s">
        <v>795</v>
      </c>
      <c r="F10" s="992">
        <v>187994.416666667</v>
      </c>
      <c r="G10" s="992">
        <v>99896.5</v>
      </c>
      <c r="H10" s="992">
        <f t="shared" si="0"/>
        <v>287890.916666667</v>
      </c>
      <c r="I10" s="992"/>
      <c r="J10" s="992">
        <v>50000</v>
      </c>
      <c r="K10" s="993">
        <f t="shared" si="1"/>
        <v>337890.916666667</v>
      </c>
      <c r="L10" s="994">
        <v>40063.0867466667</v>
      </c>
      <c r="M10" s="994">
        <f t="shared" si="2"/>
        <v>23031.2733333333</v>
      </c>
      <c r="N10" s="994">
        <f t="shared" si="3"/>
        <v>276375.28</v>
      </c>
      <c r="O10" s="995">
        <f t="shared" si="4"/>
        <v>274796.556586667</v>
      </c>
    </row>
    <row r="11" ht="30" customHeight="1" spans="1:16">
      <c r="A11" s="280">
        <v>7</v>
      </c>
      <c r="B11" s="987" t="s">
        <v>796</v>
      </c>
      <c r="C11" s="987" t="s">
        <v>722</v>
      </c>
      <c r="D11" s="987" t="s">
        <v>797</v>
      </c>
      <c r="E11" s="987" t="s">
        <v>798</v>
      </c>
      <c r="F11" s="992">
        <v>212792.166666667</v>
      </c>
      <c r="G11" s="992">
        <v>117614.916666667</v>
      </c>
      <c r="H11" s="992">
        <f t="shared" si="0"/>
        <v>330407.083333333</v>
      </c>
      <c r="I11" s="992">
        <v>100000</v>
      </c>
      <c r="J11" s="992"/>
      <c r="K11" s="993">
        <f t="shared" si="1"/>
        <v>430407.083333333</v>
      </c>
      <c r="L11" s="994">
        <v>56229.7738666667</v>
      </c>
      <c r="M11" s="994">
        <f t="shared" si="2"/>
        <v>26432.5666666667</v>
      </c>
      <c r="N11" s="994">
        <f t="shared" si="3"/>
        <v>317190.8</v>
      </c>
      <c r="O11" s="995">
        <f t="shared" si="4"/>
        <v>347744.7428</v>
      </c>
    </row>
    <row r="12" ht="30" customHeight="1" spans="1:16">
      <c r="A12" s="280">
        <v>8</v>
      </c>
      <c r="B12" s="987" t="s">
        <v>799</v>
      </c>
      <c r="C12" s="987" t="s">
        <v>789</v>
      </c>
      <c r="D12" s="987" t="s">
        <v>800</v>
      </c>
      <c r="E12" s="987" t="s">
        <v>795</v>
      </c>
      <c r="F12" s="992">
        <v>187994.416666667</v>
      </c>
      <c r="G12" s="992">
        <v>99896.5</v>
      </c>
      <c r="H12" s="992">
        <f t="shared" si="0"/>
        <v>287890.916666667</v>
      </c>
      <c r="I12" s="992">
        <f>100000+31668</f>
        <v>131668</v>
      </c>
      <c r="J12" s="992"/>
      <c r="K12" s="993">
        <f t="shared" si="1"/>
        <v>419558.916666667</v>
      </c>
      <c r="L12" s="994">
        <v>54799.9741866667</v>
      </c>
      <c r="M12" s="994">
        <f t="shared" si="2"/>
        <v>23031.2733333333</v>
      </c>
      <c r="N12" s="994">
        <f t="shared" si="3"/>
        <v>276375.28</v>
      </c>
      <c r="O12" s="995">
        <f t="shared" si="4"/>
        <v>341727.669146667</v>
      </c>
      <c r="P12" s="213"/>
    </row>
    <row r="13" ht="30" customHeight="1" spans="1:16">
      <c r="A13" s="280">
        <v>9</v>
      </c>
      <c r="B13" s="987" t="s">
        <v>801</v>
      </c>
      <c r="C13" s="987" t="s">
        <v>789</v>
      </c>
      <c r="D13" s="987" t="s">
        <v>800</v>
      </c>
      <c r="E13" s="987" t="s">
        <v>795</v>
      </c>
      <c r="F13" s="992">
        <v>187994.416666667</v>
      </c>
      <c r="G13" s="992">
        <v>99896.5</v>
      </c>
      <c r="H13" s="992">
        <f t="shared" si="0"/>
        <v>287890.916666667</v>
      </c>
      <c r="I13" s="992">
        <v>131668</v>
      </c>
      <c r="J13" s="992"/>
      <c r="K13" s="993">
        <f t="shared" si="1"/>
        <v>419558.916666667</v>
      </c>
      <c r="L13" s="994">
        <v>54799.9741866667</v>
      </c>
      <c r="M13" s="994">
        <f t="shared" si="2"/>
        <v>23031.2733333333</v>
      </c>
      <c r="N13" s="994">
        <f t="shared" si="3"/>
        <v>276375.28</v>
      </c>
      <c r="O13" s="995">
        <f t="shared" si="4"/>
        <v>341727.669146667</v>
      </c>
    </row>
    <row r="14" ht="30" customHeight="1" spans="1:16">
      <c r="A14" s="280">
        <v>10</v>
      </c>
      <c r="B14" s="987" t="s">
        <v>802</v>
      </c>
      <c r="C14" s="987" t="s">
        <v>793</v>
      </c>
      <c r="D14" s="987" t="s">
        <v>794</v>
      </c>
      <c r="E14" s="987" t="s">
        <v>795</v>
      </c>
      <c r="F14" s="992">
        <v>187994.416666667</v>
      </c>
      <c r="G14" s="992">
        <v>99896.5</v>
      </c>
      <c r="H14" s="992">
        <f t="shared" si="0"/>
        <v>287890.916666667</v>
      </c>
      <c r="I14" s="992"/>
      <c r="J14" s="992">
        <v>50000</v>
      </c>
      <c r="K14" s="993">
        <f t="shared" si="1"/>
        <v>337890.916666667</v>
      </c>
      <c r="L14" s="994">
        <v>40063.0867466667</v>
      </c>
      <c r="M14" s="994">
        <f t="shared" si="2"/>
        <v>23031.2733333333</v>
      </c>
      <c r="N14" s="994">
        <f t="shared" si="3"/>
        <v>276375.28</v>
      </c>
      <c r="O14" s="995">
        <f t="shared" si="4"/>
        <v>274796.556586667</v>
      </c>
    </row>
    <row r="15" ht="30" customHeight="1" spans="1:16">
      <c r="A15" s="280">
        <v>11</v>
      </c>
      <c r="B15" s="987" t="s">
        <v>803</v>
      </c>
      <c r="C15" s="987" t="s">
        <v>789</v>
      </c>
      <c r="D15" s="987" t="s">
        <v>800</v>
      </c>
      <c r="E15" s="987" t="s">
        <v>795</v>
      </c>
      <c r="F15" s="992">
        <v>187994.416666667</v>
      </c>
      <c r="G15" s="992">
        <v>99896.5</v>
      </c>
      <c r="H15" s="992">
        <f t="shared" si="0"/>
        <v>287890.916666667</v>
      </c>
      <c r="I15" s="992">
        <v>131668</v>
      </c>
      <c r="J15" s="992"/>
      <c r="K15" s="993">
        <v>419558.916666667</v>
      </c>
      <c r="L15" s="994">
        <v>54799.9741866667</v>
      </c>
      <c r="M15" s="994">
        <f t="shared" si="2"/>
        <v>23031.2733333333</v>
      </c>
      <c r="N15" s="994">
        <f t="shared" si="3"/>
        <v>276375.28</v>
      </c>
      <c r="O15" s="995">
        <f t="shared" si="4"/>
        <v>341727.669146667</v>
      </c>
    </row>
    <row r="16" ht="30" customHeight="1" spans="1:16">
      <c r="A16" s="280">
        <v>12</v>
      </c>
      <c r="B16" s="987" t="s">
        <v>804</v>
      </c>
      <c r="C16" s="987" t="s">
        <v>722</v>
      </c>
      <c r="D16" s="987" t="s">
        <v>805</v>
      </c>
      <c r="E16" s="987" t="s">
        <v>806</v>
      </c>
      <c r="F16" s="992">
        <v>235577.833333333</v>
      </c>
      <c r="G16" s="992">
        <v>136567.5</v>
      </c>
      <c r="H16" s="992">
        <f t="shared" si="0"/>
        <v>372145.333333333</v>
      </c>
      <c r="I16" s="992">
        <v>100000</v>
      </c>
      <c r="J16" s="992"/>
      <c r="K16" s="993">
        <f t="shared" si="1"/>
        <v>472145.333333333</v>
      </c>
      <c r="L16" s="994">
        <v>63602.4183466667</v>
      </c>
      <c r="M16" s="994">
        <f t="shared" si="2"/>
        <v>29771.6266666667</v>
      </c>
      <c r="N16" s="994">
        <f t="shared" si="3"/>
        <v>357259.52</v>
      </c>
      <c r="O16" s="995">
        <f t="shared" si="4"/>
        <v>378771.28832</v>
      </c>
    </row>
    <row r="17" ht="30" customHeight="1" spans="1:15">
      <c r="A17" s="280">
        <v>13</v>
      </c>
      <c r="B17" s="987" t="s">
        <v>807</v>
      </c>
      <c r="C17" s="987" t="s">
        <v>713</v>
      </c>
      <c r="D17" s="987" t="s">
        <v>808</v>
      </c>
      <c r="E17" s="987" t="s">
        <v>806</v>
      </c>
      <c r="F17" s="992">
        <v>235577.833333333</v>
      </c>
      <c r="G17" s="992">
        <v>136567.5</v>
      </c>
      <c r="H17" s="992">
        <f t="shared" si="0"/>
        <v>372145.333333333</v>
      </c>
      <c r="I17" s="992"/>
      <c r="J17" s="992">
        <v>60000</v>
      </c>
      <c r="K17" s="993">
        <f t="shared" si="1"/>
        <v>432145.333333333</v>
      </c>
      <c r="L17" s="994">
        <v>55922.4183466667</v>
      </c>
      <c r="M17" s="994">
        <f t="shared" si="2"/>
        <v>29771.6266666667</v>
      </c>
      <c r="N17" s="994">
        <f t="shared" si="3"/>
        <v>357259.52</v>
      </c>
      <c r="O17" s="995">
        <f t="shared" si="4"/>
        <v>346451.28832</v>
      </c>
    </row>
    <row r="18" ht="30" customHeight="1" spans="1:15">
      <c r="A18" s="280">
        <v>14</v>
      </c>
      <c r="B18" s="987" t="s">
        <v>809</v>
      </c>
      <c r="C18" s="987" t="s">
        <v>810</v>
      </c>
      <c r="D18" s="987" t="s">
        <v>811</v>
      </c>
      <c r="E18" s="987" t="s">
        <v>806</v>
      </c>
      <c r="F18" s="992">
        <v>235577.833333333</v>
      </c>
      <c r="G18" s="992">
        <v>136567.5</v>
      </c>
      <c r="H18" s="992">
        <f t="shared" si="0"/>
        <v>372145.333333333</v>
      </c>
      <c r="I18" s="992"/>
      <c r="J18" s="992">
        <v>60000</v>
      </c>
      <c r="K18" s="993">
        <f t="shared" si="1"/>
        <v>432145.333333333</v>
      </c>
      <c r="L18" s="994">
        <v>55922.4183466667</v>
      </c>
      <c r="M18" s="994">
        <f t="shared" si="2"/>
        <v>29771.6266666667</v>
      </c>
      <c r="N18" s="994">
        <f t="shared" si="3"/>
        <v>357259.52</v>
      </c>
      <c r="O18" s="995">
        <f t="shared" si="4"/>
        <v>346451.28832</v>
      </c>
    </row>
    <row r="19" ht="30" customHeight="1" spans="1:15">
      <c r="A19" s="280">
        <v>15</v>
      </c>
      <c r="B19" s="987" t="s">
        <v>812</v>
      </c>
      <c r="C19" s="987" t="s">
        <v>741</v>
      </c>
      <c r="D19" s="987" t="s">
        <v>813</v>
      </c>
      <c r="E19" s="987" t="s">
        <v>798</v>
      </c>
      <c r="F19" s="992">
        <v>212792.166666667</v>
      </c>
      <c r="G19" s="992">
        <v>117614.916666667</v>
      </c>
      <c r="H19" s="992">
        <f t="shared" si="0"/>
        <v>330407.083333333</v>
      </c>
      <c r="I19" s="992">
        <v>100000</v>
      </c>
      <c r="J19" s="992"/>
      <c r="K19" s="993">
        <f t="shared" si="1"/>
        <v>430407.083333333</v>
      </c>
      <c r="L19" s="994">
        <v>56229.7738666667</v>
      </c>
      <c r="M19" s="994">
        <f t="shared" si="2"/>
        <v>26432.5666666667</v>
      </c>
      <c r="N19" s="994">
        <f t="shared" si="3"/>
        <v>317190.8</v>
      </c>
      <c r="O19" s="995">
        <f t="shared" si="4"/>
        <v>347744.7428</v>
      </c>
    </row>
    <row r="20" ht="30" customHeight="1" spans="1:15">
      <c r="A20" s="280">
        <v>16</v>
      </c>
      <c r="B20" s="987" t="s">
        <v>814</v>
      </c>
      <c r="C20" s="987" t="s">
        <v>741</v>
      </c>
      <c r="D20" s="987" t="s">
        <v>813</v>
      </c>
      <c r="E20" s="987" t="s">
        <v>798</v>
      </c>
      <c r="F20" s="992">
        <v>212792.166666667</v>
      </c>
      <c r="G20" s="992">
        <v>117614.916666667</v>
      </c>
      <c r="H20" s="992">
        <f t="shared" si="0"/>
        <v>330407.083333333</v>
      </c>
      <c r="I20" s="992">
        <v>100000</v>
      </c>
      <c r="J20" s="992"/>
      <c r="K20" s="993">
        <f t="shared" si="1"/>
        <v>430407.083333333</v>
      </c>
      <c r="L20" s="994">
        <v>56229.7738666667</v>
      </c>
      <c r="M20" s="994">
        <f t="shared" si="2"/>
        <v>26432.5666666667</v>
      </c>
      <c r="N20" s="994">
        <f t="shared" si="3"/>
        <v>317190.8</v>
      </c>
      <c r="O20" s="995">
        <f t="shared" si="4"/>
        <v>347744.7428</v>
      </c>
    </row>
    <row r="21" ht="30" customHeight="1" spans="1:15">
      <c r="A21" s="280">
        <v>17</v>
      </c>
      <c r="B21" s="987" t="s">
        <v>815</v>
      </c>
      <c r="C21" s="987" t="s">
        <v>722</v>
      </c>
      <c r="D21" s="987" t="s">
        <v>816</v>
      </c>
      <c r="E21" s="987" t="s">
        <v>795</v>
      </c>
      <c r="F21" s="992">
        <v>187994.416666667</v>
      </c>
      <c r="G21" s="992">
        <v>99896.5</v>
      </c>
      <c r="H21" s="992">
        <f t="shared" si="0"/>
        <v>287890.916666667</v>
      </c>
      <c r="I21" s="992"/>
      <c r="J21" s="992">
        <v>50000</v>
      </c>
      <c r="K21" s="993">
        <f t="shared" si="1"/>
        <v>337890.916666667</v>
      </c>
      <c r="L21" s="994">
        <v>40063.0867466667</v>
      </c>
      <c r="M21" s="994">
        <f t="shared" si="2"/>
        <v>23031.2733333333</v>
      </c>
      <c r="N21" s="994">
        <f t="shared" si="3"/>
        <v>276375.28</v>
      </c>
      <c r="O21" s="995">
        <f t="shared" si="4"/>
        <v>274796.556586667</v>
      </c>
    </row>
    <row r="22" ht="30" customHeight="1" spans="1:15">
      <c r="A22" s="280">
        <v>18</v>
      </c>
      <c r="B22" s="996" t="s">
        <v>817</v>
      </c>
      <c r="C22" s="987" t="s">
        <v>783</v>
      </c>
      <c r="D22" s="987" t="s">
        <v>813</v>
      </c>
      <c r="E22" s="987" t="s">
        <v>798</v>
      </c>
      <c r="F22" s="992">
        <v>212792.166666667</v>
      </c>
      <c r="G22" s="992">
        <v>117614.916666667</v>
      </c>
      <c r="H22" s="992">
        <f t="shared" si="0"/>
        <v>330407.083333333</v>
      </c>
      <c r="I22" s="992">
        <v>100000</v>
      </c>
      <c r="J22" s="992"/>
      <c r="K22" s="993">
        <f t="shared" si="1"/>
        <v>430407.083333333</v>
      </c>
      <c r="L22" s="994">
        <v>56229.7738666667</v>
      </c>
      <c r="M22" s="994">
        <f t="shared" si="2"/>
        <v>26432.5666666667</v>
      </c>
      <c r="N22" s="994">
        <f t="shared" si="3"/>
        <v>317190.8</v>
      </c>
      <c r="O22" s="995">
        <f t="shared" si="4"/>
        <v>347744.7428</v>
      </c>
    </row>
    <row r="23" ht="30" customHeight="1" spans="1:15">
      <c r="A23" s="280">
        <v>19</v>
      </c>
      <c r="B23" s="996" t="s">
        <v>818</v>
      </c>
      <c r="C23" s="987" t="s">
        <v>783</v>
      </c>
      <c r="D23" s="987" t="s">
        <v>813</v>
      </c>
      <c r="E23" s="987" t="s">
        <v>798</v>
      </c>
      <c r="F23" s="992">
        <v>212792.166666667</v>
      </c>
      <c r="G23" s="992">
        <v>117614.916666667</v>
      </c>
      <c r="H23" s="992">
        <f t="shared" si="0"/>
        <v>330407.083333333</v>
      </c>
      <c r="I23" s="992">
        <v>100000</v>
      </c>
      <c r="J23" s="992"/>
      <c r="K23" s="993">
        <f t="shared" si="1"/>
        <v>430407.083333333</v>
      </c>
      <c r="L23" s="994">
        <v>56229.7738666667</v>
      </c>
      <c r="M23" s="994">
        <f t="shared" si="2"/>
        <v>26432.5666666667</v>
      </c>
      <c r="N23" s="994">
        <f t="shared" si="3"/>
        <v>317190.8</v>
      </c>
      <c r="O23" s="995">
        <f t="shared" si="4"/>
        <v>347744.7428</v>
      </c>
    </row>
    <row r="24" ht="30" customHeight="1" spans="1:15">
      <c r="A24" s="280">
        <v>20</v>
      </c>
      <c r="B24" s="987" t="s">
        <v>819</v>
      </c>
      <c r="C24" s="987" t="s">
        <v>820</v>
      </c>
      <c r="D24" s="987" t="s">
        <v>821</v>
      </c>
      <c r="E24" s="987" t="s">
        <v>798</v>
      </c>
      <c r="F24" s="992">
        <v>212792.166666667</v>
      </c>
      <c r="G24" s="992">
        <v>117614.916666667</v>
      </c>
      <c r="H24" s="992">
        <f t="shared" si="0"/>
        <v>330407.083333333</v>
      </c>
      <c r="I24" s="992"/>
      <c r="J24" s="992">
        <v>60000</v>
      </c>
      <c r="K24" s="993">
        <f t="shared" si="1"/>
        <v>390407.083333333</v>
      </c>
      <c r="L24" s="994">
        <v>48549.7738666667</v>
      </c>
      <c r="M24" s="994">
        <f t="shared" si="2"/>
        <v>26432.5666666667</v>
      </c>
      <c r="N24" s="994">
        <f t="shared" si="3"/>
        <v>317190.8</v>
      </c>
      <c r="O24" s="995">
        <f t="shared" si="4"/>
        <v>315424.7428</v>
      </c>
    </row>
    <row r="25" ht="30" customHeight="1" spans="1:15">
      <c r="A25" s="280">
        <v>21</v>
      </c>
      <c r="B25" s="987" t="s">
        <v>822</v>
      </c>
      <c r="C25" s="987" t="s">
        <v>820</v>
      </c>
      <c r="D25" s="987" t="s">
        <v>813</v>
      </c>
      <c r="E25" s="987" t="s">
        <v>798</v>
      </c>
      <c r="F25" s="992">
        <v>212792.166666667</v>
      </c>
      <c r="G25" s="992">
        <v>117614.916666667</v>
      </c>
      <c r="H25" s="992">
        <f t="shared" si="0"/>
        <v>330407.083333333</v>
      </c>
      <c r="I25" s="992">
        <v>100000</v>
      </c>
      <c r="J25" s="992"/>
      <c r="K25" s="993">
        <f t="shared" si="1"/>
        <v>430407.083333333</v>
      </c>
      <c r="L25" s="994">
        <v>56229.7738666667</v>
      </c>
      <c r="M25" s="994">
        <f t="shared" si="2"/>
        <v>26432.5666666667</v>
      </c>
      <c r="N25" s="994">
        <f t="shared" si="3"/>
        <v>317190.8</v>
      </c>
      <c r="O25" s="995">
        <f t="shared" si="4"/>
        <v>347744.7428</v>
      </c>
    </row>
    <row r="26" ht="30" customHeight="1" spans="1:15">
      <c r="A26" s="280">
        <v>22</v>
      </c>
      <c r="B26" s="987" t="s">
        <v>823</v>
      </c>
      <c r="C26" s="987" t="s">
        <v>698</v>
      </c>
      <c r="D26" s="987" t="s">
        <v>824</v>
      </c>
      <c r="E26" s="987" t="s">
        <v>795</v>
      </c>
      <c r="F26" s="992">
        <v>187994.416666667</v>
      </c>
      <c r="G26" s="992">
        <v>99896.5</v>
      </c>
      <c r="H26" s="992">
        <f t="shared" si="0"/>
        <v>287890.916666667</v>
      </c>
      <c r="I26" s="992"/>
      <c r="J26" s="992">
        <v>50000</v>
      </c>
      <c r="K26" s="993">
        <f t="shared" si="1"/>
        <v>337890.916666667</v>
      </c>
      <c r="L26" s="994">
        <v>40063.0867466667</v>
      </c>
      <c r="M26" s="994">
        <f t="shared" si="2"/>
        <v>23031.2733333333</v>
      </c>
      <c r="N26" s="994">
        <f t="shared" si="3"/>
        <v>276375.28</v>
      </c>
      <c r="O26" s="995">
        <f t="shared" si="4"/>
        <v>274796.556586667</v>
      </c>
    </row>
    <row r="27" ht="30" customHeight="1" spans="1:15">
      <c r="A27" s="280">
        <v>23</v>
      </c>
      <c r="B27" s="987" t="s">
        <v>825</v>
      </c>
      <c r="C27" s="987" t="s">
        <v>810</v>
      </c>
      <c r="D27" s="987" t="s">
        <v>826</v>
      </c>
      <c r="E27" s="987" t="s">
        <v>795</v>
      </c>
      <c r="F27" s="992">
        <v>187994.416666667</v>
      </c>
      <c r="G27" s="992">
        <v>99896.5</v>
      </c>
      <c r="H27" s="992">
        <f t="shared" si="0"/>
        <v>287890.916666667</v>
      </c>
      <c r="I27" s="992"/>
      <c r="J27" s="992">
        <v>50000</v>
      </c>
      <c r="K27" s="993">
        <f t="shared" si="1"/>
        <v>337890.916666667</v>
      </c>
      <c r="L27" s="994">
        <v>40063.0867466667</v>
      </c>
      <c r="M27" s="994">
        <f t="shared" si="2"/>
        <v>23031.2733333333</v>
      </c>
      <c r="N27" s="994">
        <f t="shared" si="3"/>
        <v>276375.28</v>
      </c>
      <c r="O27" s="995">
        <f t="shared" si="4"/>
        <v>274796.556586667</v>
      </c>
    </row>
    <row r="28" ht="30" customHeight="1" spans="1:15">
      <c r="A28" s="280">
        <v>24</v>
      </c>
      <c r="B28" s="987" t="s">
        <v>827</v>
      </c>
      <c r="C28" s="987" t="s">
        <v>810</v>
      </c>
      <c r="D28" s="987" t="s">
        <v>828</v>
      </c>
      <c r="E28" s="987" t="s">
        <v>795</v>
      </c>
      <c r="F28" s="992">
        <v>187994.416666667</v>
      </c>
      <c r="G28" s="992">
        <v>99896.5</v>
      </c>
      <c r="H28" s="992">
        <f t="shared" si="0"/>
        <v>287890.916666667</v>
      </c>
      <c r="I28" s="992"/>
      <c r="J28" s="992">
        <v>50000</v>
      </c>
      <c r="K28" s="993">
        <f t="shared" si="1"/>
        <v>337890.916666667</v>
      </c>
      <c r="L28" s="994">
        <v>40063.0867466667</v>
      </c>
      <c r="M28" s="994">
        <f t="shared" si="2"/>
        <v>23031.2733333333</v>
      </c>
      <c r="N28" s="994">
        <f t="shared" si="3"/>
        <v>276375.28</v>
      </c>
      <c r="O28" s="995">
        <f t="shared" si="4"/>
        <v>274796.556586667</v>
      </c>
    </row>
    <row r="29" ht="30" customHeight="1" spans="1:15">
      <c r="A29" s="280"/>
      <c r="B29" s="987"/>
      <c r="C29" s="987"/>
      <c r="D29" s="987"/>
      <c r="E29" s="987"/>
      <c r="F29" s="992"/>
      <c r="G29" s="992"/>
      <c r="H29" s="992"/>
      <c r="I29" s="992"/>
      <c r="J29" s="992"/>
      <c r="K29" s="997">
        <f>SUM(K5:K28)</f>
        <v>11293809.6566667</v>
      </c>
      <c r="L29" s="997">
        <f>SUM(L5:L28)</f>
        <v>1522444.9928</v>
      </c>
      <c r="M29" s="997">
        <f>SUM(M5:M28)</f>
        <v>727222.253333333</v>
      </c>
      <c r="N29" s="997"/>
      <c r="O29" s="997">
        <f>SUM(O5:O28)</f>
        <v>9044142.41053333</v>
      </c>
    </row>
    <row r="30" ht="13" spans="1:15"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263"/>
      <c r="M30" s="263"/>
      <c r="N30" s="263"/>
    </row>
    <row r="31" spans="1:15">
      <c r="O31" s="402" t="e">
        <f>MEMO!#REF!</f>
        <v>#REF!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6"/>
  <sheetViews>
    <sheetView topLeftCell="A4" workbookViewId="0">
      <selection activeCell="X13" sqref="X13"/>
    </sheetView>
  </sheetViews>
  <sheetFormatPr defaultColWidth="9.13636363636364" defaultRowHeight="12.5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27.4272727272727" style="296" customWidth="1"/>
    <col min="28" max="16384" width="9.13636363636364" style="296"/>
  </cols>
  <sheetData>
    <row r="1" ht="13" hidden="1" spans="1:29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t="13" hidden="1" spans="1:29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29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9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928" t="s">
        <v>694</v>
      </c>
    </row>
    <row r="5" ht="15" spans="1:29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473"/>
      <c r="AB5" s="473"/>
      <c r="AC5" s="473"/>
    </row>
    <row r="6" ht="13" spans="1:29">
      <c r="A6" s="467">
        <v>1</v>
      </c>
      <c r="B6" s="987" t="s">
        <v>777</v>
      </c>
      <c r="C6" s="468">
        <v>780713.916666667</v>
      </c>
      <c r="D6" s="469">
        <v>12</v>
      </c>
      <c r="E6" s="470">
        <f t="shared" ref="E6:E36" si="0">C6*D6</f>
        <v>9368567</v>
      </c>
      <c r="F6" s="470"/>
      <c r="G6" s="470">
        <v>672685.36</v>
      </c>
      <c r="H6" s="470"/>
      <c r="I6" s="470">
        <f t="shared" ref="I6:I36" si="1">E6-F6-G6-H6</f>
        <v>8695881.64</v>
      </c>
      <c r="J6" s="470">
        <v>200000</v>
      </c>
      <c r="K6" s="470">
        <v>0.2</v>
      </c>
      <c r="L6" s="470">
        <f t="shared" ref="L6:L36" si="2">I6*K6</f>
        <v>1739176.328</v>
      </c>
      <c r="M6" s="470">
        <f t="shared" ref="M6:M36" si="3">J6+L6</f>
        <v>1939176.328</v>
      </c>
      <c r="N6" s="470">
        <f t="shared" ref="N6:N36" si="4">F6+G6+H6+M6</f>
        <v>2611861.688</v>
      </c>
      <c r="O6" s="470">
        <f t="shared" ref="O6:O36" si="5">E6-N6</f>
        <v>6756705.312</v>
      </c>
      <c r="P6" s="470">
        <f t="shared" ref="P6:P36" si="6">IF(O6&lt;300000,0.07*O6,21000)</f>
        <v>21000</v>
      </c>
      <c r="Q6" s="470">
        <f t="shared" ref="Q6:Q36" si="7">IF((O6-300000)&lt;0,0,IF((O6-300000)&lt;300000,0.11*(O6-300000),33000))</f>
        <v>33000</v>
      </c>
      <c r="R6" s="470">
        <f t="shared" ref="R6:R36" si="8">IF((O6-600000)&lt;0,0,IF((O6-600000)&lt;500000,0.15*(O6-600000),75000))</f>
        <v>75000</v>
      </c>
      <c r="S6" s="470">
        <f t="shared" ref="S6:S36" si="9">IF((O6-1100000)&lt;0,0,IF((O6-1100000)&lt;500000,0.19*(O6-1100000),95000))</f>
        <v>95000</v>
      </c>
      <c r="T6" s="470">
        <f t="shared" ref="T6:T36" si="10">IF((O6-1600000)&lt;0,0,IF((O6-1600000)&lt;1600000,0.21*(O6-1600000),336000))</f>
        <v>336000</v>
      </c>
      <c r="U6" s="470">
        <f t="shared" ref="U6:U34" si="11">24%*(O6-3200000)</f>
        <v>853609.27488</v>
      </c>
      <c r="V6" s="470">
        <f t="shared" ref="V6:V36" si="12">P6+Q6+R6+S6+T6+U6</f>
        <v>1413609.27488</v>
      </c>
      <c r="W6" s="471">
        <v>12</v>
      </c>
      <c r="X6" s="470">
        <f t="shared" ref="X6:X36" si="13">V6/W6</f>
        <v>117800.772906667</v>
      </c>
      <c r="Y6" s="470"/>
      <c r="Z6" s="929">
        <f t="shared" ref="Z6:Z36" si="14">X6</f>
        <v>117800.772906667</v>
      </c>
      <c r="AA6" s="473"/>
      <c r="AB6" s="473"/>
      <c r="AC6" s="473"/>
    </row>
    <row r="7" ht="13" spans="1:29">
      <c r="A7" s="467">
        <v>2</v>
      </c>
      <c r="B7" s="987" t="s">
        <v>780</v>
      </c>
      <c r="C7" s="468">
        <v>860713.916666667</v>
      </c>
      <c r="D7" s="469">
        <v>12</v>
      </c>
      <c r="E7" s="470">
        <f t="shared" si="0"/>
        <v>10328567</v>
      </c>
      <c r="F7" s="470"/>
      <c r="G7" s="470">
        <v>672685.36</v>
      </c>
      <c r="H7" s="470"/>
      <c r="I7" s="470">
        <f t="shared" si="1"/>
        <v>9655881.64</v>
      </c>
      <c r="J7" s="470">
        <v>200000</v>
      </c>
      <c r="K7" s="470">
        <v>0.2</v>
      </c>
      <c r="L7" s="470">
        <f t="shared" si="2"/>
        <v>1931176.328</v>
      </c>
      <c r="M7" s="470">
        <f t="shared" si="3"/>
        <v>2131176.328</v>
      </c>
      <c r="N7" s="470">
        <f t="shared" si="4"/>
        <v>2803861.688</v>
      </c>
      <c r="O7" s="470">
        <f t="shared" si="5"/>
        <v>7524705.312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1037929.27488</v>
      </c>
      <c r="V7" s="470">
        <f t="shared" si="12"/>
        <v>1597929.27488</v>
      </c>
      <c r="W7" s="471">
        <v>12</v>
      </c>
      <c r="X7" s="470">
        <f t="shared" si="13"/>
        <v>133160.772906667</v>
      </c>
      <c r="Y7" s="470"/>
      <c r="Z7" s="929">
        <f t="shared" si="14"/>
        <v>133160.772906667</v>
      </c>
      <c r="AA7" s="473"/>
      <c r="AB7" s="473"/>
      <c r="AC7" s="473"/>
    </row>
    <row r="8" ht="13" spans="1:29">
      <c r="A8" s="467">
        <v>3</v>
      </c>
      <c r="B8" s="987" t="s">
        <v>782</v>
      </c>
      <c r="C8" s="468">
        <v>860713.916666667</v>
      </c>
      <c r="D8" s="469">
        <v>12</v>
      </c>
      <c r="E8" s="470">
        <f t="shared" si="0"/>
        <v>10328567</v>
      </c>
      <c r="F8" s="470"/>
      <c r="G8" s="470">
        <v>672685.36</v>
      </c>
      <c r="H8" s="470"/>
      <c r="I8" s="470">
        <f t="shared" si="1"/>
        <v>9655881.64</v>
      </c>
      <c r="J8" s="470">
        <v>200000</v>
      </c>
      <c r="K8" s="470">
        <v>0.2</v>
      </c>
      <c r="L8" s="470">
        <f t="shared" si="2"/>
        <v>1931176.328</v>
      </c>
      <c r="M8" s="470">
        <f t="shared" si="3"/>
        <v>2131176.328</v>
      </c>
      <c r="N8" s="470">
        <f t="shared" si="4"/>
        <v>2803861.688</v>
      </c>
      <c r="O8" s="470">
        <f t="shared" si="5"/>
        <v>7524705.312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1037929.27488</v>
      </c>
      <c r="V8" s="470">
        <f t="shared" si="12"/>
        <v>1597929.27488</v>
      </c>
      <c r="W8" s="471">
        <v>12</v>
      </c>
      <c r="X8" s="470">
        <f t="shared" si="13"/>
        <v>133160.772906667</v>
      </c>
      <c r="Y8" s="470"/>
      <c r="Z8" s="929">
        <f t="shared" si="14"/>
        <v>133160.772906667</v>
      </c>
      <c r="AA8" s="473"/>
      <c r="AB8" s="473"/>
      <c r="AC8" s="473"/>
    </row>
    <row r="9" ht="13" spans="1:29">
      <c r="A9" s="467">
        <v>4</v>
      </c>
      <c r="B9" s="987" t="s">
        <v>784</v>
      </c>
      <c r="C9" s="468">
        <v>596673.583333333</v>
      </c>
      <c r="D9" s="469">
        <v>12</v>
      </c>
      <c r="E9" s="470">
        <f t="shared" si="0"/>
        <v>7160083</v>
      </c>
      <c r="F9" s="470"/>
      <c r="G9" s="470">
        <v>505606.64</v>
      </c>
      <c r="H9" s="470"/>
      <c r="I9" s="470">
        <f t="shared" si="1"/>
        <v>6654476.36</v>
      </c>
      <c r="J9" s="470">
        <v>200000</v>
      </c>
      <c r="K9" s="470">
        <v>0.2</v>
      </c>
      <c r="L9" s="470">
        <f t="shared" si="2"/>
        <v>1330895.272</v>
      </c>
      <c r="M9" s="470">
        <f t="shared" si="3"/>
        <v>1530895.272</v>
      </c>
      <c r="N9" s="470">
        <f t="shared" si="4"/>
        <v>2036501.912</v>
      </c>
      <c r="O9" s="470">
        <f t="shared" si="5"/>
        <v>5123581.088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461659.46112</v>
      </c>
      <c r="V9" s="470">
        <f t="shared" si="12"/>
        <v>1021659.46112</v>
      </c>
      <c r="W9" s="471">
        <v>12</v>
      </c>
      <c r="X9" s="470">
        <f t="shared" si="13"/>
        <v>85138.2884266667</v>
      </c>
      <c r="Y9" s="470"/>
      <c r="Z9" s="929">
        <f t="shared" si="14"/>
        <v>85138.2884266667</v>
      </c>
      <c r="AA9" s="473"/>
      <c r="AB9" s="473"/>
      <c r="AC9" s="473"/>
    </row>
    <row r="10" ht="13" spans="1:29">
      <c r="A10" s="467">
        <v>5</v>
      </c>
      <c r="B10" s="987" t="s">
        <v>788</v>
      </c>
      <c r="C10" s="479">
        <v>599686.49</v>
      </c>
      <c r="D10" s="469">
        <v>12</v>
      </c>
      <c r="E10" s="470">
        <f t="shared" si="0"/>
        <v>7196237.88</v>
      </c>
      <c r="F10" s="470"/>
      <c r="G10" s="470">
        <v>423512.64</v>
      </c>
      <c r="H10" s="470"/>
      <c r="I10" s="470">
        <f t="shared" si="1"/>
        <v>6772725.24</v>
      </c>
      <c r="J10" s="470">
        <v>200000</v>
      </c>
      <c r="K10" s="470">
        <v>0.2</v>
      </c>
      <c r="L10" s="470">
        <f t="shared" si="2"/>
        <v>1354545.048</v>
      </c>
      <c r="M10" s="470">
        <f t="shared" si="3"/>
        <v>1554545.048</v>
      </c>
      <c r="N10" s="470">
        <f t="shared" si="4"/>
        <v>1978057.688</v>
      </c>
      <c r="O10" s="470">
        <f t="shared" si="5"/>
        <v>5218180.192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484363.24608</v>
      </c>
      <c r="V10" s="470">
        <f t="shared" si="12"/>
        <v>1044363.24608</v>
      </c>
      <c r="W10" s="471">
        <v>12</v>
      </c>
      <c r="X10" s="470">
        <f t="shared" si="13"/>
        <v>87030.2705066667</v>
      </c>
      <c r="Y10" s="470"/>
      <c r="Z10" s="929">
        <f t="shared" si="14"/>
        <v>87030.2705066667</v>
      </c>
      <c r="AA10" s="473"/>
      <c r="AB10" s="473"/>
      <c r="AC10" s="473"/>
    </row>
    <row r="11" ht="13" spans="1:29">
      <c r="A11" s="467">
        <v>6</v>
      </c>
      <c r="B11" s="987" t="s">
        <v>792</v>
      </c>
      <c r="C11" s="468">
        <v>337890.916666667</v>
      </c>
      <c r="D11" s="469">
        <v>12</v>
      </c>
      <c r="E11" s="470">
        <f t="shared" si="0"/>
        <v>4054691</v>
      </c>
      <c r="F11" s="470"/>
      <c r="G11" s="470">
        <v>276375.28</v>
      </c>
      <c r="H11" s="470"/>
      <c r="I11" s="470">
        <f t="shared" si="1"/>
        <v>3778315.72</v>
      </c>
      <c r="J11" s="470">
        <v>200000</v>
      </c>
      <c r="K11" s="470">
        <v>0.2</v>
      </c>
      <c r="L11" s="470">
        <f t="shared" si="2"/>
        <v>755663.144</v>
      </c>
      <c r="M11" s="470">
        <f t="shared" si="3"/>
        <v>955663.144</v>
      </c>
      <c r="N11" s="470">
        <f t="shared" si="4"/>
        <v>1232038.424</v>
      </c>
      <c r="O11" s="470">
        <f t="shared" si="5"/>
        <v>2822652.576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256757.04096</v>
      </c>
      <c r="U11" s="470">
        <v>0</v>
      </c>
      <c r="V11" s="470">
        <f t="shared" si="12"/>
        <v>480757.04096</v>
      </c>
      <c r="W11" s="471">
        <v>12</v>
      </c>
      <c r="X11" s="470">
        <f t="shared" si="13"/>
        <v>40063.0867466667</v>
      </c>
      <c r="Y11" s="470"/>
      <c r="Z11" s="929">
        <f t="shared" si="14"/>
        <v>40063.0867466667</v>
      </c>
      <c r="AA11" s="473"/>
      <c r="AB11" s="473"/>
      <c r="AC11" s="473"/>
    </row>
    <row r="12" ht="13" spans="1:29">
      <c r="A12" s="467">
        <v>7</v>
      </c>
      <c r="B12" s="987" t="s">
        <v>796</v>
      </c>
      <c r="C12" s="468">
        <v>430407.083333333</v>
      </c>
      <c r="D12" s="469">
        <v>12</v>
      </c>
      <c r="E12" s="470">
        <f t="shared" si="0"/>
        <v>5164885</v>
      </c>
      <c r="F12" s="470"/>
      <c r="G12" s="470">
        <v>317190.8</v>
      </c>
      <c r="H12" s="470"/>
      <c r="I12" s="470">
        <f t="shared" si="1"/>
        <v>4847694.2</v>
      </c>
      <c r="J12" s="470">
        <v>200000</v>
      </c>
      <c r="K12" s="470">
        <v>0.2</v>
      </c>
      <c r="L12" s="470">
        <f t="shared" si="2"/>
        <v>969538.84</v>
      </c>
      <c r="M12" s="470">
        <f t="shared" si="3"/>
        <v>1169538.84</v>
      </c>
      <c r="N12" s="470">
        <f t="shared" si="4"/>
        <v>1486729.64</v>
      </c>
      <c r="O12" s="470">
        <f t="shared" si="5"/>
        <v>3678155.36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114757.2864</v>
      </c>
      <c r="V12" s="470">
        <f t="shared" si="12"/>
        <v>674757.2864</v>
      </c>
      <c r="W12" s="471">
        <v>12</v>
      </c>
      <c r="X12" s="470">
        <f t="shared" si="13"/>
        <v>56229.7738666667</v>
      </c>
      <c r="Y12" s="470"/>
      <c r="Z12" s="929">
        <f t="shared" si="14"/>
        <v>56229.7738666667</v>
      </c>
      <c r="AA12" s="473"/>
      <c r="AB12" s="473"/>
      <c r="AC12" s="473"/>
    </row>
    <row r="13" ht="13" spans="1:29">
      <c r="A13" s="467">
        <v>8</v>
      </c>
      <c r="B13" s="987" t="s">
        <v>799</v>
      </c>
      <c r="C13" s="468">
        <v>419558.916666667</v>
      </c>
      <c r="D13" s="469">
        <v>12</v>
      </c>
      <c r="E13" s="470">
        <f t="shared" si="0"/>
        <v>5034707</v>
      </c>
      <c r="F13" s="470"/>
      <c r="G13" s="470">
        <v>276375.28</v>
      </c>
      <c r="H13" s="470"/>
      <c r="I13" s="470">
        <f t="shared" si="1"/>
        <v>4758331.72</v>
      </c>
      <c r="J13" s="470">
        <v>200000</v>
      </c>
      <c r="K13" s="470">
        <v>0.2</v>
      </c>
      <c r="L13" s="470">
        <f t="shared" si="2"/>
        <v>951666.344</v>
      </c>
      <c r="M13" s="470">
        <f t="shared" si="3"/>
        <v>1151666.344</v>
      </c>
      <c r="N13" s="470">
        <f t="shared" si="4"/>
        <v>1428041.624</v>
      </c>
      <c r="O13" s="470">
        <f t="shared" si="5"/>
        <v>3606665.376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97599.69024</v>
      </c>
      <c r="V13" s="470">
        <f t="shared" si="12"/>
        <v>657599.69024</v>
      </c>
      <c r="W13" s="471">
        <v>12</v>
      </c>
      <c r="X13" s="470">
        <f t="shared" si="13"/>
        <v>54799.9741866667</v>
      </c>
      <c r="Y13" s="470"/>
      <c r="Z13" s="929">
        <f t="shared" si="14"/>
        <v>54799.9741866667</v>
      </c>
      <c r="AA13" s="473"/>
      <c r="AB13" s="473"/>
      <c r="AC13" s="473"/>
    </row>
    <row r="14" ht="13" spans="1:29">
      <c r="A14" s="467">
        <v>9</v>
      </c>
      <c r="B14" s="987" t="s">
        <v>801</v>
      </c>
      <c r="C14" s="468">
        <v>419558.916666667</v>
      </c>
      <c r="D14" s="469">
        <v>12</v>
      </c>
      <c r="E14" s="470">
        <f t="shared" si="0"/>
        <v>5034707</v>
      </c>
      <c r="F14" s="470"/>
      <c r="G14" s="470">
        <v>276375.28</v>
      </c>
      <c r="H14" s="470"/>
      <c r="I14" s="470">
        <f t="shared" si="1"/>
        <v>4758331.72</v>
      </c>
      <c r="J14" s="470">
        <v>200000</v>
      </c>
      <c r="K14" s="470">
        <v>0.2</v>
      </c>
      <c r="L14" s="470">
        <f t="shared" si="2"/>
        <v>951666.344</v>
      </c>
      <c r="M14" s="470">
        <f t="shared" si="3"/>
        <v>1151666.344</v>
      </c>
      <c r="N14" s="470">
        <f t="shared" si="4"/>
        <v>1428041.624</v>
      </c>
      <c r="O14" s="470">
        <f t="shared" si="5"/>
        <v>3606665.376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97599.69024</v>
      </c>
      <c r="V14" s="470">
        <f t="shared" si="12"/>
        <v>657599.69024</v>
      </c>
      <c r="W14" s="471">
        <v>12</v>
      </c>
      <c r="X14" s="470">
        <f t="shared" si="13"/>
        <v>54799.9741866667</v>
      </c>
      <c r="Y14" s="470"/>
      <c r="Z14" s="929">
        <f t="shared" si="14"/>
        <v>54799.9741866667</v>
      </c>
      <c r="AA14" s="473"/>
      <c r="AB14" s="473"/>
      <c r="AC14" s="473"/>
    </row>
    <row r="15" ht="13" spans="1:29">
      <c r="A15" s="467">
        <v>10</v>
      </c>
      <c r="B15" s="987" t="s">
        <v>802</v>
      </c>
      <c r="C15" s="468">
        <v>337890.916666667</v>
      </c>
      <c r="D15" s="469">
        <v>12</v>
      </c>
      <c r="E15" s="470">
        <f t="shared" si="0"/>
        <v>4054691</v>
      </c>
      <c r="F15" s="470"/>
      <c r="G15" s="474">
        <v>276375.28</v>
      </c>
      <c r="H15" s="470"/>
      <c r="I15" s="470">
        <f t="shared" si="1"/>
        <v>3778315.72</v>
      </c>
      <c r="J15" s="470">
        <v>200000</v>
      </c>
      <c r="K15" s="470">
        <v>0.2</v>
      </c>
      <c r="L15" s="470">
        <f t="shared" si="2"/>
        <v>755663.144</v>
      </c>
      <c r="M15" s="470">
        <f t="shared" si="3"/>
        <v>955663.144</v>
      </c>
      <c r="N15" s="470">
        <f t="shared" si="4"/>
        <v>1232038.424</v>
      </c>
      <c r="O15" s="470">
        <f t="shared" si="5"/>
        <v>2822652.576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256757.04096</v>
      </c>
      <c r="U15" s="470">
        <v>0</v>
      </c>
      <c r="V15" s="470">
        <f t="shared" si="12"/>
        <v>480757.04096</v>
      </c>
      <c r="W15" s="471">
        <v>12</v>
      </c>
      <c r="X15" s="470">
        <f t="shared" si="13"/>
        <v>40063.0867466667</v>
      </c>
      <c r="Y15" s="470"/>
      <c r="Z15" s="929">
        <f t="shared" si="14"/>
        <v>40063.0867466667</v>
      </c>
      <c r="AA15" s="473"/>
      <c r="AB15" s="473"/>
      <c r="AC15" s="473"/>
    </row>
    <row r="16" ht="13" spans="1:29">
      <c r="A16" s="467">
        <v>11</v>
      </c>
      <c r="B16" s="987" t="s">
        <v>803</v>
      </c>
      <c r="C16" s="468">
        <v>419558.916666667</v>
      </c>
      <c r="D16" s="469">
        <v>12</v>
      </c>
      <c r="E16" s="470">
        <f t="shared" si="0"/>
        <v>5034707</v>
      </c>
      <c r="F16" s="470"/>
      <c r="G16" s="470">
        <v>276375.28</v>
      </c>
      <c r="H16" s="470"/>
      <c r="I16" s="470">
        <f t="shared" si="1"/>
        <v>4758331.72</v>
      </c>
      <c r="J16" s="470">
        <v>200000</v>
      </c>
      <c r="K16" s="470">
        <v>0.2</v>
      </c>
      <c r="L16" s="470">
        <f t="shared" si="2"/>
        <v>951666.344</v>
      </c>
      <c r="M16" s="470">
        <f t="shared" si="3"/>
        <v>1151666.344</v>
      </c>
      <c r="N16" s="470">
        <f t="shared" si="4"/>
        <v>1428041.624</v>
      </c>
      <c r="O16" s="470">
        <f t="shared" si="5"/>
        <v>3606665.376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97599.69024</v>
      </c>
      <c r="V16" s="470">
        <f t="shared" si="12"/>
        <v>657599.69024</v>
      </c>
      <c r="W16" s="471">
        <v>12</v>
      </c>
      <c r="X16" s="470">
        <f t="shared" si="13"/>
        <v>54799.9741866667</v>
      </c>
      <c r="Y16" s="470"/>
      <c r="Z16" s="929">
        <f t="shared" si="14"/>
        <v>54799.9741866667</v>
      </c>
      <c r="AA16" s="473"/>
      <c r="AB16" s="473"/>
      <c r="AC16" s="473"/>
    </row>
    <row r="17" ht="13" spans="1:29">
      <c r="A17" s="467">
        <v>12</v>
      </c>
      <c r="B17" s="987" t="s">
        <v>804</v>
      </c>
      <c r="C17" s="468">
        <v>472145.333333333</v>
      </c>
      <c r="D17" s="469">
        <v>12</v>
      </c>
      <c r="E17" s="470">
        <f t="shared" si="0"/>
        <v>5665744</v>
      </c>
      <c r="F17" s="470"/>
      <c r="G17" s="470">
        <v>357259.52</v>
      </c>
      <c r="H17" s="470"/>
      <c r="I17" s="470">
        <f t="shared" si="1"/>
        <v>5308484.48</v>
      </c>
      <c r="J17" s="470">
        <v>200000</v>
      </c>
      <c r="K17" s="470">
        <v>0.2</v>
      </c>
      <c r="L17" s="470">
        <f t="shared" si="2"/>
        <v>1061696.896</v>
      </c>
      <c r="M17" s="470">
        <f t="shared" si="3"/>
        <v>1261696.896</v>
      </c>
      <c r="N17" s="470">
        <f t="shared" si="4"/>
        <v>1618956.416</v>
      </c>
      <c r="O17" s="470">
        <f t="shared" si="5"/>
        <v>4046787.584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203229.02016</v>
      </c>
      <c r="V17" s="470">
        <f t="shared" si="12"/>
        <v>763229.02016</v>
      </c>
      <c r="W17" s="471">
        <v>12</v>
      </c>
      <c r="X17" s="470">
        <f t="shared" si="13"/>
        <v>63602.4183466667</v>
      </c>
      <c r="Y17" s="470"/>
      <c r="Z17" s="929">
        <f t="shared" si="14"/>
        <v>63602.4183466667</v>
      </c>
      <c r="AA17" s="473"/>
      <c r="AB17" s="473"/>
      <c r="AC17" s="473"/>
    </row>
    <row r="18" ht="13" spans="1:29">
      <c r="A18" s="467">
        <v>13</v>
      </c>
      <c r="B18" s="987" t="s">
        <v>807</v>
      </c>
      <c r="C18" s="468">
        <v>432145.333333333</v>
      </c>
      <c r="D18" s="469">
        <v>12</v>
      </c>
      <c r="E18" s="470">
        <f t="shared" si="0"/>
        <v>5185744</v>
      </c>
      <c r="F18" s="470"/>
      <c r="G18" s="470">
        <v>357259.52</v>
      </c>
      <c r="H18" s="470"/>
      <c r="I18" s="470">
        <f t="shared" si="1"/>
        <v>4828484.48</v>
      </c>
      <c r="J18" s="470">
        <v>200000</v>
      </c>
      <c r="K18" s="470">
        <v>0.2</v>
      </c>
      <c r="L18" s="470">
        <f t="shared" si="2"/>
        <v>965696.896</v>
      </c>
      <c r="M18" s="470">
        <f t="shared" si="3"/>
        <v>1165696.896</v>
      </c>
      <c r="N18" s="470">
        <f t="shared" si="4"/>
        <v>1522956.416</v>
      </c>
      <c r="O18" s="470">
        <f t="shared" si="5"/>
        <v>3662787.584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111069.02016</v>
      </c>
      <c r="V18" s="470">
        <f t="shared" si="12"/>
        <v>671069.02016</v>
      </c>
      <c r="W18" s="471">
        <v>12</v>
      </c>
      <c r="X18" s="470">
        <f t="shared" si="13"/>
        <v>55922.4183466667</v>
      </c>
      <c r="Y18" s="470"/>
      <c r="Z18" s="929">
        <f t="shared" si="14"/>
        <v>55922.4183466667</v>
      </c>
      <c r="AA18" s="473"/>
      <c r="AB18" s="473"/>
      <c r="AC18" s="473"/>
    </row>
    <row r="19" ht="13" spans="1:29">
      <c r="A19" s="467">
        <v>14</v>
      </c>
      <c r="B19" s="987" t="s">
        <v>809</v>
      </c>
      <c r="C19" s="468">
        <v>432145.333333333</v>
      </c>
      <c r="D19" s="469">
        <v>12</v>
      </c>
      <c r="E19" s="470">
        <f t="shared" si="0"/>
        <v>5185744</v>
      </c>
      <c r="F19" s="470"/>
      <c r="G19" s="470">
        <v>357259.52</v>
      </c>
      <c r="H19" s="470"/>
      <c r="I19" s="470">
        <f t="shared" si="1"/>
        <v>4828484.48</v>
      </c>
      <c r="J19" s="470">
        <v>200000</v>
      </c>
      <c r="K19" s="470">
        <v>0.2</v>
      </c>
      <c r="L19" s="470">
        <f t="shared" si="2"/>
        <v>965696.896</v>
      </c>
      <c r="M19" s="470">
        <f t="shared" si="3"/>
        <v>1165696.896</v>
      </c>
      <c r="N19" s="470">
        <f t="shared" si="4"/>
        <v>1522956.416</v>
      </c>
      <c r="O19" s="470">
        <f t="shared" si="5"/>
        <v>3662787.584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111069.02016</v>
      </c>
      <c r="V19" s="470">
        <f t="shared" si="12"/>
        <v>671069.02016</v>
      </c>
      <c r="W19" s="471">
        <v>12</v>
      </c>
      <c r="X19" s="470">
        <f t="shared" si="13"/>
        <v>55922.4183466667</v>
      </c>
      <c r="Y19" s="470"/>
      <c r="Z19" s="929">
        <f t="shared" si="14"/>
        <v>55922.4183466667</v>
      </c>
      <c r="AA19" s="473"/>
      <c r="AB19" s="473"/>
      <c r="AC19" s="473"/>
    </row>
    <row r="20" ht="13" spans="1:29">
      <c r="A20" s="467">
        <v>15</v>
      </c>
      <c r="B20" s="987" t="s">
        <v>812</v>
      </c>
      <c r="C20" s="468">
        <v>430407.083333333</v>
      </c>
      <c r="D20" s="469">
        <v>12</v>
      </c>
      <c r="E20" s="470">
        <f t="shared" si="0"/>
        <v>5164885</v>
      </c>
      <c r="F20" s="470"/>
      <c r="G20" s="470">
        <v>317190.8</v>
      </c>
      <c r="H20" s="470"/>
      <c r="I20" s="470">
        <f t="shared" si="1"/>
        <v>4847694.2</v>
      </c>
      <c r="J20" s="470">
        <v>200000</v>
      </c>
      <c r="K20" s="470">
        <v>0.2</v>
      </c>
      <c r="L20" s="470">
        <f t="shared" si="2"/>
        <v>969538.84</v>
      </c>
      <c r="M20" s="470">
        <f t="shared" si="3"/>
        <v>1169538.84</v>
      </c>
      <c r="N20" s="470">
        <f t="shared" si="4"/>
        <v>1486729.64</v>
      </c>
      <c r="O20" s="470">
        <f t="shared" si="5"/>
        <v>3678155.36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114757.2864</v>
      </c>
      <c r="V20" s="470">
        <f t="shared" si="12"/>
        <v>674757.2864</v>
      </c>
      <c r="W20" s="471">
        <v>12</v>
      </c>
      <c r="X20" s="470">
        <f t="shared" si="13"/>
        <v>56229.7738666667</v>
      </c>
      <c r="Y20" s="470"/>
      <c r="Z20" s="929">
        <f t="shared" si="14"/>
        <v>56229.7738666667</v>
      </c>
      <c r="AA20" s="473"/>
      <c r="AB20" s="473"/>
      <c r="AC20" s="473"/>
    </row>
    <row r="21" ht="13" spans="1:29">
      <c r="A21" s="467">
        <v>16</v>
      </c>
      <c r="B21" s="987" t="s">
        <v>814</v>
      </c>
      <c r="C21" s="468">
        <v>430407.083333333</v>
      </c>
      <c r="D21" s="469">
        <v>12</v>
      </c>
      <c r="E21" s="470">
        <f t="shared" si="0"/>
        <v>5164885</v>
      </c>
      <c r="F21" s="470"/>
      <c r="G21" s="470">
        <v>317190.8</v>
      </c>
      <c r="H21" s="470"/>
      <c r="I21" s="470">
        <f t="shared" si="1"/>
        <v>4847694.2</v>
      </c>
      <c r="J21" s="470">
        <v>200000</v>
      </c>
      <c r="K21" s="470">
        <v>0.2</v>
      </c>
      <c r="L21" s="470">
        <f t="shared" si="2"/>
        <v>969538.84</v>
      </c>
      <c r="M21" s="470">
        <f t="shared" si="3"/>
        <v>1169538.84</v>
      </c>
      <c r="N21" s="470">
        <f t="shared" si="4"/>
        <v>1486729.64</v>
      </c>
      <c r="O21" s="470">
        <f t="shared" si="5"/>
        <v>3678155.36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114757.2864</v>
      </c>
      <c r="V21" s="470">
        <f t="shared" si="12"/>
        <v>674757.2864</v>
      </c>
      <c r="W21" s="471">
        <v>12</v>
      </c>
      <c r="X21" s="470">
        <f t="shared" si="13"/>
        <v>56229.7738666667</v>
      </c>
      <c r="Y21" s="470"/>
      <c r="Z21" s="929">
        <f t="shared" si="14"/>
        <v>56229.7738666667</v>
      </c>
      <c r="AA21" s="473"/>
      <c r="AB21" s="473"/>
      <c r="AC21" s="473"/>
    </row>
    <row r="22" ht="13" spans="1:29">
      <c r="A22" s="467">
        <v>17</v>
      </c>
      <c r="B22" s="987" t="s">
        <v>815</v>
      </c>
      <c r="C22" s="468">
        <v>337890.916666667</v>
      </c>
      <c r="D22" s="469">
        <v>12</v>
      </c>
      <c r="E22" s="470">
        <f t="shared" si="0"/>
        <v>4054691</v>
      </c>
      <c r="F22" s="470"/>
      <c r="G22" s="470">
        <v>276375.28</v>
      </c>
      <c r="H22" s="470"/>
      <c r="I22" s="470">
        <f t="shared" si="1"/>
        <v>3778315.72</v>
      </c>
      <c r="J22" s="470">
        <v>200000</v>
      </c>
      <c r="K22" s="470">
        <v>0.2</v>
      </c>
      <c r="L22" s="470">
        <f t="shared" si="2"/>
        <v>755663.144</v>
      </c>
      <c r="M22" s="470">
        <f t="shared" si="3"/>
        <v>955663.144</v>
      </c>
      <c r="N22" s="470">
        <f t="shared" si="4"/>
        <v>1232038.424</v>
      </c>
      <c r="O22" s="470">
        <f t="shared" si="5"/>
        <v>2822652.576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256757.04096</v>
      </c>
      <c r="U22" s="470">
        <v>0</v>
      </c>
      <c r="V22" s="470">
        <f t="shared" si="12"/>
        <v>480757.04096</v>
      </c>
      <c r="W22" s="471">
        <v>12</v>
      </c>
      <c r="X22" s="470">
        <f t="shared" si="13"/>
        <v>40063.0867466667</v>
      </c>
      <c r="Y22" s="470"/>
      <c r="Z22" s="929">
        <f t="shared" si="14"/>
        <v>40063.0867466667</v>
      </c>
      <c r="AA22" s="473"/>
      <c r="AB22" s="473"/>
      <c r="AC22" s="473"/>
    </row>
    <row r="23" ht="13" spans="1:29">
      <c r="A23" s="467">
        <v>18</v>
      </c>
      <c r="B23" s="988" t="s">
        <v>817</v>
      </c>
      <c r="C23" s="468">
        <v>430407.083333333</v>
      </c>
      <c r="D23" s="469">
        <v>12</v>
      </c>
      <c r="E23" s="470">
        <f t="shared" si="0"/>
        <v>5164885</v>
      </c>
      <c r="F23" s="470"/>
      <c r="G23" s="470">
        <v>317190.8</v>
      </c>
      <c r="H23" s="470"/>
      <c r="I23" s="470">
        <f t="shared" si="1"/>
        <v>4847694.2</v>
      </c>
      <c r="J23" s="470">
        <v>200000</v>
      </c>
      <c r="K23" s="470">
        <v>0.2</v>
      </c>
      <c r="L23" s="470">
        <f t="shared" si="2"/>
        <v>969538.84</v>
      </c>
      <c r="M23" s="470">
        <f t="shared" si="3"/>
        <v>1169538.84</v>
      </c>
      <c r="N23" s="470">
        <f t="shared" si="4"/>
        <v>1486729.64</v>
      </c>
      <c r="O23" s="470">
        <f t="shared" si="5"/>
        <v>3678155.36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114757.2864</v>
      </c>
      <c r="V23" s="470">
        <f t="shared" si="12"/>
        <v>674757.2864</v>
      </c>
      <c r="W23" s="471">
        <v>12</v>
      </c>
      <c r="X23" s="470">
        <f t="shared" si="13"/>
        <v>56229.7738666667</v>
      </c>
      <c r="Y23" s="470"/>
      <c r="Z23" s="929">
        <f t="shared" si="14"/>
        <v>56229.7738666667</v>
      </c>
      <c r="AA23" s="473"/>
      <c r="AB23" s="473"/>
      <c r="AC23" s="473"/>
    </row>
    <row r="24" ht="13" spans="1:29">
      <c r="A24" s="467">
        <v>19</v>
      </c>
      <c r="B24" s="988" t="s">
        <v>818</v>
      </c>
      <c r="C24" s="468">
        <v>430407.083333333</v>
      </c>
      <c r="D24" s="469">
        <v>12</v>
      </c>
      <c r="E24" s="470">
        <f t="shared" si="0"/>
        <v>5164885</v>
      </c>
      <c r="F24" s="470"/>
      <c r="G24" s="470">
        <v>317190.8</v>
      </c>
      <c r="H24" s="470"/>
      <c r="I24" s="470">
        <f t="shared" si="1"/>
        <v>4847694.2</v>
      </c>
      <c r="J24" s="470">
        <v>200000</v>
      </c>
      <c r="K24" s="470">
        <v>0.2</v>
      </c>
      <c r="L24" s="470">
        <f t="shared" si="2"/>
        <v>969538.84</v>
      </c>
      <c r="M24" s="470">
        <f t="shared" si="3"/>
        <v>1169538.84</v>
      </c>
      <c r="N24" s="470">
        <f t="shared" si="4"/>
        <v>1486729.64</v>
      </c>
      <c r="O24" s="470">
        <f t="shared" si="5"/>
        <v>3678155.36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336000</v>
      </c>
      <c r="U24" s="470">
        <f t="shared" si="11"/>
        <v>114757.2864</v>
      </c>
      <c r="V24" s="470">
        <f t="shared" si="12"/>
        <v>674757.2864</v>
      </c>
      <c r="W24" s="471">
        <v>12</v>
      </c>
      <c r="X24" s="470">
        <f t="shared" si="13"/>
        <v>56229.7738666667</v>
      </c>
      <c r="Y24" s="470"/>
      <c r="Z24" s="929">
        <f t="shared" si="14"/>
        <v>56229.7738666667</v>
      </c>
      <c r="AA24" s="473"/>
      <c r="AB24" s="473"/>
      <c r="AC24" s="473"/>
    </row>
    <row r="25" ht="13" spans="1:29">
      <c r="A25" s="467">
        <v>20</v>
      </c>
      <c r="B25" s="987" t="s">
        <v>819</v>
      </c>
      <c r="C25" s="468">
        <v>390407.083333333</v>
      </c>
      <c r="D25" s="469">
        <v>12</v>
      </c>
      <c r="E25" s="470">
        <f t="shared" si="0"/>
        <v>4684885</v>
      </c>
      <c r="F25" s="470"/>
      <c r="G25" s="470">
        <v>317190.8</v>
      </c>
      <c r="H25" s="470"/>
      <c r="I25" s="470">
        <f t="shared" si="1"/>
        <v>4367694.2</v>
      </c>
      <c r="J25" s="470">
        <v>200000</v>
      </c>
      <c r="K25" s="470">
        <v>0.2</v>
      </c>
      <c r="L25" s="470">
        <f t="shared" si="2"/>
        <v>873538.84</v>
      </c>
      <c r="M25" s="470">
        <f t="shared" si="3"/>
        <v>1073538.84</v>
      </c>
      <c r="N25" s="470">
        <f t="shared" si="4"/>
        <v>1390729.64</v>
      </c>
      <c r="O25" s="470">
        <f t="shared" si="5"/>
        <v>3294155.36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336000</v>
      </c>
      <c r="U25" s="470">
        <f t="shared" si="11"/>
        <v>22597.2864</v>
      </c>
      <c r="V25" s="470">
        <f t="shared" si="12"/>
        <v>582597.2864</v>
      </c>
      <c r="W25" s="471">
        <v>12</v>
      </c>
      <c r="X25" s="470">
        <f t="shared" si="13"/>
        <v>48549.7738666667</v>
      </c>
      <c r="Y25" s="470"/>
      <c r="Z25" s="929">
        <f t="shared" si="14"/>
        <v>48549.7738666667</v>
      </c>
      <c r="AA25" s="473"/>
      <c r="AB25" s="473"/>
      <c r="AC25" s="473"/>
    </row>
    <row r="26" ht="13" spans="1:29">
      <c r="A26" s="467">
        <v>21</v>
      </c>
      <c r="B26" s="987" t="s">
        <v>822</v>
      </c>
      <c r="C26" s="468">
        <v>430407.083333333</v>
      </c>
      <c r="D26" s="469">
        <v>12</v>
      </c>
      <c r="E26" s="470">
        <f t="shared" si="0"/>
        <v>5164885</v>
      </c>
      <c r="F26" s="470"/>
      <c r="G26" s="470">
        <v>317190.8</v>
      </c>
      <c r="H26" s="470"/>
      <c r="I26" s="470">
        <f t="shared" si="1"/>
        <v>4847694.2</v>
      </c>
      <c r="J26" s="470">
        <v>200000</v>
      </c>
      <c r="K26" s="470">
        <v>0.2</v>
      </c>
      <c r="L26" s="470">
        <f t="shared" si="2"/>
        <v>969538.84</v>
      </c>
      <c r="M26" s="470">
        <f t="shared" si="3"/>
        <v>1169538.84</v>
      </c>
      <c r="N26" s="470">
        <f t="shared" si="4"/>
        <v>1486729.64</v>
      </c>
      <c r="O26" s="470">
        <f t="shared" si="5"/>
        <v>3678155.36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336000</v>
      </c>
      <c r="U26" s="470">
        <f t="shared" si="11"/>
        <v>114757.2864</v>
      </c>
      <c r="V26" s="470">
        <f t="shared" si="12"/>
        <v>674757.2864</v>
      </c>
      <c r="W26" s="471">
        <v>12</v>
      </c>
      <c r="X26" s="470">
        <f t="shared" si="13"/>
        <v>56229.7738666667</v>
      </c>
      <c r="Y26" s="470"/>
      <c r="Z26" s="929">
        <f t="shared" si="14"/>
        <v>56229.7738666667</v>
      </c>
      <c r="AA26" s="473"/>
      <c r="AB26" s="473"/>
      <c r="AC26" s="473"/>
    </row>
    <row r="27" ht="13" spans="1:29">
      <c r="A27" s="467">
        <v>22</v>
      </c>
      <c r="B27" s="987" t="s">
        <v>823</v>
      </c>
      <c r="C27" s="468">
        <v>337890.916666667</v>
      </c>
      <c r="D27" s="469">
        <v>12</v>
      </c>
      <c r="E27" s="470">
        <f t="shared" si="0"/>
        <v>4054691</v>
      </c>
      <c r="F27" s="470"/>
      <c r="G27" s="470">
        <v>276375.28</v>
      </c>
      <c r="H27" s="470"/>
      <c r="I27" s="470">
        <f t="shared" si="1"/>
        <v>3778315.72</v>
      </c>
      <c r="J27" s="470">
        <v>200000</v>
      </c>
      <c r="K27" s="470">
        <v>0.2</v>
      </c>
      <c r="L27" s="470">
        <f t="shared" si="2"/>
        <v>755663.144</v>
      </c>
      <c r="M27" s="470">
        <f t="shared" si="3"/>
        <v>955663.144</v>
      </c>
      <c r="N27" s="470">
        <f t="shared" si="4"/>
        <v>1232038.424</v>
      </c>
      <c r="O27" s="470">
        <f t="shared" si="5"/>
        <v>2822652.576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256757.04096</v>
      </c>
      <c r="U27" s="470">
        <v>0</v>
      </c>
      <c r="V27" s="470">
        <f t="shared" si="12"/>
        <v>480757.04096</v>
      </c>
      <c r="W27" s="471">
        <v>12</v>
      </c>
      <c r="X27" s="470">
        <f t="shared" si="13"/>
        <v>40063.0867466667</v>
      </c>
      <c r="Y27" s="470"/>
      <c r="Z27" s="929">
        <f t="shared" si="14"/>
        <v>40063.0867466667</v>
      </c>
      <c r="AA27" s="473"/>
      <c r="AB27" s="473"/>
      <c r="AC27" s="473"/>
    </row>
    <row r="28" ht="13" spans="1:29">
      <c r="A28" s="467">
        <v>23</v>
      </c>
      <c r="B28" s="987" t="s">
        <v>825</v>
      </c>
      <c r="C28" s="468">
        <v>337890.916666667</v>
      </c>
      <c r="D28" s="469">
        <v>12</v>
      </c>
      <c r="E28" s="470">
        <f t="shared" si="0"/>
        <v>4054691</v>
      </c>
      <c r="F28" s="470"/>
      <c r="G28" s="470">
        <v>276375.28</v>
      </c>
      <c r="H28" s="470"/>
      <c r="I28" s="470">
        <f t="shared" si="1"/>
        <v>3778315.72</v>
      </c>
      <c r="J28" s="470">
        <v>200000</v>
      </c>
      <c r="K28" s="470">
        <v>0.2</v>
      </c>
      <c r="L28" s="470">
        <f t="shared" si="2"/>
        <v>755663.144</v>
      </c>
      <c r="M28" s="470">
        <f t="shared" si="3"/>
        <v>955663.144</v>
      </c>
      <c r="N28" s="470">
        <f t="shared" si="4"/>
        <v>1232038.424</v>
      </c>
      <c r="O28" s="470">
        <f t="shared" si="5"/>
        <v>2822652.576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256757.04096</v>
      </c>
      <c r="U28" s="470">
        <v>0</v>
      </c>
      <c r="V28" s="470">
        <f t="shared" si="12"/>
        <v>480757.04096</v>
      </c>
      <c r="W28" s="471">
        <v>12</v>
      </c>
      <c r="X28" s="470">
        <f t="shared" si="13"/>
        <v>40063.0867466667</v>
      </c>
      <c r="Y28" s="470"/>
      <c r="Z28" s="929">
        <f t="shared" si="14"/>
        <v>40063.0867466667</v>
      </c>
      <c r="AA28" s="473"/>
      <c r="AB28" s="473"/>
      <c r="AC28" s="473"/>
    </row>
    <row r="29" ht="13" spans="1:29">
      <c r="A29" s="467">
        <v>24</v>
      </c>
      <c r="B29" s="987" t="s">
        <v>827</v>
      </c>
      <c r="C29" s="468">
        <v>337890.916666667</v>
      </c>
      <c r="D29" s="469">
        <v>12</v>
      </c>
      <c r="E29" s="470">
        <f t="shared" si="0"/>
        <v>4054691</v>
      </c>
      <c r="F29" s="470"/>
      <c r="G29" s="470">
        <v>276375.28</v>
      </c>
      <c r="H29" s="470"/>
      <c r="I29" s="470">
        <f t="shared" si="1"/>
        <v>3778315.72</v>
      </c>
      <c r="J29" s="470">
        <v>200000</v>
      </c>
      <c r="K29" s="470">
        <v>0.2</v>
      </c>
      <c r="L29" s="470">
        <f t="shared" si="2"/>
        <v>755663.144</v>
      </c>
      <c r="M29" s="470">
        <f t="shared" si="3"/>
        <v>955663.144</v>
      </c>
      <c r="N29" s="470">
        <f t="shared" si="4"/>
        <v>1232038.424</v>
      </c>
      <c r="O29" s="470">
        <f t="shared" si="5"/>
        <v>2822652.576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256757.04096</v>
      </c>
      <c r="U29" s="470">
        <v>0</v>
      </c>
      <c r="V29" s="470">
        <f t="shared" si="12"/>
        <v>480757.04096</v>
      </c>
      <c r="W29" s="471">
        <v>12</v>
      </c>
      <c r="X29" s="470">
        <f t="shared" si="13"/>
        <v>40063.0867466667</v>
      </c>
      <c r="Y29" s="470"/>
      <c r="Z29" s="929">
        <f t="shared" si="14"/>
        <v>40063.0867466667</v>
      </c>
      <c r="AA29" s="473"/>
      <c r="AB29" s="473"/>
      <c r="AC29" s="473"/>
    </row>
    <row r="30" spans="1:29">
      <c r="Z30" s="296"/>
    </row>
    <row r="31" spans="1:29">
      <c r="Z31" s="296"/>
    </row>
    <row r="32" spans="1:29">
      <c r="Z32" s="296"/>
    </row>
    <row r="33" spans="26:26">
      <c r="Z33" s="296"/>
    </row>
    <row r="34" spans="26:26">
      <c r="Z34" s="296"/>
    </row>
    <row r="35" spans="26:26">
      <c r="Z35" s="296"/>
    </row>
    <row r="36" spans="26:26">
      <c r="Z36" s="296"/>
    </row>
    <row r="37" spans="26:26">
      <c r="Z37" s="296"/>
    </row>
    <row r="38" spans="26:26">
      <c r="Z38" s="296"/>
    </row>
    <row r="39" spans="26:26">
      <c r="Z39" s="296"/>
    </row>
    <row r="40" spans="26:26">
      <c r="Z40" s="296"/>
    </row>
    <row r="41" spans="26:26">
      <c r="Z41" s="296"/>
    </row>
    <row r="42" spans="26:26">
      <c r="Z42" s="296"/>
    </row>
    <row r="43" spans="26:26">
      <c r="Z43" s="296"/>
    </row>
    <row r="44" spans="26:26">
      <c r="Z44" s="296"/>
    </row>
    <row r="45" spans="26:26">
      <c r="Z45" s="296"/>
    </row>
    <row r="46" spans="26:26">
      <c r="Z46" s="296"/>
    </row>
    <row r="47" spans="26:26">
      <c r="Z47" s="296"/>
    </row>
    <row r="48" spans="26:26">
      <c r="Z48" s="296"/>
    </row>
    <row r="49" spans="26:26">
      <c r="Z49" s="296"/>
    </row>
    <row r="50" spans="26:26">
      <c r="Z50" s="296"/>
    </row>
    <row r="51" spans="26:26">
      <c r="Z51" s="296"/>
    </row>
    <row r="52" spans="26:26">
      <c r="Z52" s="296"/>
    </row>
    <row r="53" spans="26:26">
      <c r="Z53" s="296"/>
    </row>
    <row r="54" spans="26:26">
      <c r="Z54" s="296"/>
    </row>
    <row r="55" spans="26:26">
      <c r="Z55" s="296"/>
    </row>
    <row r="56" spans="26:26">
      <c r="Z56" s="296"/>
    </row>
    <row r="57" spans="26:26">
      <c r="Z57" s="296"/>
    </row>
    <row r="58" spans="26:26">
      <c r="Z58" s="296"/>
    </row>
    <row r="59" spans="26:26">
      <c r="Z59" s="296"/>
    </row>
    <row r="60" spans="26:26">
      <c r="Z60" s="296"/>
    </row>
    <row r="61" spans="26:26">
      <c r="Z61" s="296"/>
    </row>
    <row r="62" spans="26:26">
      <c r="Z62" s="296"/>
    </row>
    <row r="63" spans="26:26">
      <c r="Z63" s="296"/>
    </row>
    <row r="64" spans="26:26">
      <c r="Z64" s="296"/>
    </row>
    <row r="65" spans="26:26">
      <c r="Z65" s="296"/>
    </row>
    <row r="66" spans="26:26">
      <c r="Z66" s="296"/>
    </row>
    <row r="67" spans="26:26">
      <c r="Z67" s="296"/>
    </row>
    <row r="68" spans="26:26">
      <c r="Z68" s="296"/>
    </row>
    <row r="69" spans="26:26">
      <c r="Z69" s="296"/>
    </row>
    <row r="70" spans="26:26">
      <c r="Z70" s="296"/>
    </row>
    <row r="71" spans="26:26">
      <c r="Z71" s="296"/>
    </row>
    <row r="72" spans="26:26">
      <c r="Z72" s="296"/>
    </row>
    <row r="73" spans="26:26">
      <c r="Z73" s="296"/>
    </row>
    <row r="74" spans="26:26">
      <c r="Z74" s="296"/>
    </row>
    <row r="75" spans="26:26">
      <c r="Z75" s="296"/>
    </row>
    <row r="76" spans="26:26">
      <c r="Z76" s="296"/>
    </row>
    <row r="77" spans="26:26">
      <c r="Z77" s="296"/>
    </row>
    <row r="78" spans="26:26">
      <c r="Z78" s="296"/>
    </row>
    <row r="79" spans="26:26">
      <c r="Z79" s="296"/>
    </row>
    <row r="80" spans="26:26">
      <c r="Z80" s="296"/>
    </row>
    <row r="81" spans="26:26">
      <c r="Z81" s="296"/>
    </row>
    <row r="82" spans="26:26">
      <c r="Z82" s="296"/>
    </row>
    <row r="83" spans="26:26">
      <c r="Z83" s="296"/>
    </row>
    <row r="84" spans="26:26">
      <c r="Z84" s="296"/>
    </row>
    <row r="85" spans="26:26">
      <c r="Z85" s="296"/>
    </row>
    <row r="86" spans="26:26">
      <c r="Z86" s="296"/>
    </row>
    <row r="87" spans="26:26">
      <c r="Z87" s="296"/>
    </row>
    <row r="88" spans="26:26">
      <c r="Z88" s="296"/>
    </row>
    <row r="89" spans="26:26">
      <c r="Z89" s="296"/>
    </row>
    <row r="90" spans="26:26">
      <c r="Z90" s="296"/>
    </row>
    <row r="91" spans="26:26">
      <c r="Z91" s="296"/>
    </row>
    <row r="92" spans="26:26">
      <c r="Z92" s="296"/>
    </row>
    <row r="93" spans="26:26">
      <c r="Z93" s="296"/>
    </row>
    <row r="94" spans="26:26">
      <c r="Z94" s="296"/>
    </row>
    <row r="95" spans="26:26">
      <c r="Z95" s="296"/>
    </row>
    <row r="96" spans="26:26">
      <c r="Z96" s="296"/>
    </row>
    <row r="97" spans="26:26">
      <c r="Z97" s="296"/>
    </row>
    <row r="98" spans="26:26">
      <c r="Z98" s="296"/>
    </row>
    <row r="99" spans="26:26">
      <c r="Z99" s="296"/>
    </row>
    <row r="100" spans="26:26">
      <c r="Z100" s="296"/>
    </row>
    <row r="101" spans="26:26">
      <c r="Z101" s="296"/>
    </row>
    <row r="102" spans="26:26">
      <c r="Z102" s="296"/>
    </row>
    <row r="103" spans="26:26">
      <c r="Z103" s="296"/>
    </row>
    <row r="104" spans="26:26">
      <c r="Z104" s="296"/>
    </row>
    <row r="105" spans="26:26">
      <c r="Z105" s="296"/>
    </row>
    <row r="106" spans="26:26">
      <c r="Z106" s="296"/>
    </row>
    <row r="107" spans="26:26">
      <c r="Z107" s="296"/>
    </row>
    <row r="108" spans="26:26">
      <c r="Z108" s="296"/>
    </row>
    <row r="109" spans="26:26">
      <c r="Z109" s="296"/>
    </row>
    <row r="110" spans="26:26">
      <c r="Z110" s="296"/>
    </row>
    <row r="111" spans="26:26">
      <c r="Z111" s="296"/>
    </row>
    <row r="112" spans="26:26">
      <c r="Z112" s="296"/>
    </row>
    <row r="113" spans="26:26">
      <c r="Z113" s="296"/>
    </row>
    <row r="114" spans="26:26">
      <c r="Z114" s="296"/>
    </row>
    <row r="115" spans="26:26">
      <c r="Z115" s="296"/>
    </row>
    <row r="116" spans="26:26">
      <c r="Z116" s="296"/>
    </row>
    <row r="117" spans="26:26">
      <c r="Z117" s="296"/>
    </row>
    <row r="118" spans="26:26">
      <c r="Z118" s="296"/>
    </row>
    <row r="119" spans="26:26">
      <c r="Z119" s="296"/>
    </row>
    <row r="120" spans="26:26">
      <c r="Z120" s="296"/>
    </row>
    <row r="121" spans="26:26">
      <c r="Z121" s="296"/>
    </row>
    <row r="122" spans="26:26">
      <c r="Z122" s="296"/>
    </row>
    <row r="123" spans="26:26">
      <c r="Z123" s="296"/>
    </row>
    <row r="124" spans="26:26">
      <c r="Z124" s="296"/>
    </row>
    <row r="125" spans="26:26">
      <c r="Z125" s="296"/>
    </row>
    <row r="126" spans="26:26">
      <c r="Z126" s="296"/>
    </row>
    <row r="127" spans="26:26">
      <c r="Z127" s="296"/>
    </row>
    <row r="128" spans="26:26">
      <c r="Z128" s="296"/>
    </row>
    <row r="129" spans="26:26">
      <c r="Z129" s="296"/>
    </row>
    <row r="130" spans="26:26">
      <c r="Z130" s="296"/>
    </row>
    <row r="131" spans="26:26">
      <c r="Z131" s="296"/>
    </row>
    <row r="132" spans="26:26">
      <c r="Z132" s="296"/>
    </row>
    <row r="133" spans="26:26">
      <c r="Z133" s="296"/>
    </row>
    <row r="134" spans="26:26">
      <c r="Z134" s="296"/>
    </row>
    <row r="135" spans="26:26">
      <c r="Z135" s="296"/>
    </row>
    <row r="136" spans="26:26">
      <c r="Z136" s="296"/>
    </row>
    <row r="137" spans="26:26">
      <c r="Z137" s="296"/>
    </row>
    <row r="138" spans="26:26">
      <c r="Z138" s="296"/>
    </row>
    <row r="139" spans="26:26">
      <c r="Z139" s="296"/>
    </row>
    <row r="140" spans="26:26">
      <c r="Z140" s="296"/>
    </row>
    <row r="141" spans="26:26">
      <c r="Z141" s="296"/>
    </row>
    <row r="142" spans="26:26">
      <c r="Z142" s="296"/>
    </row>
    <row r="143" spans="26:26">
      <c r="Z143" s="296"/>
    </row>
    <row r="144" spans="26:26">
      <c r="Z144" s="296"/>
    </row>
    <row r="145" spans="26:26">
      <c r="Z145" s="296"/>
    </row>
    <row r="146" spans="26:26">
      <c r="Z146" s="296"/>
    </row>
    <row r="147" spans="26:26">
      <c r="Z147" s="296"/>
    </row>
    <row r="148" spans="26:26">
      <c r="Z148" s="296"/>
    </row>
    <row r="149" spans="26:26">
      <c r="Z149" s="296"/>
    </row>
    <row r="150" spans="26:26">
      <c r="Z150" s="296"/>
    </row>
    <row r="151" spans="26:26">
      <c r="Z151" s="296"/>
    </row>
    <row r="152" spans="26:26">
      <c r="Z152" s="296"/>
    </row>
    <row r="153" spans="26:26">
      <c r="Z153" s="296"/>
    </row>
    <row r="154" spans="26:26">
      <c r="Z154" s="296"/>
    </row>
    <row r="155" spans="26:26">
      <c r="Z155" s="296"/>
    </row>
    <row r="156" spans="26:26">
      <c r="Z156" s="296"/>
    </row>
    <row r="157" spans="26:26">
      <c r="Z157" s="296"/>
    </row>
    <row r="158" spans="26:26">
      <c r="Z158" s="296"/>
    </row>
    <row r="159" spans="26:26">
      <c r="Z159" s="296"/>
    </row>
    <row r="160" spans="26:26">
      <c r="Z160" s="296"/>
    </row>
    <row r="161" spans="26:26">
      <c r="Z161" s="296"/>
    </row>
    <row r="162" spans="26:26">
      <c r="Z162" s="296"/>
    </row>
    <row r="163" spans="26:26">
      <c r="Z163" s="296"/>
    </row>
    <row r="164" spans="26:26">
      <c r="Z164" s="296"/>
    </row>
    <row r="165" spans="26:26">
      <c r="Z165" s="296"/>
    </row>
    <row r="166" spans="26:26">
      <c r="Z166" s="296"/>
    </row>
    <row r="167" spans="26:26">
      <c r="Z167" s="296"/>
    </row>
    <row r="168" spans="26:26">
      <c r="Z168" s="296"/>
    </row>
    <row r="169" spans="26:26">
      <c r="Z169" s="296"/>
    </row>
    <row r="170" spans="26:26">
      <c r="Z170" s="296"/>
    </row>
    <row r="171" spans="26:26">
      <c r="Z171" s="296"/>
    </row>
    <row r="172" spans="26:26">
      <c r="Z172" s="296"/>
    </row>
    <row r="173" spans="26:26">
      <c r="Z173" s="296"/>
    </row>
    <row r="174" spans="26:26">
      <c r="Z174" s="296"/>
    </row>
    <row r="175" spans="26:26">
      <c r="Z175" s="296"/>
    </row>
    <row r="176" spans="26:26">
      <c r="Z176" s="296"/>
    </row>
    <row r="177" spans="26:26">
      <c r="Z177" s="296"/>
    </row>
    <row r="178" spans="26:26">
      <c r="Z178" s="296"/>
    </row>
    <row r="179" spans="26:26">
      <c r="Z179" s="296"/>
    </row>
    <row r="180" spans="26:26">
      <c r="Z180" s="296"/>
    </row>
    <row r="181" spans="26:26">
      <c r="Z181" s="296"/>
    </row>
    <row r="182" spans="26:26">
      <c r="Z182" s="296"/>
    </row>
    <row r="183" spans="26:26">
      <c r="Z183" s="296"/>
    </row>
    <row r="184" spans="26:26">
      <c r="Z184" s="296"/>
    </row>
    <row r="185" spans="26:26">
      <c r="Z185" s="296"/>
    </row>
    <row r="186" spans="26:26">
      <c r="Z186" s="296"/>
    </row>
    <row r="187" spans="26:26">
      <c r="Z187" s="296"/>
    </row>
    <row r="188" spans="26:26">
      <c r="Z188" s="296"/>
    </row>
    <row r="189" spans="26:26">
      <c r="Z189" s="296"/>
    </row>
    <row r="190" spans="26:26">
      <c r="Z190" s="296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1" sqref="L2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B4" sqref="B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928" t="s">
        <v>694</v>
      </c>
      <c r="AA4" s="464" t="s">
        <v>476</v>
      </c>
      <c r="AB4" s="466" t="s">
        <v>695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6" si="0">C6*D6</f>
        <v>26956465</v>
      </c>
      <c r="F6" s="470"/>
      <c r="G6" s="470">
        <v>0</v>
      </c>
      <c r="H6" s="470"/>
      <c r="I6" s="470">
        <f t="shared" ref="I6:I36" si="1">E6-F6-G6-H6</f>
        <v>26956465</v>
      </c>
      <c r="J6" s="470">
        <v>200000</v>
      </c>
      <c r="K6" s="470">
        <v>0.2</v>
      </c>
      <c r="L6" s="470">
        <f t="shared" ref="L6:L36" si="2">I6*K6</f>
        <v>5391292.99999999</v>
      </c>
      <c r="M6" s="470">
        <f t="shared" ref="M6:M36" si="3">J6+L6</f>
        <v>5591292.99999999</v>
      </c>
      <c r="N6" s="470">
        <f t="shared" ref="N6:N36" si="4">F6+G6+H6+M6</f>
        <v>5591292.99999999</v>
      </c>
      <c r="O6" s="470">
        <f t="shared" ref="O6:O36" si="5">E6-N6</f>
        <v>21365172</v>
      </c>
      <c r="P6" s="470">
        <f>IF(O6&lt;300000,0.07*O6,21000)</f>
        <v>21000</v>
      </c>
      <c r="Q6" s="470">
        <f t="shared" ref="Q6:Q36" si="6">IF((O6-300000)&lt;0,0,IF((O6-300000)&lt;300000,0.11*(O6-300000),33000))</f>
        <v>33000</v>
      </c>
      <c r="R6" s="470">
        <f t="shared" ref="R6:R36" si="7">IF((O6-600000)&lt;0,0,IF((O6-600000)&lt;500000,0.15*(O6-600000),75000))</f>
        <v>75000</v>
      </c>
      <c r="S6" s="470">
        <f t="shared" ref="S6:S36" si="8">IF((O6-1100000)&lt;0,0,IF((O6-1100000)&lt;500000,0.19*(O6-1100000),95000))</f>
        <v>95000</v>
      </c>
      <c r="T6" s="470">
        <f t="shared" ref="T6:T36" si="9">IF((O6-1600000)&lt;0,0,IF((O6-1600000)&lt;1600000,0.21*(O6-1600000),336000))</f>
        <v>336000</v>
      </c>
      <c r="U6" s="470">
        <f t="shared" ref="U6:U34" si="10">24%*(O6-3200000)</f>
        <v>4359641.27999999</v>
      </c>
      <c r="V6" s="470">
        <f t="shared" ref="V6:V36" si="11">P6+Q6+R6+S6+T6+U6</f>
        <v>4919641.27999999</v>
      </c>
      <c r="W6" s="471">
        <v>12</v>
      </c>
      <c r="X6" s="470">
        <f t="shared" ref="X6:X36" si="12">V6/W6</f>
        <v>409970.106666666</v>
      </c>
      <c r="Y6" s="470"/>
      <c r="Z6" s="929">
        <f t="shared" ref="Z6:Z36" si="13">X6</f>
        <v>409970.106666666</v>
      </c>
      <c r="AA6" s="806">
        <v>350184.010730667</v>
      </c>
      <c r="AB6" s="806">
        <f t="shared" ref="AB6:AB36" si="14">Z6-AA6</f>
        <v>59786.0959359988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ref="P6:P36" si="15">IF(O7&lt;300000,0.07*O7,21000)</f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1540720.61184</v>
      </c>
      <c r="V7" s="470">
        <f t="shared" si="11"/>
        <v>2100720.61184</v>
      </c>
      <c r="W7" s="471">
        <v>12</v>
      </c>
      <c r="X7" s="470">
        <f t="shared" si="12"/>
        <v>175060.050986667</v>
      </c>
      <c r="Y7" s="470"/>
      <c r="Z7" s="929">
        <f t="shared" si="13"/>
        <v>175060.050986667</v>
      </c>
      <c r="AA7" s="806">
        <v>149812.262826667</v>
      </c>
      <c r="AB7" s="806">
        <f t="shared" si="14"/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1295306.75</v>
      </c>
      <c r="D8" s="469">
        <v>12</v>
      </c>
      <c r="E8" s="470">
        <f t="shared" si="0"/>
        <v>15543681</v>
      </c>
      <c r="F8" s="470"/>
      <c r="G8" s="470">
        <v>0</v>
      </c>
      <c r="H8" s="470"/>
      <c r="I8" s="470">
        <f t="shared" si="1"/>
        <v>15543681</v>
      </c>
      <c r="J8" s="470">
        <v>200000</v>
      </c>
      <c r="K8" s="470">
        <v>0.2</v>
      </c>
      <c r="L8" s="470">
        <f t="shared" si="2"/>
        <v>3108736.2</v>
      </c>
      <c r="M8" s="470">
        <f t="shared" si="3"/>
        <v>3308736.2</v>
      </c>
      <c r="N8" s="470">
        <f t="shared" si="4"/>
        <v>3308736.2</v>
      </c>
      <c r="O8" s="470">
        <f t="shared" si="5"/>
        <v>12234944.8</v>
      </c>
      <c r="P8" s="470">
        <f t="shared" si="1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2168386.752</v>
      </c>
      <c r="V8" s="470">
        <f t="shared" si="11"/>
        <v>2728386.752</v>
      </c>
      <c r="W8" s="471">
        <v>12</v>
      </c>
      <c r="X8" s="470">
        <f t="shared" si="12"/>
        <v>227365.562666667</v>
      </c>
      <c r="Y8" s="470"/>
      <c r="Z8" s="929">
        <f t="shared" si="13"/>
        <v>227365.562666667</v>
      </c>
      <c r="AA8" s="806">
        <v>199922.314666667</v>
      </c>
      <c r="AB8" s="806">
        <f t="shared" si="14"/>
        <v>27443.2479999997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1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1485731.64864</v>
      </c>
      <c r="V9" s="470">
        <f t="shared" si="11"/>
        <v>2045731.64864</v>
      </c>
      <c r="W9" s="471">
        <v>12</v>
      </c>
      <c r="X9" s="470">
        <f t="shared" si="12"/>
        <v>170477.637386667</v>
      </c>
      <c r="Y9" s="470"/>
      <c r="Z9" s="929">
        <f t="shared" si="13"/>
        <v>170477.637386667</v>
      </c>
      <c r="AA9" s="806">
        <v>147687.527610667</v>
      </c>
      <c r="AB9" s="806">
        <f t="shared" si="14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1019008.91666667</v>
      </c>
      <c r="D10" s="469">
        <v>12</v>
      </c>
      <c r="E10" s="470">
        <f t="shared" si="0"/>
        <v>12228107</v>
      </c>
      <c r="F10" s="470">
        <v>157015.95</v>
      </c>
      <c r="G10" s="470">
        <v>818602.64</v>
      </c>
      <c r="H10" s="470"/>
      <c r="I10" s="470">
        <f t="shared" si="1"/>
        <v>11252488.41</v>
      </c>
      <c r="J10" s="470">
        <v>200000</v>
      </c>
      <c r="K10" s="470">
        <v>0.2</v>
      </c>
      <c r="L10" s="470">
        <f t="shared" si="2"/>
        <v>2250497.68200001</v>
      </c>
      <c r="M10" s="470">
        <f t="shared" si="3"/>
        <v>2450497.68200001</v>
      </c>
      <c r="N10" s="470">
        <f t="shared" si="4"/>
        <v>3426116.27200001</v>
      </c>
      <c r="O10" s="470">
        <f t="shared" si="5"/>
        <v>8801990.72800003</v>
      </c>
      <c r="P10" s="470">
        <f t="shared" si="1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1344477.77472001</v>
      </c>
      <c r="V10" s="470">
        <f t="shared" si="11"/>
        <v>1904477.77472001</v>
      </c>
      <c r="W10" s="471">
        <v>12</v>
      </c>
      <c r="X10" s="470">
        <f t="shared" si="12"/>
        <v>158706.481226667</v>
      </c>
      <c r="Y10" s="470"/>
      <c r="Z10" s="929">
        <f t="shared" si="13"/>
        <v>158706.481226667</v>
      </c>
      <c r="AA10" s="806">
        <v>129694.695226667</v>
      </c>
      <c r="AB10" s="806">
        <f t="shared" si="14"/>
        <v>29011.7860000005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1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1519421.86944</v>
      </c>
      <c r="V11" s="470">
        <f t="shared" si="11"/>
        <v>2079421.86944</v>
      </c>
      <c r="W11" s="471">
        <v>12</v>
      </c>
      <c r="X11" s="470">
        <f t="shared" si="12"/>
        <v>173285.155786667</v>
      </c>
      <c r="Y11" s="470"/>
      <c r="Z11" s="929">
        <f t="shared" si="13"/>
        <v>173285.155786667</v>
      </c>
      <c r="AA11" s="806">
        <v>150463.109674667</v>
      </c>
      <c r="AB11" s="806">
        <f t="shared" si="14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837207.144444444</v>
      </c>
      <c r="D12" s="469">
        <v>12</v>
      </c>
      <c r="E12" s="470">
        <f t="shared" si="0"/>
        <v>10046485.7333333</v>
      </c>
      <c r="F12" s="470"/>
      <c r="G12" s="470">
        <v>566070.72</v>
      </c>
      <c r="H12" s="470"/>
      <c r="I12" s="470">
        <f t="shared" si="1"/>
        <v>9480415.01333333</v>
      </c>
      <c r="J12" s="470">
        <v>200000</v>
      </c>
      <c r="K12" s="470">
        <v>0.2</v>
      </c>
      <c r="L12" s="470">
        <f t="shared" si="2"/>
        <v>1896083.00266667</v>
      </c>
      <c r="M12" s="470">
        <f t="shared" si="3"/>
        <v>2096083.00266667</v>
      </c>
      <c r="N12" s="470">
        <f t="shared" si="4"/>
        <v>2662153.72266666</v>
      </c>
      <c r="O12" s="470">
        <f t="shared" si="5"/>
        <v>7384332.01066666</v>
      </c>
      <c r="P12" s="470">
        <f t="shared" si="1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1004239.68256</v>
      </c>
      <c r="V12" s="470">
        <f t="shared" si="11"/>
        <v>1564239.68256</v>
      </c>
      <c r="W12" s="471">
        <v>12</v>
      </c>
      <c r="X12" s="470">
        <f t="shared" si="12"/>
        <v>130353.30688</v>
      </c>
      <c r="Y12" s="470"/>
      <c r="Z12" s="929">
        <f t="shared" si="13"/>
        <v>130353.30688</v>
      </c>
      <c r="AA12" s="806">
        <v>77666.4458666667</v>
      </c>
      <c r="AB12" s="806">
        <f t="shared" si="14"/>
        <v>52686.8610133333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932595.5</v>
      </c>
      <c r="D13" s="469">
        <v>12</v>
      </c>
      <c r="E13" s="470">
        <f t="shared" si="0"/>
        <v>11191146</v>
      </c>
      <c r="F13" s="470"/>
      <c r="G13" s="470">
        <v>693691.68</v>
      </c>
      <c r="H13" s="470"/>
      <c r="I13" s="470">
        <f t="shared" si="1"/>
        <v>10497454.32</v>
      </c>
      <c r="J13" s="470">
        <v>200000</v>
      </c>
      <c r="K13" s="470">
        <v>0.2</v>
      </c>
      <c r="L13" s="470">
        <f t="shared" si="2"/>
        <v>2099490.864</v>
      </c>
      <c r="M13" s="470">
        <f t="shared" si="3"/>
        <v>2299490.864</v>
      </c>
      <c r="N13" s="470">
        <f t="shared" si="4"/>
        <v>2993182.544</v>
      </c>
      <c r="O13" s="470">
        <f t="shared" si="5"/>
        <v>8197963.456</v>
      </c>
      <c r="P13" s="470">
        <f t="shared" si="1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1199511.22944</v>
      </c>
      <c r="V13" s="470">
        <f t="shared" si="11"/>
        <v>1759511.22944</v>
      </c>
      <c r="W13" s="471">
        <v>12</v>
      </c>
      <c r="X13" s="470">
        <f t="shared" si="12"/>
        <v>146625.935786667</v>
      </c>
      <c r="Y13" s="470"/>
      <c r="Z13" s="929">
        <f t="shared" si="13"/>
        <v>146625.935786667</v>
      </c>
      <c r="AA13" s="806">
        <v>141011.988957867</v>
      </c>
      <c r="AB13" s="806">
        <f t="shared" si="14"/>
        <v>5613.94682879967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1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1265691.71712</v>
      </c>
      <c r="V14" s="470">
        <f t="shared" si="11"/>
        <v>1825691.71712</v>
      </c>
      <c r="W14" s="471">
        <v>12</v>
      </c>
      <c r="X14" s="470">
        <f t="shared" si="12"/>
        <v>152140.976426667</v>
      </c>
      <c r="Y14" s="470"/>
      <c r="Z14" s="929">
        <f t="shared" si="13"/>
        <v>152140.976426667</v>
      </c>
      <c r="AA14" s="806">
        <v>131753.408426667</v>
      </c>
      <c r="AB14" s="806">
        <f t="shared" si="14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1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968809.274879998</v>
      </c>
      <c r="V15" s="470">
        <f t="shared" si="11"/>
        <v>1528809.27488</v>
      </c>
      <c r="W15" s="471">
        <v>12</v>
      </c>
      <c r="X15" s="470">
        <f t="shared" si="12"/>
        <v>127400.772906667</v>
      </c>
      <c r="Y15" s="470"/>
      <c r="Z15" s="929">
        <f t="shared" si="13"/>
        <v>127400.772906667</v>
      </c>
      <c r="AA15" s="806">
        <v>106452</v>
      </c>
      <c r="AB15" s="806">
        <f t="shared" si="14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737468.580645162</v>
      </c>
      <c r="D16" s="469">
        <v>12</v>
      </c>
      <c r="E16" s="470">
        <f t="shared" si="0"/>
        <v>8849622.96774194</v>
      </c>
      <c r="F16" s="470"/>
      <c r="G16" s="470">
        <v>519697.279999999</v>
      </c>
      <c r="H16" s="470"/>
      <c r="I16" s="470">
        <f t="shared" si="1"/>
        <v>8329925.68774194</v>
      </c>
      <c r="J16" s="470">
        <v>200000</v>
      </c>
      <c r="K16" s="470">
        <v>0.2</v>
      </c>
      <c r="L16" s="470">
        <f t="shared" si="2"/>
        <v>1665985.13754839</v>
      </c>
      <c r="M16" s="470">
        <f t="shared" si="3"/>
        <v>1865985.13754839</v>
      </c>
      <c r="N16" s="470">
        <f t="shared" si="4"/>
        <v>2385682.41754839</v>
      </c>
      <c r="O16" s="470">
        <f t="shared" si="5"/>
        <v>6463940.55019356</v>
      </c>
      <c r="P16" s="470">
        <f t="shared" si="1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783345.732046453</v>
      </c>
      <c r="V16" s="470">
        <f t="shared" si="11"/>
        <v>1343345.73204645</v>
      </c>
      <c r="W16" s="471">
        <v>12</v>
      </c>
      <c r="X16" s="470">
        <f t="shared" si="12"/>
        <v>111945.477670538</v>
      </c>
      <c r="Y16" s="470"/>
      <c r="Z16" s="929">
        <f t="shared" si="13"/>
        <v>111945.477670538</v>
      </c>
      <c r="AA16" s="806">
        <v>77470.3741866667</v>
      </c>
      <c r="AB16" s="806">
        <f t="shared" si="14"/>
        <v>34475.1034838711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1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1018815.63744</v>
      </c>
      <c r="V17" s="470">
        <f t="shared" si="11"/>
        <v>1578815.63744</v>
      </c>
      <c r="W17" s="471">
        <v>12</v>
      </c>
      <c r="X17" s="470">
        <f t="shared" si="12"/>
        <v>131567.969786667</v>
      </c>
      <c r="Y17" s="470"/>
      <c r="Z17" s="929">
        <f t="shared" si="13"/>
        <v>131567.969786667</v>
      </c>
      <c r="AA17" s="806">
        <v>113474.903466667</v>
      </c>
      <c r="AB17" s="806">
        <f t="shared" si="14"/>
        <v>18093.0663199996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1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381810.65952</v>
      </c>
      <c r="V18" s="470">
        <f t="shared" si="11"/>
        <v>941810.65952</v>
      </c>
      <c r="W18" s="471">
        <v>12</v>
      </c>
      <c r="X18" s="470">
        <f t="shared" si="12"/>
        <v>78484.2216266667</v>
      </c>
      <c r="Y18" s="470"/>
      <c r="Z18" s="929">
        <f t="shared" si="13"/>
        <v>78484.2216266667</v>
      </c>
      <c r="AA18" s="806">
        <v>61040.2353066666</v>
      </c>
      <c r="AB18" s="806">
        <f t="shared" si="14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1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514963.03872</v>
      </c>
      <c r="V19" s="470">
        <f t="shared" si="11"/>
        <v>1074963.03872</v>
      </c>
      <c r="W19" s="471">
        <v>12</v>
      </c>
      <c r="X19" s="470">
        <f t="shared" si="12"/>
        <v>89580.2532266667</v>
      </c>
      <c r="Y19" s="470"/>
      <c r="Z19" s="929">
        <f t="shared" si="13"/>
        <v>89580.2532266667</v>
      </c>
      <c r="AA19" s="806">
        <v>70640.2353066667</v>
      </c>
      <c r="AB19" s="806">
        <f t="shared" si="14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823027.494623656</v>
      </c>
      <c r="D20" s="469">
        <v>12</v>
      </c>
      <c r="E20" s="470">
        <f t="shared" si="0"/>
        <v>9876329.93548387</v>
      </c>
      <c r="F20" s="470">
        <v>93328.325</v>
      </c>
      <c r="G20" s="470">
        <v>476637.28</v>
      </c>
      <c r="H20" s="470"/>
      <c r="I20" s="470">
        <f t="shared" si="1"/>
        <v>9306364.33048387</v>
      </c>
      <c r="J20" s="470">
        <v>200000</v>
      </c>
      <c r="K20" s="470">
        <v>0.2</v>
      </c>
      <c r="L20" s="470">
        <f t="shared" si="2"/>
        <v>1861272.86609678</v>
      </c>
      <c r="M20" s="470">
        <f t="shared" si="3"/>
        <v>2061272.86609678</v>
      </c>
      <c r="N20" s="470">
        <f t="shared" si="4"/>
        <v>2631238.47109678</v>
      </c>
      <c r="O20" s="470">
        <f t="shared" si="5"/>
        <v>7245091.4643871</v>
      </c>
      <c r="P20" s="470">
        <f t="shared" si="1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970821.951452904</v>
      </c>
      <c r="V20" s="470">
        <f t="shared" si="11"/>
        <v>1530821.9514529</v>
      </c>
      <c r="W20" s="471">
        <v>12</v>
      </c>
      <c r="X20" s="470">
        <f t="shared" si="12"/>
        <v>127568.495954409</v>
      </c>
      <c r="Y20" s="470"/>
      <c r="Z20" s="929">
        <f t="shared" si="13"/>
        <v>127568.495954409</v>
      </c>
      <c r="AA20" s="806">
        <v>106297.15</v>
      </c>
      <c r="AB20" s="806">
        <f t="shared" si="14"/>
        <v>21271.3459544087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721571.849462364</v>
      </c>
      <c r="D21" s="469">
        <v>12</v>
      </c>
      <c r="E21" s="470">
        <f t="shared" si="0"/>
        <v>8658862.19354837</v>
      </c>
      <c r="F21" s="470"/>
      <c r="G21" s="470">
        <v>463356.160000001</v>
      </c>
      <c r="H21" s="470"/>
      <c r="I21" s="470">
        <f t="shared" si="1"/>
        <v>8195506.03354837</v>
      </c>
      <c r="J21" s="470">
        <v>200000</v>
      </c>
      <c r="K21" s="470">
        <v>0.2</v>
      </c>
      <c r="L21" s="470">
        <f t="shared" si="2"/>
        <v>1639101.20670967</v>
      </c>
      <c r="M21" s="470">
        <f t="shared" si="3"/>
        <v>1839101.20670967</v>
      </c>
      <c r="N21" s="470">
        <f t="shared" si="4"/>
        <v>2302457.36670967</v>
      </c>
      <c r="O21" s="470">
        <f t="shared" si="5"/>
        <v>6356404.82683869</v>
      </c>
      <c r="P21" s="470">
        <f t="shared" si="1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757537.158441286</v>
      </c>
      <c r="V21" s="470">
        <f t="shared" si="11"/>
        <v>1317537.15844129</v>
      </c>
      <c r="W21" s="471">
        <v>12</v>
      </c>
      <c r="X21" s="470">
        <f t="shared" si="12"/>
        <v>109794.763203441</v>
      </c>
      <c r="Y21" s="470"/>
      <c r="Z21" s="929">
        <f t="shared" si="13"/>
        <v>109794.763203441</v>
      </c>
      <c r="AA21" s="806">
        <v>82601.2049066667</v>
      </c>
      <c r="AB21" s="806">
        <f t="shared" si="14"/>
        <v>27193.5582967738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1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839640.798719999</v>
      </c>
      <c r="V22" s="470">
        <f t="shared" si="11"/>
        <v>1399640.79872</v>
      </c>
      <c r="W22" s="471">
        <v>12</v>
      </c>
      <c r="X22" s="470">
        <f t="shared" si="12"/>
        <v>116636.733226667</v>
      </c>
      <c r="Y22" s="470"/>
      <c r="Z22" s="929">
        <f t="shared" si="13"/>
        <v>116636.733226667</v>
      </c>
      <c r="AA22" s="806">
        <v>98711.1146666667</v>
      </c>
      <c r="AB22" s="806">
        <f t="shared" si="14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1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401880.798719999</v>
      </c>
      <c r="V23" s="470">
        <f t="shared" si="11"/>
        <v>961880.798719999</v>
      </c>
      <c r="W23" s="471">
        <v>12</v>
      </c>
      <c r="X23" s="470">
        <f t="shared" si="12"/>
        <v>80156.7332266666</v>
      </c>
      <c r="Y23" s="470"/>
      <c r="Z23" s="929">
        <f t="shared" si="13"/>
        <v>80156.7332266666</v>
      </c>
      <c r="AA23" s="806">
        <v>62231.1146666667</v>
      </c>
      <c r="AB23" s="806">
        <f t="shared" si="14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1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336000</v>
      </c>
      <c r="U24" s="470">
        <f t="shared" si="10"/>
        <v>590936.248319999</v>
      </c>
      <c r="V24" s="470">
        <f t="shared" si="11"/>
        <v>1150936.24832</v>
      </c>
      <c r="W24" s="471">
        <v>12</v>
      </c>
      <c r="X24" s="470">
        <f t="shared" si="12"/>
        <v>95911.3540266666</v>
      </c>
      <c r="Y24" s="470"/>
      <c r="Z24" s="929">
        <f t="shared" si="13"/>
        <v>95911.3540266666</v>
      </c>
      <c r="AA24" s="806">
        <v>80347.4269866667</v>
      </c>
      <c r="AB24" s="806">
        <f t="shared" si="14"/>
        <v>15563.9270399999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1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336000</v>
      </c>
      <c r="U25" s="470">
        <f t="shared" si="10"/>
        <v>130136.248319998</v>
      </c>
      <c r="V25" s="470">
        <f t="shared" si="11"/>
        <v>690136.248319998</v>
      </c>
      <c r="W25" s="471">
        <v>12</v>
      </c>
      <c r="X25" s="470">
        <f t="shared" si="12"/>
        <v>57511.3540266665</v>
      </c>
      <c r="Y25" s="470"/>
      <c r="Z25" s="929">
        <f t="shared" si="13"/>
        <v>57511.3540266665</v>
      </c>
      <c r="AA25" s="806">
        <v>42537.3319466667</v>
      </c>
      <c r="AB25" s="806">
        <f t="shared" si="14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478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1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336000</v>
      </c>
      <c r="U26" s="470">
        <f t="shared" si="10"/>
        <v>75406.1107200006</v>
      </c>
      <c r="V26" s="470">
        <f t="shared" si="11"/>
        <v>635406.110720001</v>
      </c>
      <c r="W26" s="471">
        <v>12</v>
      </c>
      <c r="X26" s="470">
        <f t="shared" si="12"/>
        <v>52950.5092266667</v>
      </c>
      <c r="Y26" s="470"/>
      <c r="Z26" s="929">
        <f t="shared" si="13"/>
        <v>52950.5092266667</v>
      </c>
      <c r="AA26" s="806">
        <v>39052.3130666667</v>
      </c>
      <c r="AB26" s="806">
        <f t="shared" si="14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415320.666666667</v>
      </c>
      <c r="D27" s="469">
        <v>12</v>
      </c>
      <c r="E27" s="470">
        <f t="shared" si="0"/>
        <v>4983848</v>
      </c>
      <c r="F27" s="470"/>
      <c r="G27" s="470">
        <v>341107.840000001</v>
      </c>
      <c r="H27" s="470"/>
      <c r="I27" s="470">
        <f t="shared" si="1"/>
        <v>4642740.16</v>
      </c>
      <c r="J27" s="470">
        <v>200000</v>
      </c>
      <c r="K27" s="470">
        <v>0.2</v>
      </c>
      <c r="L27" s="470">
        <f t="shared" si="2"/>
        <v>928548.032000001</v>
      </c>
      <c r="M27" s="470">
        <f t="shared" si="3"/>
        <v>1128548.032</v>
      </c>
      <c r="N27" s="470">
        <f t="shared" si="4"/>
        <v>1469655.872</v>
      </c>
      <c r="O27" s="470">
        <f t="shared" si="5"/>
        <v>3514192.128</v>
      </c>
      <c r="P27" s="470">
        <f t="shared" si="15"/>
        <v>21000</v>
      </c>
      <c r="Q27" s="470">
        <f t="shared" si="6"/>
        <v>33000</v>
      </c>
      <c r="R27" s="470">
        <f t="shared" si="7"/>
        <v>75000</v>
      </c>
      <c r="S27" s="470">
        <f t="shared" si="8"/>
        <v>95000</v>
      </c>
      <c r="T27" s="470">
        <f t="shared" si="9"/>
        <v>336000</v>
      </c>
      <c r="U27" s="470">
        <f t="shared" si="10"/>
        <v>75406.1107200006</v>
      </c>
      <c r="V27" s="470">
        <f t="shared" si="11"/>
        <v>635406.110720001</v>
      </c>
      <c r="W27" s="471">
        <v>12</v>
      </c>
      <c r="X27" s="470">
        <f t="shared" si="12"/>
        <v>52950.5092266667</v>
      </c>
      <c r="Y27" s="470"/>
      <c r="Z27" s="929">
        <f t="shared" si="13"/>
        <v>52950.5092266667</v>
      </c>
      <c r="AA27" s="806">
        <v>39052.3130666667</v>
      </c>
      <c r="AB27" s="806">
        <f t="shared" si="14"/>
        <v>13898.19616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684288.357142852</v>
      </c>
      <c r="D28" s="469">
        <v>12</v>
      </c>
      <c r="E28" s="470">
        <f t="shared" si="0"/>
        <v>8211460.28571422</v>
      </c>
      <c r="F28" s="470"/>
      <c r="G28" s="470">
        <v>341107.840000001</v>
      </c>
      <c r="H28" s="470"/>
      <c r="I28" s="470">
        <f t="shared" si="1"/>
        <v>7870352.44571422</v>
      </c>
      <c r="J28" s="470">
        <v>200000</v>
      </c>
      <c r="K28" s="470">
        <v>0.2</v>
      </c>
      <c r="L28" s="470">
        <f t="shared" si="2"/>
        <v>1574070.48914284</v>
      </c>
      <c r="M28" s="470">
        <f t="shared" si="3"/>
        <v>1774070.48914284</v>
      </c>
      <c r="N28" s="470">
        <f t="shared" si="4"/>
        <v>2115178.32914285</v>
      </c>
      <c r="O28" s="470">
        <f t="shared" si="5"/>
        <v>6096281.95657138</v>
      </c>
      <c r="P28" s="470">
        <f t="shared" si="1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336000</v>
      </c>
      <c r="U28" s="470">
        <f t="shared" si="10"/>
        <v>695107.669577131</v>
      </c>
      <c r="V28" s="470">
        <f t="shared" si="11"/>
        <v>1255107.66957713</v>
      </c>
      <c r="W28" s="471">
        <v>12</v>
      </c>
      <c r="X28" s="470">
        <f t="shared" si="12"/>
        <v>104592.305798094</v>
      </c>
      <c r="Y28" s="470"/>
      <c r="Z28" s="929">
        <f t="shared" si="13"/>
        <v>104592.305798094</v>
      </c>
      <c r="AA28" s="806">
        <v>45772.3130666667</v>
      </c>
      <c r="AB28" s="806">
        <f t="shared" si="14"/>
        <v>58819.9927314276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1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336000</v>
      </c>
      <c r="U29" s="470">
        <f t="shared" si="10"/>
        <v>57803.2281599984</v>
      </c>
      <c r="V29" s="470">
        <f t="shared" si="11"/>
        <v>617803.228159998</v>
      </c>
      <c r="W29" s="471">
        <v>12</v>
      </c>
      <c r="X29" s="470">
        <f t="shared" si="12"/>
        <v>51483.6023466665</v>
      </c>
      <c r="Y29" s="470"/>
      <c r="Z29" s="929">
        <f t="shared" si="13"/>
        <v>51483.6023466665</v>
      </c>
      <c r="AA29" s="806">
        <v>37921.5005866667</v>
      </c>
      <c r="AB29" s="806">
        <f t="shared" si="14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1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336000</v>
      </c>
      <c r="U30" s="470">
        <f t="shared" si="10"/>
        <v>40200.3456000005</v>
      </c>
      <c r="V30" s="470">
        <f t="shared" si="11"/>
        <v>600200.3456</v>
      </c>
      <c r="W30" s="471">
        <v>12</v>
      </c>
      <c r="X30" s="470">
        <f t="shared" si="12"/>
        <v>50016.6954666667</v>
      </c>
      <c r="Y30" s="470"/>
      <c r="Z30" s="929">
        <f t="shared" si="13"/>
        <v>50016.6954666667</v>
      </c>
      <c r="AA30" s="806">
        <v>36790.6881066667</v>
      </c>
      <c r="AB30" s="806">
        <f t="shared" si="14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502248.182795697</v>
      </c>
      <c r="D31" s="469">
        <v>12</v>
      </c>
      <c r="E31" s="470">
        <f t="shared" si="0"/>
        <v>6026978.19354836</v>
      </c>
      <c r="F31" s="470"/>
      <c r="G31" s="474">
        <v>325163.200000001</v>
      </c>
      <c r="H31" s="470"/>
      <c r="I31" s="470">
        <f t="shared" si="1"/>
        <v>5701814.99354836</v>
      </c>
      <c r="J31" s="470">
        <v>200000</v>
      </c>
      <c r="K31" s="470">
        <v>0.2</v>
      </c>
      <c r="L31" s="470">
        <f t="shared" si="2"/>
        <v>1140362.99870967</v>
      </c>
      <c r="M31" s="470">
        <f t="shared" si="3"/>
        <v>1340362.99870967</v>
      </c>
      <c r="N31" s="470">
        <f t="shared" si="4"/>
        <v>1665526.19870967</v>
      </c>
      <c r="O31" s="470">
        <f t="shared" si="5"/>
        <v>4361451.99483869</v>
      </c>
      <c r="P31" s="470">
        <f t="shared" si="1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336000</v>
      </c>
      <c r="U31" s="470">
        <f t="shared" si="10"/>
        <v>278748.478761286</v>
      </c>
      <c r="V31" s="470">
        <f t="shared" si="11"/>
        <v>838748.478761286</v>
      </c>
      <c r="W31" s="471">
        <v>12</v>
      </c>
      <c r="X31" s="470">
        <f t="shared" si="12"/>
        <v>69895.7065634405</v>
      </c>
      <c r="Y31" s="470"/>
      <c r="Z31" s="929">
        <f t="shared" si="13"/>
        <v>69895.7065634405</v>
      </c>
      <c r="AA31" s="806">
        <v>36790.6881066667</v>
      </c>
      <c r="AB31" s="806">
        <f t="shared" si="14"/>
        <v>33105.0184567738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467422.860215052</v>
      </c>
      <c r="D32" s="469">
        <v>12</v>
      </c>
      <c r="E32" s="470">
        <f t="shared" si="0"/>
        <v>5609074.32258062</v>
      </c>
      <c r="F32" s="470"/>
      <c r="G32" s="474">
        <v>341107.840000001</v>
      </c>
      <c r="H32" s="470"/>
      <c r="I32" s="470">
        <f t="shared" si="1"/>
        <v>5267966.48258062</v>
      </c>
      <c r="J32" s="470">
        <v>200000</v>
      </c>
      <c r="K32" s="470">
        <v>0.2</v>
      </c>
      <c r="L32" s="470">
        <f t="shared" si="2"/>
        <v>1053593.29651612</v>
      </c>
      <c r="M32" s="470">
        <f t="shared" si="3"/>
        <v>1253593.29651612</v>
      </c>
      <c r="N32" s="470">
        <f t="shared" si="4"/>
        <v>1594701.13651613</v>
      </c>
      <c r="O32" s="470">
        <f t="shared" si="5"/>
        <v>4014373.1860645</v>
      </c>
      <c r="P32" s="470">
        <f t="shared" si="1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336000</v>
      </c>
      <c r="U32" s="470">
        <f t="shared" si="10"/>
        <v>195449.564655479</v>
      </c>
      <c r="V32" s="470">
        <f t="shared" si="11"/>
        <v>755449.564655479</v>
      </c>
      <c r="W32" s="471">
        <v>12</v>
      </c>
      <c r="X32" s="470">
        <f t="shared" si="12"/>
        <v>62954.1303879566</v>
      </c>
      <c r="Y32" s="470"/>
      <c r="Z32" s="929">
        <f t="shared" si="13"/>
        <v>62954.1303879566</v>
      </c>
      <c r="AA32" s="806">
        <v>39052.3130666667</v>
      </c>
      <c r="AB32" s="806">
        <f t="shared" si="14"/>
        <v>23901.8173212899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15"/>
        <v>21000</v>
      </c>
      <c r="Q33" s="470">
        <f t="shared" si="6"/>
        <v>33000</v>
      </c>
      <c r="R33" s="470">
        <f t="shared" si="7"/>
        <v>75000</v>
      </c>
      <c r="S33" s="470">
        <f t="shared" si="8"/>
        <v>95000</v>
      </c>
      <c r="T33" s="470">
        <f t="shared" si="9"/>
        <v>336000</v>
      </c>
      <c r="U33" s="470">
        <f t="shared" si="10"/>
        <v>37138.9747200005</v>
      </c>
      <c r="V33" s="470">
        <f t="shared" si="11"/>
        <v>597138.974720001</v>
      </c>
      <c r="W33" s="471">
        <v>12</v>
      </c>
      <c r="X33" s="470">
        <f t="shared" si="12"/>
        <v>49761.5812266667</v>
      </c>
      <c r="Y33" s="470"/>
      <c r="Z33" s="929">
        <f t="shared" si="13"/>
        <v>49761.5812266667</v>
      </c>
      <c r="AA33" s="806">
        <v>36790.6881066667</v>
      </c>
      <c r="AB33" s="806">
        <f t="shared" si="14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484992.096774192</v>
      </c>
      <c r="D34" s="469">
        <v>12</v>
      </c>
      <c r="E34" s="470">
        <f t="shared" si="0"/>
        <v>5819905.1612903</v>
      </c>
      <c r="F34" s="470"/>
      <c r="G34" s="474">
        <v>341107.840000001</v>
      </c>
      <c r="H34" s="470"/>
      <c r="I34" s="470">
        <f t="shared" si="1"/>
        <v>5478797.3212903</v>
      </c>
      <c r="J34" s="470">
        <v>200000</v>
      </c>
      <c r="K34" s="470">
        <v>0.2</v>
      </c>
      <c r="L34" s="470">
        <f t="shared" si="2"/>
        <v>1095759.46425806</v>
      </c>
      <c r="M34" s="470">
        <f t="shared" si="3"/>
        <v>1295759.46425806</v>
      </c>
      <c r="N34" s="470">
        <f t="shared" si="4"/>
        <v>1636867.30425806</v>
      </c>
      <c r="O34" s="470">
        <f t="shared" si="5"/>
        <v>4183037.85703224</v>
      </c>
      <c r="P34" s="470">
        <f t="shared" si="15"/>
        <v>21000</v>
      </c>
      <c r="Q34" s="470">
        <f t="shared" si="6"/>
        <v>33000</v>
      </c>
      <c r="R34" s="470">
        <f t="shared" si="7"/>
        <v>75000</v>
      </c>
      <c r="S34" s="470">
        <f t="shared" si="8"/>
        <v>95000</v>
      </c>
      <c r="T34" s="470">
        <f t="shared" si="9"/>
        <v>336000</v>
      </c>
      <c r="U34" s="470">
        <f t="shared" si="10"/>
        <v>235929.085687738</v>
      </c>
      <c r="V34" s="470">
        <f t="shared" si="11"/>
        <v>795929.085687738</v>
      </c>
      <c r="W34" s="471">
        <v>12</v>
      </c>
      <c r="X34" s="470">
        <f t="shared" si="12"/>
        <v>66327.4238073115</v>
      </c>
      <c r="Y34" s="470"/>
      <c r="Z34" s="929">
        <f t="shared" si="13"/>
        <v>66327.4238073115</v>
      </c>
      <c r="AA34" s="806">
        <v>36790.6881066667</v>
      </c>
      <c r="AB34" s="806">
        <f t="shared" si="14"/>
        <v>29536.7357006448</v>
      </c>
      <c r="AC34" s="473"/>
      <c r="AD34" s="473"/>
      <c r="AE34" s="473"/>
    </row>
    <row r="35" ht="15.5" spans="1:31">
      <c r="A35" s="467">
        <v>33</v>
      </c>
      <c r="B35" s="351" t="s">
        <v>103</v>
      </c>
      <c r="C35" s="477">
        <v>351910.75</v>
      </c>
      <c r="D35" s="469">
        <v>12</v>
      </c>
      <c r="E35" s="470">
        <f t="shared" si="0"/>
        <v>4222929</v>
      </c>
      <c r="F35" s="470"/>
      <c r="G35" s="474">
        <v>289834.32</v>
      </c>
      <c r="H35" s="470"/>
      <c r="I35" s="470">
        <f t="shared" si="1"/>
        <v>3933094.68</v>
      </c>
      <c r="J35" s="470">
        <v>200000</v>
      </c>
      <c r="K35" s="470">
        <v>0.2</v>
      </c>
      <c r="L35" s="470">
        <f t="shared" si="2"/>
        <v>786618.936</v>
      </c>
      <c r="M35" s="470">
        <f t="shared" si="3"/>
        <v>986618.936</v>
      </c>
      <c r="N35" s="470">
        <f t="shared" si="4"/>
        <v>1276453.256</v>
      </c>
      <c r="O35" s="470">
        <f t="shared" si="5"/>
        <v>2946475.744</v>
      </c>
      <c r="P35" s="470">
        <f t="shared" si="15"/>
        <v>21000</v>
      </c>
      <c r="Q35" s="470">
        <f t="shared" si="6"/>
        <v>33000</v>
      </c>
      <c r="R35" s="470">
        <f t="shared" si="7"/>
        <v>75000</v>
      </c>
      <c r="S35" s="470">
        <f t="shared" si="8"/>
        <v>95000</v>
      </c>
      <c r="T35" s="470">
        <f t="shared" si="9"/>
        <v>282759.90624</v>
      </c>
      <c r="U35" s="470"/>
      <c r="V35" s="470">
        <f t="shared" si="11"/>
        <v>506759.90624</v>
      </c>
      <c r="W35" s="470">
        <v>12</v>
      </c>
      <c r="X35" s="470">
        <f t="shared" si="12"/>
        <v>42229.9921866667</v>
      </c>
      <c r="Y35" s="470"/>
      <c r="Z35" s="929">
        <f t="shared" si="13"/>
        <v>42229.9921866667</v>
      </c>
      <c r="AA35" s="470">
        <v>30259.1656266667</v>
      </c>
      <c r="AB35" s="806">
        <f t="shared" si="14"/>
        <v>11970.82656</v>
      </c>
      <c r="AC35" s="473"/>
      <c r="AD35" s="473"/>
      <c r="AE35" s="473"/>
    </row>
    <row r="36" ht="31" spans="1:31">
      <c r="A36" s="467">
        <v>34</v>
      </c>
      <c r="B36" s="351" t="s">
        <v>106</v>
      </c>
      <c r="C36" s="470">
        <v>344900.833333334</v>
      </c>
      <c r="D36" s="469">
        <v>12</v>
      </c>
      <c r="E36" s="470">
        <f t="shared" si="0"/>
        <v>4138810.00000001</v>
      </c>
      <c r="F36" s="470"/>
      <c r="G36" s="474">
        <v>283104.8</v>
      </c>
      <c r="H36" s="470"/>
      <c r="I36" s="470">
        <f t="shared" si="1"/>
        <v>3855705.20000001</v>
      </c>
      <c r="J36" s="470">
        <v>200000</v>
      </c>
      <c r="K36" s="470">
        <v>0.2</v>
      </c>
      <c r="L36" s="470">
        <f t="shared" si="2"/>
        <v>771141.040000002</v>
      </c>
      <c r="M36" s="470">
        <f t="shared" si="3"/>
        <v>971141.040000002</v>
      </c>
      <c r="N36" s="470">
        <f t="shared" si="4"/>
        <v>1254245.84</v>
      </c>
      <c r="O36" s="470">
        <f t="shared" si="5"/>
        <v>2884564.16000001</v>
      </c>
      <c r="P36" s="470">
        <f t="shared" si="15"/>
        <v>21000</v>
      </c>
      <c r="Q36" s="470">
        <f t="shared" si="6"/>
        <v>33000</v>
      </c>
      <c r="R36" s="470">
        <f t="shared" si="7"/>
        <v>75000</v>
      </c>
      <c r="S36" s="470">
        <f t="shared" si="8"/>
        <v>95000</v>
      </c>
      <c r="T36" s="470">
        <f t="shared" si="9"/>
        <v>269758.473600001</v>
      </c>
      <c r="U36" s="470"/>
      <c r="V36" s="470">
        <f t="shared" si="11"/>
        <v>493758.473600001</v>
      </c>
      <c r="W36" s="470">
        <v>12</v>
      </c>
      <c r="X36" s="470">
        <f t="shared" si="12"/>
        <v>41146.5394666667</v>
      </c>
      <c r="Y36" s="470"/>
      <c r="Z36" s="929">
        <f t="shared" si="13"/>
        <v>41146.5394666667</v>
      </c>
      <c r="AA36" s="806">
        <v>29305.1955466667</v>
      </c>
      <c r="AB36" s="806">
        <f t="shared" si="14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ref="E39:E42" si="16">C39*D39</f>
        <v>22165276.9999999</v>
      </c>
      <c r="F39" s="470"/>
      <c r="G39" s="470">
        <v>1677222.16</v>
      </c>
      <c r="H39" s="470"/>
      <c r="I39" s="470">
        <f t="shared" ref="I39:I42" si="17">E39-F39-G39-H39</f>
        <v>20488054.8399999</v>
      </c>
      <c r="J39" s="470">
        <v>200000</v>
      </c>
      <c r="K39" s="470">
        <v>0.2</v>
      </c>
      <c r="L39" s="470">
        <f t="shared" ref="L39:L42" si="18">I39*K39</f>
        <v>4097610.96799998</v>
      </c>
      <c r="M39" s="470">
        <f t="shared" ref="M39:M42" si="19">J39+L39</f>
        <v>4297610.96799998</v>
      </c>
      <c r="N39" s="470">
        <f t="shared" ref="N39:N42" si="20">F39+G39+H39+M39</f>
        <v>5974833.12799998</v>
      </c>
      <c r="O39" s="470">
        <f t="shared" ref="O39:O42" si="21">E39-N39</f>
        <v>16190443.8719999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 t="shared" ref="U39:U42" si="27">24%*(O39-3200000)</f>
        <v>3117706.52927998</v>
      </c>
      <c r="V39" s="470">
        <f t="shared" ref="V39:V42" si="28">P39+Q39+R39+S39+T39+U39</f>
        <v>3677706.52927998</v>
      </c>
      <c r="W39" s="471">
        <v>12</v>
      </c>
      <c r="X39" s="470">
        <f t="shared" ref="X39:X42" si="29">V39/W39</f>
        <v>306475.544106665</v>
      </c>
      <c r="Y39" s="470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6"/>
        <v>5293687.99999999</v>
      </c>
      <c r="F40" s="470"/>
      <c r="G40" s="470">
        <v>365895.04</v>
      </c>
      <c r="H40" s="470"/>
      <c r="I40" s="470">
        <f t="shared" si="17"/>
        <v>4927792.95999999</v>
      </c>
      <c r="J40" s="470">
        <v>200000</v>
      </c>
      <c r="K40" s="470">
        <v>0.2</v>
      </c>
      <c r="L40" s="470">
        <f t="shared" si="18"/>
        <v>985558.591999998</v>
      </c>
      <c r="M40" s="470">
        <f t="shared" si="19"/>
        <v>1185558.592</v>
      </c>
      <c r="N40" s="470">
        <f t="shared" si="20"/>
        <v>1551453.632</v>
      </c>
      <c r="O40" s="470">
        <f t="shared" si="21"/>
        <v>3742234.36799999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95000</v>
      </c>
      <c r="T40" s="470">
        <f t="shared" si="26"/>
        <v>336000</v>
      </c>
      <c r="U40" s="470">
        <f t="shared" si="27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655929.27222222</v>
      </c>
      <c r="D41" s="469">
        <v>12</v>
      </c>
      <c r="E41" s="470">
        <f t="shared" si="16"/>
        <v>7871151.26666664</v>
      </c>
      <c r="F41" s="470"/>
      <c r="G41" s="470">
        <v>374530.4</v>
      </c>
      <c r="H41" s="470"/>
      <c r="I41" s="470">
        <f t="shared" si="17"/>
        <v>7496620.86666664</v>
      </c>
      <c r="J41" s="470">
        <v>200000</v>
      </c>
      <c r="K41" s="470">
        <v>0.2</v>
      </c>
      <c r="L41" s="470">
        <f t="shared" si="18"/>
        <v>1499324.17333333</v>
      </c>
      <c r="M41" s="470">
        <f t="shared" si="19"/>
        <v>1699324.17333333</v>
      </c>
      <c r="N41" s="470">
        <f t="shared" si="20"/>
        <v>2073854.57333333</v>
      </c>
      <c r="O41" s="470">
        <f t="shared" si="21"/>
        <v>5797296.69333331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95000</v>
      </c>
      <c r="T41" s="470">
        <f t="shared" si="26"/>
        <v>336000</v>
      </c>
      <c r="U41" s="470">
        <f t="shared" si="27"/>
        <v>623351.206399995</v>
      </c>
      <c r="V41" s="470">
        <f t="shared" si="28"/>
        <v>1183351.20639999</v>
      </c>
      <c r="W41" s="471">
        <v>12</v>
      </c>
      <c r="X41" s="470">
        <f t="shared" si="29"/>
        <v>98612.6005333329</v>
      </c>
      <c r="Y41" s="470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6"/>
        <v>4784540</v>
      </c>
      <c r="F42" s="470"/>
      <c r="G42" s="474">
        <v>325163.200000001</v>
      </c>
      <c r="H42" s="470"/>
      <c r="I42" s="470">
        <f t="shared" si="17"/>
        <v>4459376.8</v>
      </c>
      <c r="J42" s="470">
        <v>200000</v>
      </c>
      <c r="K42" s="470">
        <v>0.2</v>
      </c>
      <c r="L42" s="470">
        <f t="shared" si="18"/>
        <v>891875.360000001</v>
      </c>
      <c r="M42" s="470">
        <f t="shared" si="19"/>
        <v>1091875.36</v>
      </c>
      <c r="N42" s="470">
        <f t="shared" si="20"/>
        <v>1417038.56</v>
      </c>
      <c r="O42" s="470">
        <f t="shared" si="21"/>
        <v>3367501.44</v>
      </c>
      <c r="P42" s="470">
        <f t="shared" si="22"/>
        <v>21000</v>
      </c>
      <c r="Q42" s="470">
        <f t="shared" si="23"/>
        <v>33000</v>
      </c>
      <c r="R42" s="470">
        <f t="shared" si="24"/>
        <v>75000</v>
      </c>
      <c r="S42" s="470">
        <f t="shared" si="25"/>
        <v>95000</v>
      </c>
      <c r="T42" s="470">
        <f t="shared" si="26"/>
        <v>336000</v>
      </c>
      <c r="U42" s="470">
        <f t="shared" si="27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1847612</v>
      </c>
      <c r="D45" s="469">
        <v>12</v>
      </c>
      <c r="E45" s="470">
        <f t="shared" ref="E45:E52" si="32">C45*D45</f>
        <v>22171344</v>
      </c>
      <c r="F45" s="470"/>
      <c r="G45" s="474">
        <v>869094.48</v>
      </c>
      <c r="H45" s="470"/>
      <c r="I45" s="470">
        <f t="shared" ref="I45:I52" si="33">E45-F45-G45-H45</f>
        <v>21302249.52</v>
      </c>
      <c r="J45" s="470">
        <v>200000</v>
      </c>
      <c r="K45" s="470">
        <v>0.2</v>
      </c>
      <c r="L45" s="470">
        <f t="shared" ref="L45:L52" si="34">I45*K45</f>
        <v>4260449.904</v>
      </c>
      <c r="M45" s="470">
        <f t="shared" ref="M45:M52" si="35">J45+L45</f>
        <v>4460449.904</v>
      </c>
      <c r="N45" s="470">
        <f t="shared" ref="N45:N52" si="36">F45+G45+H45+M45</f>
        <v>5329544.384</v>
      </c>
      <c r="O45" s="470">
        <f t="shared" ref="O45:O52" si="37">E45-N45</f>
        <v>16841799.616</v>
      </c>
      <c r="P45" s="470">
        <f t="shared" ref="P45:P52" si="38">IF(O45&lt;300000,0.07*O45,21000)</f>
        <v>21000</v>
      </c>
      <c r="Q45" s="470">
        <f t="shared" ref="Q45:Q52" si="39">IF((O45-300000)&lt;0,0,IF((O45-300000)&lt;300000,0.11*(O45-300000),33000))</f>
        <v>33000</v>
      </c>
      <c r="R45" s="470">
        <f t="shared" ref="R45:R52" si="40">IF((O45-600000)&lt;0,0,IF((O45-600000)&lt;500000,0.15*(O45-600000),75000))</f>
        <v>75000</v>
      </c>
      <c r="S45" s="470">
        <f t="shared" ref="S45:S52" si="41">IF((O45-1100000)&lt;0,0,IF((O45-1100000)&lt;500000,0.19*(O45-1100000),95000))</f>
        <v>95000</v>
      </c>
      <c r="T45" s="470">
        <f t="shared" ref="T45:T52" si="42">IF((O45-1600000)&lt;0,0,IF((O45-1600000)&lt;1600000,0.21*(O45-1600000),336000))</f>
        <v>336000</v>
      </c>
      <c r="U45" s="470">
        <f>0.24*(O45-3200000)</f>
        <v>3274031.90784</v>
      </c>
      <c r="V45" s="470">
        <f t="shared" ref="V45:V52" si="43">P45+Q45+R45+S45+T45+U45</f>
        <v>3834031.90784</v>
      </c>
      <c r="W45" s="471">
        <v>12</v>
      </c>
      <c r="X45" s="470">
        <f t="shared" ref="X45:X52" si="44">V45/W45</f>
        <v>319502.658986667</v>
      </c>
      <c r="Y45" s="470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2"/>
        <v>10853724</v>
      </c>
      <c r="F46" s="476"/>
      <c r="G46" s="474">
        <v>714697.92</v>
      </c>
      <c r="H46" s="476"/>
      <c r="I46" s="470">
        <f t="shared" si="33"/>
        <v>10139026.08</v>
      </c>
      <c r="J46" s="470">
        <v>200000</v>
      </c>
      <c r="K46" s="470">
        <v>0.2</v>
      </c>
      <c r="L46" s="470">
        <f t="shared" si="34"/>
        <v>2027805.216</v>
      </c>
      <c r="M46" s="470">
        <f t="shared" si="35"/>
        <v>2227805.216</v>
      </c>
      <c r="N46" s="470">
        <f t="shared" si="36"/>
        <v>2942503.136</v>
      </c>
      <c r="O46" s="470">
        <f t="shared" si="37"/>
        <v>7911220.864</v>
      </c>
      <c r="P46" s="470">
        <f t="shared" si="38"/>
        <v>21000</v>
      </c>
      <c r="Q46" s="470">
        <f t="shared" si="39"/>
        <v>33000</v>
      </c>
      <c r="R46" s="470">
        <f t="shared" si="40"/>
        <v>75000</v>
      </c>
      <c r="S46" s="470">
        <f t="shared" si="41"/>
        <v>95000</v>
      </c>
      <c r="T46" s="470">
        <f t="shared" si="42"/>
        <v>336000</v>
      </c>
      <c r="U46" s="470">
        <f t="shared" ref="U46:U52" si="47">24%*(O46-3200000)</f>
        <v>1130693.00736</v>
      </c>
      <c r="V46" s="470">
        <f t="shared" si="43"/>
        <v>1690693.00736</v>
      </c>
      <c r="W46" s="471">
        <v>12</v>
      </c>
      <c r="X46" s="470">
        <f t="shared" si="44"/>
        <v>140891.083946667</v>
      </c>
      <c r="Y46" s="476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968360</v>
      </c>
      <c r="D47" s="469">
        <v>12</v>
      </c>
      <c r="E47" s="470">
        <f t="shared" si="32"/>
        <v>11620320</v>
      </c>
      <c r="F47" s="476"/>
      <c r="G47" s="474"/>
      <c r="H47" s="476"/>
      <c r="I47" s="470">
        <f t="shared" si="33"/>
        <v>11620320</v>
      </c>
      <c r="J47" s="470">
        <v>200000</v>
      </c>
      <c r="K47" s="470">
        <v>0.2</v>
      </c>
      <c r="L47" s="470">
        <f t="shared" si="34"/>
        <v>2324064</v>
      </c>
      <c r="M47" s="470">
        <f t="shared" si="35"/>
        <v>2524064</v>
      </c>
      <c r="N47" s="470">
        <f t="shared" si="36"/>
        <v>2524064</v>
      </c>
      <c r="O47" s="470">
        <f t="shared" si="37"/>
        <v>9096256</v>
      </c>
      <c r="P47" s="470">
        <f t="shared" si="38"/>
        <v>21000</v>
      </c>
      <c r="Q47" s="470">
        <f t="shared" si="39"/>
        <v>33000</v>
      </c>
      <c r="R47" s="470">
        <f t="shared" si="40"/>
        <v>75000</v>
      </c>
      <c r="S47" s="470">
        <f t="shared" si="41"/>
        <v>95000</v>
      </c>
      <c r="T47" s="470">
        <f t="shared" si="42"/>
        <v>336000</v>
      </c>
      <c r="U47" s="470">
        <f t="shared" si="47"/>
        <v>1415101.44</v>
      </c>
      <c r="V47" s="470">
        <f t="shared" si="43"/>
        <v>1975101.44</v>
      </c>
      <c r="W47" s="471">
        <v>12</v>
      </c>
      <c r="X47" s="470">
        <f t="shared" si="44"/>
        <v>164591.786666667</v>
      </c>
      <c r="Y47" s="476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2"/>
        <v>10591146</v>
      </c>
      <c r="F48" s="476"/>
      <c r="G48" s="474">
        <v>693691.68</v>
      </c>
      <c r="H48" s="476"/>
      <c r="I48" s="470">
        <f t="shared" si="33"/>
        <v>9897454.32</v>
      </c>
      <c r="J48" s="470">
        <v>200000</v>
      </c>
      <c r="K48" s="470">
        <v>0.2</v>
      </c>
      <c r="L48" s="470">
        <f t="shared" si="34"/>
        <v>1979490.864</v>
      </c>
      <c r="M48" s="470">
        <f t="shared" si="35"/>
        <v>2179490.864</v>
      </c>
      <c r="N48" s="470">
        <f t="shared" si="36"/>
        <v>2873182.544</v>
      </c>
      <c r="O48" s="470">
        <f t="shared" si="37"/>
        <v>7717963.456</v>
      </c>
      <c r="P48" s="470">
        <f t="shared" si="38"/>
        <v>21000</v>
      </c>
      <c r="Q48" s="470">
        <f t="shared" si="39"/>
        <v>33000</v>
      </c>
      <c r="R48" s="470">
        <f t="shared" si="40"/>
        <v>75000</v>
      </c>
      <c r="S48" s="470">
        <f t="shared" si="41"/>
        <v>95000</v>
      </c>
      <c r="T48" s="470">
        <f t="shared" si="42"/>
        <v>336000</v>
      </c>
      <c r="U48" s="470">
        <f t="shared" si="47"/>
        <v>1084311.22944</v>
      </c>
      <c r="V48" s="470">
        <f t="shared" si="43"/>
        <v>1644311.22944</v>
      </c>
      <c r="W48" s="471">
        <v>12</v>
      </c>
      <c r="X48" s="470">
        <f t="shared" si="44"/>
        <v>137025.935786667</v>
      </c>
      <c r="Y48" s="476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2"/>
        <v>10328567</v>
      </c>
      <c r="F49" s="470"/>
      <c r="G49" s="474">
        <v>672685.36</v>
      </c>
      <c r="H49" s="476"/>
      <c r="I49" s="470">
        <f t="shared" si="33"/>
        <v>9655881.63999999</v>
      </c>
      <c r="J49" s="470">
        <v>200000</v>
      </c>
      <c r="K49" s="470">
        <v>0.2</v>
      </c>
      <c r="L49" s="470">
        <f t="shared" si="34"/>
        <v>1931176.328</v>
      </c>
      <c r="M49" s="470">
        <f t="shared" si="35"/>
        <v>2131176.328</v>
      </c>
      <c r="N49" s="470">
        <f t="shared" si="36"/>
        <v>2803861.688</v>
      </c>
      <c r="O49" s="470">
        <f t="shared" si="37"/>
        <v>7524705.31199999</v>
      </c>
      <c r="P49" s="470">
        <f t="shared" si="38"/>
        <v>21000</v>
      </c>
      <c r="Q49" s="470">
        <f t="shared" si="39"/>
        <v>33000</v>
      </c>
      <c r="R49" s="470">
        <f t="shared" si="40"/>
        <v>75000</v>
      </c>
      <c r="S49" s="470">
        <f t="shared" si="41"/>
        <v>95000</v>
      </c>
      <c r="T49" s="470">
        <f t="shared" si="42"/>
        <v>336000</v>
      </c>
      <c r="U49" s="470">
        <f t="shared" si="47"/>
        <v>1037929.27488</v>
      </c>
      <c r="V49" s="470">
        <f t="shared" si="43"/>
        <v>1597929.27488</v>
      </c>
      <c r="W49" s="471">
        <v>12</v>
      </c>
      <c r="X49" s="470">
        <f t="shared" si="44"/>
        <v>133160.772906667</v>
      </c>
      <c r="Y49" s="476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2"/>
        <v>5881630.00000001</v>
      </c>
      <c r="F50" s="470"/>
      <c r="G50" s="474">
        <v>374530.4</v>
      </c>
      <c r="H50" s="476"/>
      <c r="I50" s="470">
        <f t="shared" si="33"/>
        <v>5507099.60000001</v>
      </c>
      <c r="J50" s="470">
        <v>200000</v>
      </c>
      <c r="K50" s="470">
        <v>0.2</v>
      </c>
      <c r="L50" s="470">
        <f t="shared" si="34"/>
        <v>1101419.92</v>
      </c>
      <c r="M50" s="470">
        <f t="shared" si="35"/>
        <v>1301419.92</v>
      </c>
      <c r="N50" s="470">
        <f t="shared" si="36"/>
        <v>1675950.32</v>
      </c>
      <c r="O50" s="470">
        <f t="shared" si="37"/>
        <v>4205679.68000001</v>
      </c>
      <c r="P50" s="470">
        <f t="shared" si="38"/>
        <v>21000</v>
      </c>
      <c r="Q50" s="470">
        <f t="shared" si="39"/>
        <v>33000</v>
      </c>
      <c r="R50" s="470">
        <f t="shared" si="40"/>
        <v>75000</v>
      </c>
      <c r="S50" s="470">
        <f t="shared" si="41"/>
        <v>95000</v>
      </c>
      <c r="T50" s="470">
        <f t="shared" si="42"/>
        <v>336000</v>
      </c>
      <c r="U50" s="470">
        <f t="shared" si="47"/>
        <v>241363.123200002</v>
      </c>
      <c r="V50" s="470">
        <f t="shared" si="43"/>
        <v>801363.123200002</v>
      </c>
      <c r="W50" s="471">
        <v>12</v>
      </c>
      <c r="X50" s="470">
        <f t="shared" si="44"/>
        <v>66780.2602666668</v>
      </c>
      <c r="Y50" s="476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2"/>
        <v>5364193.99999999</v>
      </c>
      <c r="F51" s="470"/>
      <c r="G51" s="474">
        <v>333135.52</v>
      </c>
      <c r="H51" s="476"/>
      <c r="I51" s="470">
        <f t="shared" si="33"/>
        <v>5031058.47999999</v>
      </c>
      <c r="J51" s="470">
        <v>200000</v>
      </c>
      <c r="K51" s="470">
        <v>0.2</v>
      </c>
      <c r="L51" s="470">
        <f t="shared" si="34"/>
        <v>1006211.696</v>
      </c>
      <c r="M51" s="470">
        <f t="shared" si="35"/>
        <v>1206211.696</v>
      </c>
      <c r="N51" s="470">
        <f t="shared" si="36"/>
        <v>1539347.216</v>
      </c>
      <c r="O51" s="470">
        <f t="shared" si="37"/>
        <v>3824846.78399999</v>
      </c>
      <c r="P51" s="470">
        <f t="shared" si="38"/>
        <v>21000</v>
      </c>
      <c r="Q51" s="470">
        <f t="shared" si="39"/>
        <v>33000</v>
      </c>
      <c r="R51" s="470">
        <f t="shared" si="40"/>
        <v>75000</v>
      </c>
      <c r="S51" s="470">
        <f t="shared" si="41"/>
        <v>95000</v>
      </c>
      <c r="T51" s="470">
        <f t="shared" si="42"/>
        <v>336000</v>
      </c>
      <c r="U51" s="470">
        <f t="shared" si="47"/>
        <v>149963.228159998</v>
      </c>
      <c r="V51" s="470">
        <f t="shared" si="43"/>
        <v>709963.228159998</v>
      </c>
      <c r="W51" s="471">
        <v>12</v>
      </c>
      <c r="X51" s="470">
        <f t="shared" si="44"/>
        <v>59163.6023466665</v>
      </c>
      <c r="Y51" s="476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2"/>
        <v>5364193.99999999</v>
      </c>
      <c r="F52" s="470"/>
      <c r="G52" s="474">
        <v>333135.52</v>
      </c>
      <c r="H52" s="476"/>
      <c r="I52" s="470">
        <f t="shared" si="33"/>
        <v>5031058.47999999</v>
      </c>
      <c r="J52" s="470">
        <v>200000</v>
      </c>
      <c r="K52" s="470">
        <v>0.2</v>
      </c>
      <c r="L52" s="470">
        <f t="shared" si="34"/>
        <v>1006211.696</v>
      </c>
      <c r="M52" s="470">
        <f t="shared" si="35"/>
        <v>1206211.696</v>
      </c>
      <c r="N52" s="470">
        <f t="shared" si="36"/>
        <v>1539347.216</v>
      </c>
      <c r="O52" s="470">
        <f t="shared" si="37"/>
        <v>3824846.78399999</v>
      </c>
      <c r="P52" s="470">
        <f t="shared" si="38"/>
        <v>21000</v>
      </c>
      <c r="Q52" s="470">
        <f t="shared" si="39"/>
        <v>33000</v>
      </c>
      <c r="R52" s="470">
        <f t="shared" si="40"/>
        <v>75000</v>
      </c>
      <c r="S52" s="470">
        <f t="shared" si="41"/>
        <v>95000</v>
      </c>
      <c r="T52" s="470">
        <f t="shared" si="42"/>
        <v>336000</v>
      </c>
      <c r="U52" s="470">
        <f t="shared" si="47"/>
        <v>149963.228159998</v>
      </c>
      <c r="V52" s="470">
        <f t="shared" si="43"/>
        <v>709963.228159998</v>
      </c>
      <c r="W52" s="471">
        <v>12</v>
      </c>
      <c r="X52" s="470">
        <f t="shared" si="44"/>
        <v>59163.6023466665</v>
      </c>
      <c r="Y52" s="476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5" si="48">C55*D55</f>
        <v>23365276.9999999</v>
      </c>
      <c r="F55" s="470"/>
      <c r="G55" s="474">
        <v>1677222.16</v>
      </c>
      <c r="H55" s="476"/>
      <c r="I55" s="470">
        <f t="shared" ref="I55:I65" si="49">E55-F55-G55-H55</f>
        <v>21688054.8399999</v>
      </c>
      <c r="J55" s="470">
        <v>200000</v>
      </c>
      <c r="K55" s="470">
        <v>0.2</v>
      </c>
      <c r="L55" s="470">
        <f t="shared" ref="L55:L65" si="50">I55*K55</f>
        <v>4337610.96799998</v>
      </c>
      <c r="M55" s="470">
        <f t="shared" ref="M55:M65" si="51">J55+L55</f>
        <v>4537610.96799998</v>
      </c>
      <c r="N55" s="470">
        <f t="shared" ref="N55:N65" si="52">F55+G55+H55+M55</f>
        <v>6214833.12799998</v>
      </c>
      <c r="O55" s="470">
        <f t="shared" ref="O55:O65" si="53">E55-N55</f>
        <v>17150443.8719999</v>
      </c>
      <c r="P55" s="470">
        <f t="shared" ref="P55:P65" si="54">IF(O55&lt;300000,0.07*O55,21000)</f>
        <v>21000</v>
      </c>
      <c r="Q55" s="470">
        <f t="shared" ref="Q55:Q65" si="55">IF((O55-300000)&lt;0,0,IF((O55-300000)&lt;300000,0.11*(O55-300000),33000))</f>
        <v>33000</v>
      </c>
      <c r="R55" s="470">
        <f t="shared" ref="R55:R65" si="56">IF((O55-600000)&lt;0,0,IF((O55-600000)&lt;500000,0.15*(O55-600000),75000))</f>
        <v>75000</v>
      </c>
      <c r="S55" s="470">
        <f t="shared" ref="S55:S65" si="57">IF((O55-1100000)&lt;0,0,IF((O55-1100000)&lt;500000,0.19*(O55-1100000),95000))</f>
        <v>95000</v>
      </c>
      <c r="T55" s="470">
        <f t="shared" ref="T55:T65" si="58">IF((O55-1600000)&lt;0,0,IF((O55-1600000)&lt;1600000,0.21*(O55-1600000),336000))</f>
        <v>336000</v>
      </c>
      <c r="U55" s="470">
        <f t="shared" ref="U55:U65" si="59">24%*(O55-3200000)</f>
        <v>3348106.52927998</v>
      </c>
      <c r="V55" s="470">
        <f t="shared" ref="V55:V65" si="60">P55+Q55+R55+S55+T55+U55</f>
        <v>3908106.52927998</v>
      </c>
      <c r="W55" s="471">
        <v>12</v>
      </c>
      <c r="X55" s="470">
        <f t="shared" ref="X55:X65" si="61">V55/W55</f>
        <v>325675.544106665</v>
      </c>
      <c r="Y55" s="476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431205.688320001</v>
      </c>
      <c r="V61" s="470">
        <f t="shared" si="60"/>
        <v>991205.688320001</v>
      </c>
      <c r="W61" s="471">
        <v>12</v>
      </c>
      <c r="X61" s="470">
        <f t="shared" si="61"/>
        <v>82600.4740266667</v>
      </c>
      <c r="Y61" s="476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3"/>
      <c r="AD61" s="473"/>
      <c r="AE61" s="473"/>
    </row>
    <row r="62" ht="15.5" spans="1:31">
      <c r="A62" s="467">
        <v>53</v>
      </c>
      <c r="B62" s="351" t="s">
        <v>172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431205.688320001</v>
      </c>
      <c r="V62" s="470">
        <f t="shared" si="60"/>
        <v>991205.688320001</v>
      </c>
      <c r="W62" s="471">
        <v>12</v>
      </c>
      <c r="X62" s="470">
        <f t="shared" si="61"/>
        <v>82600.4740266667</v>
      </c>
      <c r="Y62" s="476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3"/>
      <c r="AD62" s="473"/>
      <c r="AE62" s="473"/>
    </row>
    <row r="63" ht="15.5" spans="1:31">
      <c r="A63" s="467">
        <v>54</v>
      </c>
      <c r="B63" s="643" t="s">
        <v>174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431205.688320001</v>
      </c>
      <c r="V63" s="470">
        <f t="shared" si="60"/>
        <v>991205.688320001</v>
      </c>
      <c r="W63" s="471">
        <v>12</v>
      </c>
      <c r="X63" s="470">
        <f t="shared" si="61"/>
        <v>82600.4740266667</v>
      </c>
      <c r="Y63" s="476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3"/>
      <c r="AD63" s="473"/>
      <c r="AE63" s="473"/>
    </row>
    <row r="64" ht="15.5" spans="1:31">
      <c r="A64" s="467">
        <v>55</v>
      </c>
      <c r="B64" s="651" t="s">
        <v>175</v>
      </c>
      <c r="C64" s="470">
        <v>620586.309139783</v>
      </c>
      <c r="D64" s="469">
        <v>12</v>
      </c>
      <c r="E64" s="470">
        <f t="shared" si="48"/>
        <v>7447035.7096774</v>
      </c>
      <c r="F64" s="470"/>
      <c r="G64" s="474">
        <v>463356.160000001</v>
      </c>
      <c r="H64" s="476"/>
      <c r="I64" s="470">
        <f t="shared" si="49"/>
        <v>6983679.5496774</v>
      </c>
      <c r="J64" s="470">
        <v>200000</v>
      </c>
      <c r="K64" s="470">
        <v>0.2</v>
      </c>
      <c r="L64" s="470">
        <f t="shared" si="50"/>
        <v>1396735.90993548</v>
      </c>
      <c r="M64" s="470">
        <f t="shared" si="51"/>
        <v>1596735.90993548</v>
      </c>
      <c r="N64" s="470">
        <f t="shared" si="52"/>
        <v>2060092.06993548</v>
      </c>
      <c r="O64" s="470">
        <f t="shared" si="53"/>
        <v>5386943.63974192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524866.47353806</v>
      </c>
      <c r="V64" s="470">
        <f t="shared" si="60"/>
        <v>1084866.47353806</v>
      </c>
      <c r="W64" s="471">
        <v>12</v>
      </c>
      <c r="X64" s="470">
        <f t="shared" si="61"/>
        <v>90405.539461505</v>
      </c>
      <c r="Y64" s="476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3"/>
      <c r="AD64" s="473"/>
      <c r="AE64" s="473"/>
    </row>
    <row r="65" ht="15.5" spans="1:31">
      <c r="A65" s="467">
        <v>56</v>
      </c>
      <c r="B65" s="651" t="s">
        <v>179</v>
      </c>
      <c r="C65" s="470">
        <v>490135.833333334</v>
      </c>
      <c r="D65" s="469">
        <v>12</v>
      </c>
      <c r="E65" s="470">
        <f t="shared" si="48"/>
        <v>5881630.00000001</v>
      </c>
      <c r="F65" s="470">
        <f>6154.27916666668*12</f>
        <v>73851.3500000002</v>
      </c>
      <c r="G65" s="474">
        <v>374530.4</v>
      </c>
      <c r="H65" s="476"/>
      <c r="I65" s="470">
        <f t="shared" si="49"/>
        <v>5433248.25000001</v>
      </c>
      <c r="J65" s="470">
        <v>200000</v>
      </c>
      <c r="K65" s="470">
        <v>0.2</v>
      </c>
      <c r="L65" s="470">
        <f t="shared" si="50"/>
        <v>1086649.65</v>
      </c>
      <c r="M65" s="470">
        <f t="shared" si="51"/>
        <v>1286649.65</v>
      </c>
      <c r="N65" s="470">
        <f t="shared" si="52"/>
        <v>1735031.4</v>
      </c>
      <c r="O65" s="470">
        <f t="shared" si="53"/>
        <v>4146598.60000001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227183.664000002</v>
      </c>
      <c r="V65" s="470">
        <f t="shared" si="60"/>
        <v>787183.664000002</v>
      </c>
      <c r="W65" s="471">
        <v>12</v>
      </c>
      <c r="X65" s="470">
        <f t="shared" si="61"/>
        <v>65598.6386666668</v>
      </c>
      <c r="Y65" s="476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183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184</v>
      </c>
      <c r="C68" s="470">
        <v>1947106.41666666</v>
      </c>
      <c r="D68" s="469">
        <v>12</v>
      </c>
      <c r="E68" s="470">
        <f t="shared" ref="E68:E73" si="64">C68*D68</f>
        <v>23365276.9999999</v>
      </c>
      <c r="F68" s="470"/>
      <c r="G68" s="474">
        <v>1677222.16</v>
      </c>
      <c r="H68" s="476"/>
      <c r="I68" s="470">
        <f t="shared" ref="I68:I73" si="65">E68-F68-G68-H68</f>
        <v>21688054.8399999</v>
      </c>
      <c r="J68" s="470">
        <v>200000</v>
      </c>
      <c r="K68" s="470">
        <v>0.2</v>
      </c>
      <c r="L68" s="470">
        <f t="shared" ref="L68:L73" si="66">I68*K68</f>
        <v>4337610.96799998</v>
      </c>
      <c r="M68" s="470">
        <f t="shared" ref="M68:M73" si="67">J68+L68</f>
        <v>4537610.96799998</v>
      </c>
      <c r="N68" s="470">
        <f t="shared" ref="N68:N73" si="68">F68+G68+H68+M68</f>
        <v>6214833.12799998</v>
      </c>
      <c r="O68" s="470">
        <f t="shared" ref="O68:O73" si="69">E68-N68</f>
        <v>17150443.8719999</v>
      </c>
      <c r="P68" s="470">
        <f t="shared" ref="P68:P73" si="70">IF(O68&lt;300000,0.07*O68,21000)</f>
        <v>21000</v>
      </c>
      <c r="Q68" s="470">
        <f t="shared" ref="Q68:Q73" si="71">IF((O68-300000)&lt;0,0,IF((O68-300000)&lt;300000,0.11*(O68-300000),33000))</f>
        <v>33000</v>
      </c>
      <c r="R68" s="470">
        <f t="shared" ref="R68:R73" si="72">IF((O68-600000)&lt;0,0,IF((O68-600000)&lt;500000,0.15*(O68-600000),75000))</f>
        <v>75000</v>
      </c>
      <c r="S68" s="470">
        <f t="shared" ref="S68:S73" si="73">IF((O68-1100000)&lt;0,0,IF((O68-1100000)&lt;500000,0.19*(O68-1100000),95000))</f>
        <v>95000</v>
      </c>
      <c r="T68" s="470">
        <f t="shared" ref="T68:T73" si="74">IF((O68-1600000)&lt;0,0,IF((O68-1600000)&lt;1600000,0.21*(O68-1600000),336000))</f>
        <v>336000</v>
      </c>
      <c r="U68" s="470">
        <f t="shared" ref="U68:U71" si="75">24%*(O68-3200000)</f>
        <v>3348106.52927998</v>
      </c>
      <c r="V68" s="470">
        <f t="shared" ref="V68:V73" si="76">P68+Q68+R68+S68+T68+U68</f>
        <v>3908106.52927998</v>
      </c>
      <c r="W68" s="471">
        <v>12</v>
      </c>
      <c r="X68" s="470">
        <f t="shared" ref="X68:X73" si="77">V68/W68</f>
        <v>325675.544106665</v>
      </c>
      <c r="Y68" s="476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188</v>
      </c>
      <c r="C69" s="470">
        <v>882595.5</v>
      </c>
      <c r="D69" s="469">
        <v>12</v>
      </c>
      <c r="E69" s="470">
        <f t="shared" si="64"/>
        <v>10591146</v>
      </c>
      <c r="F69" s="470"/>
      <c r="G69" s="474">
        <v>693691.68</v>
      </c>
      <c r="H69" s="476"/>
      <c r="I69" s="470">
        <f t="shared" si="65"/>
        <v>9897454.32</v>
      </c>
      <c r="J69" s="470">
        <v>200000</v>
      </c>
      <c r="K69" s="470">
        <v>0.2</v>
      </c>
      <c r="L69" s="470">
        <f t="shared" si="66"/>
        <v>1979490.864</v>
      </c>
      <c r="M69" s="470">
        <f t="shared" si="67"/>
        <v>2179490.864</v>
      </c>
      <c r="N69" s="470">
        <f t="shared" si="68"/>
        <v>2873182.544</v>
      </c>
      <c r="O69" s="470">
        <f t="shared" si="69"/>
        <v>7717963.456</v>
      </c>
      <c r="P69" s="470">
        <f t="shared" si="70"/>
        <v>21000</v>
      </c>
      <c r="Q69" s="470">
        <f t="shared" si="71"/>
        <v>33000</v>
      </c>
      <c r="R69" s="470">
        <f t="shared" si="72"/>
        <v>75000</v>
      </c>
      <c r="S69" s="470">
        <f t="shared" si="73"/>
        <v>95000</v>
      </c>
      <c r="T69" s="470">
        <f t="shared" si="74"/>
        <v>336000</v>
      </c>
      <c r="U69" s="470">
        <f t="shared" si="75"/>
        <v>1084311.22944</v>
      </c>
      <c r="V69" s="470">
        <f t="shared" si="76"/>
        <v>1644311.22944</v>
      </c>
      <c r="W69" s="471">
        <v>12</v>
      </c>
      <c r="X69" s="470">
        <f t="shared" si="77"/>
        <v>137025.935786667</v>
      </c>
      <c r="Y69" s="476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190</v>
      </c>
      <c r="C70" s="470">
        <v>713911.083333334</v>
      </c>
      <c r="D70" s="469">
        <v>12</v>
      </c>
      <c r="E70" s="470">
        <f t="shared" si="64"/>
        <v>8566933.00000001</v>
      </c>
      <c r="F70" s="470">
        <v>107120</v>
      </c>
      <c r="G70" s="474">
        <v>550954.64</v>
      </c>
      <c r="H70" s="476"/>
      <c r="I70" s="470">
        <f t="shared" si="65"/>
        <v>7908858.36000001</v>
      </c>
      <c r="J70" s="470">
        <v>200000</v>
      </c>
      <c r="K70" s="470">
        <v>0.2</v>
      </c>
      <c r="L70" s="470">
        <f t="shared" si="66"/>
        <v>1581771.672</v>
      </c>
      <c r="M70" s="470">
        <f t="shared" si="67"/>
        <v>1781771.672</v>
      </c>
      <c r="N70" s="470">
        <f t="shared" si="68"/>
        <v>2439846.312</v>
      </c>
      <c r="O70" s="470">
        <f t="shared" si="69"/>
        <v>6127086.68800001</v>
      </c>
      <c r="P70" s="470">
        <f t="shared" si="70"/>
        <v>21000</v>
      </c>
      <c r="Q70" s="470">
        <f t="shared" si="71"/>
        <v>33000</v>
      </c>
      <c r="R70" s="470">
        <f t="shared" si="72"/>
        <v>75000</v>
      </c>
      <c r="S70" s="470">
        <f t="shared" si="73"/>
        <v>95000</v>
      </c>
      <c r="T70" s="470">
        <f t="shared" si="74"/>
        <v>336000</v>
      </c>
      <c r="U70" s="470">
        <f t="shared" si="75"/>
        <v>702500.805120001</v>
      </c>
      <c r="V70" s="470">
        <f t="shared" si="76"/>
        <v>1262500.80512</v>
      </c>
      <c r="W70" s="471">
        <v>12</v>
      </c>
      <c r="X70" s="470">
        <f t="shared" si="77"/>
        <v>105208.400426667</v>
      </c>
      <c r="Y70" s="476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197</v>
      </c>
      <c r="C71" s="470">
        <v>564993.583333333</v>
      </c>
      <c r="D71" s="469">
        <v>12</v>
      </c>
      <c r="E71" s="470">
        <f t="shared" si="64"/>
        <v>6779923</v>
      </c>
      <c r="F71" s="470"/>
      <c r="G71" s="474">
        <v>436793.839999999</v>
      </c>
      <c r="H71" s="476"/>
      <c r="I71" s="470">
        <f t="shared" si="65"/>
        <v>6343129.16</v>
      </c>
      <c r="J71" s="470">
        <v>200000</v>
      </c>
      <c r="K71" s="470">
        <v>0.2</v>
      </c>
      <c r="L71" s="470">
        <f t="shared" si="66"/>
        <v>1268625.832</v>
      </c>
      <c r="M71" s="470">
        <f t="shared" si="67"/>
        <v>1468625.832</v>
      </c>
      <c r="N71" s="470">
        <f t="shared" si="68"/>
        <v>1905419.672</v>
      </c>
      <c r="O71" s="470">
        <f t="shared" si="69"/>
        <v>4874503.328</v>
      </c>
      <c r="P71" s="470">
        <f t="shared" si="70"/>
        <v>21000</v>
      </c>
      <c r="Q71" s="470">
        <f t="shared" si="71"/>
        <v>33000</v>
      </c>
      <c r="R71" s="470">
        <f t="shared" si="72"/>
        <v>75000</v>
      </c>
      <c r="S71" s="470">
        <f t="shared" si="73"/>
        <v>95000</v>
      </c>
      <c r="T71" s="470">
        <f t="shared" si="74"/>
        <v>336000</v>
      </c>
      <c r="U71" s="470">
        <f t="shared" si="75"/>
        <v>401880.798719999</v>
      </c>
      <c r="V71" s="470">
        <f t="shared" si="76"/>
        <v>961880.798719999</v>
      </c>
      <c r="W71" s="471">
        <v>12</v>
      </c>
      <c r="X71" s="470">
        <f t="shared" si="77"/>
        <v>80156.7332266666</v>
      </c>
      <c r="Y71" s="476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201</v>
      </c>
      <c r="C72" s="470">
        <v>447016.166666666</v>
      </c>
      <c r="D72" s="469">
        <v>12</v>
      </c>
      <c r="E72" s="470">
        <f t="shared" si="64"/>
        <v>5364193.99999999</v>
      </c>
      <c r="F72" s="470"/>
      <c r="G72" s="474">
        <v>333135.52</v>
      </c>
      <c r="H72" s="476"/>
      <c r="I72" s="470">
        <f t="shared" si="65"/>
        <v>5031058.47999999</v>
      </c>
      <c r="J72" s="470">
        <v>200000</v>
      </c>
      <c r="K72" s="470">
        <v>0.2</v>
      </c>
      <c r="L72" s="470">
        <f t="shared" si="66"/>
        <v>1006211.696</v>
      </c>
      <c r="M72" s="470">
        <f t="shared" si="67"/>
        <v>1206211.696</v>
      </c>
      <c r="N72" s="470">
        <f t="shared" si="68"/>
        <v>1539347.216</v>
      </c>
      <c r="O72" s="470">
        <f t="shared" si="69"/>
        <v>3824846.78399999</v>
      </c>
      <c r="P72" s="470">
        <f t="shared" si="70"/>
        <v>21000</v>
      </c>
      <c r="Q72" s="470">
        <f t="shared" si="71"/>
        <v>33000</v>
      </c>
      <c r="R72" s="470">
        <f t="shared" si="72"/>
        <v>75000</v>
      </c>
      <c r="S72" s="470">
        <f t="shared" si="73"/>
        <v>95000</v>
      </c>
      <c r="T72" s="470">
        <f t="shared" si="74"/>
        <v>336000</v>
      </c>
      <c r="U72" s="470">
        <f>0.24*(O72-3200000)</f>
        <v>149963.228159998</v>
      </c>
      <c r="V72" s="470">
        <f t="shared" si="76"/>
        <v>709963.228159998</v>
      </c>
      <c r="W72" s="471">
        <v>12</v>
      </c>
      <c r="X72" s="470">
        <f t="shared" si="77"/>
        <v>59163.6023466665</v>
      </c>
      <c r="Y72" s="476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3"/>
      <c r="AD72" s="473"/>
      <c r="AE72" s="473"/>
    </row>
    <row r="73" ht="24.75" customHeight="1" spans="1:31">
      <c r="A73" s="467"/>
      <c r="B73" s="651" t="s">
        <v>203</v>
      </c>
      <c r="C73" s="470">
        <v>401910.75</v>
      </c>
      <c r="D73" s="469">
        <v>12</v>
      </c>
      <c r="E73" s="470">
        <f t="shared" si="64"/>
        <v>4822929</v>
      </c>
      <c r="F73" s="470"/>
      <c r="G73" s="474">
        <v>289834.32</v>
      </c>
      <c r="H73" s="476"/>
      <c r="I73" s="470">
        <f t="shared" si="65"/>
        <v>4533094.68</v>
      </c>
      <c r="J73" s="470">
        <v>200000</v>
      </c>
      <c r="K73" s="470">
        <v>0.2</v>
      </c>
      <c r="L73" s="470">
        <f t="shared" si="66"/>
        <v>906618.936</v>
      </c>
      <c r="M73" s="470">
        <f t="shared" si="67"/>
        <v>1106618.936</v>
      </c>
      <c r="N73" s="470">
        <f t="shared" si="68"/>
        <v>1396453.256</v>
      </c>
      <c r="O73" s="470">
        <f t="shared" si="69"/>
        <v>3426475.744</v>
      </c>
      <c r="P73" s="470">
        <f t="shared" si="70"/>
        <v>21000</v>
      </c>
      <c r="Q73" s="470">
        <f t="shared" si="71"/>
        <v>33000</v>
      </c>
      <c r="R73" s="470">
        <f t="shared" si="72"/>
        <v>75000</v>
      </c>
      <c r="S73" s="470">
        <f t="shared" si="73"/>
        <v>95000</v>
      </c>
      <c r="T73" s="470">
        <f t="shared" si="74"/>
        <v>336000</v>
      </c>
      <c r="U73" s="470">
        <f>0.24*(O73-3200000)</f>
        <v>54354.17856</v>
      </c>
      <c r="V73" s="470">
        <f t="shared" si="76"/>
        <v>614354.17856</v>
      </c>
      <c r="W73" s="471">
        <v>12</v>
      </c>
      <c r="X73" s="470">
        <f t="shared" si="77"/>
        <v>51196.1815466667</v>
      </c>
      <c r="Y73" s="476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205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206</v>
      </c>
      <c r="C76" s="470">
        <v>1847612</v>
      </c>
      <c r="D76" s="469">
        <v>12</v>
      </c>
      <c r="E76" s="470">
        <f t="shared" ref="E76:E85" si="80">C76*D76</f>
        <v>22171344</v>
      </c>
      <c r="F76" s="470">
        <v>307730.499999999</v>
      </c>
      <c r="G76" s="474">
        <v>1581707.52</v>
      </c>
      <c r="H76" s="476"/>
      <c r="I76" s="470">
        <f t="shared" ref="I76:I85" si="81">E76-F76-G76-H76</f>
        <v>20281905.98</v>
      </c>
      <c r="J76" s="470">
        <v>200000</v>
      </c>
      <c r="K76" s="470">
        <v>0.2</v>
      </c>
      <c r="L76" s="470">
        <f t="shared" ref="L76:L85" si="82">I76*K76</f>
        <v>4056381.196</v>
      </c>
      <c r="M76" s="470">
        <f t="shared" ref="M76:M85" si="83">J76+L76</f>
        <v>4256381.196</v>
      </c>
      <c r="N76" s="470">
        <f t="shared" ref="N76:N85" si="84">F76+G76+H76+M76</f>
        <v>6145819.216</v>
      </c>
      <c r="O76" s="470">
        <f t="shared" ref="O76:O85" si="85">E76-N76</f>
        <v>16025524.784</v>
      </c>
      <c r="P76" s="470">
        <f t="shared" ref="P76:P85" si="86">IF(O76&lt;300000,0.07*O76,21000)</f>
        <v>21000</v>
      </c>
      <c r="Q76" s="470">
        <f t="shared" ref="Q76:Q85" si="87">IF((O76-300000)&lt;0,0,IF((O76-300000)&lt;300000,0.11*(O76-300000),33000))</f>
        <v>33000</v>
      </c>
      <c r="R76" s="470">
        <f t="shared" ref="R76:R85" si="88">IF((O76-600000)&lt;0,0,IF((O76-600000)&lt;500000,0.15*(O76-600000),75000))</f>
        <v>75000</v>
      </c>
      <c r="S76" s="470">
        <f t="shared" ref="S76:S85" si="89">IF((O76-1100000)&lt;0,0,IF((O76-1100000)&lt;500000,0.19*(O76-1100000),95000))</f>
        <v>95000</v>
      </c>
      <c r="T76" s="470">
        <f t="shared" ref="T76:T85" si="90">IF((O76-1600000)&lt;0,0,IF((O76-1600000)&lt;1600000,0.21*(O76-1600000),336000))</f>
        <v>336000</v>
      </c>
      <c r="U76" s="470">
        <f t="shared" ref="U76:U85" si="91">24%*(O76-3200000)</f>
        <v>3078125.94816</v>
      </c>
      <c r="V76" s="470">
        <f t="shared" ref="V76:V85" si="92">P76+Q76+R76+S76+T76+U76</f>
        <v>3638125.94816</v>
      </c>
      <c r="W76" s="471">
        <v>12</v>
      </c>
      <c r="X76" s="470">
        <f t="shared" ref="X76:X85" si="93">V76/W76</f>
        <v>303177.162346667</v>
      </c>
      <c r="Y76" s="476"/>
      <c r="Z76" s="929">
        <f t="shared" ref="Z76:Z85" si="94">X76</f>
        <v>303177.162346667</v>
      </c>
      <c r="AA76" s="470">
        <v>251101.24</v>
      </c>
      <c r="AB76" s="806">
        <f t="shared" ref="AB76:AB85" si="95">Z76-AA76</f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208</v>
      </c>
      <c r="C77" s="470">
        <v>1232711.08333333</v>
      </c>
      <c r="D77" s="469">
        <v>12</v>
      </c>
      <c r="E77" s="470">
        <f t="shared" si="80"/>
        <v>14792533</v>
      </c>
      <c r="F77" s="470"/>
      <c r="G77" s="474">
        <v>818602.639999999</v>
      </c>
      <c r="H77" s="476"/>
      <c r="I77" s="470">
        <f t="shared" si="81"/>
        <v>13973930.36</v>
      </c>
      <c r="J77" s="470">
        <v>200000</v>
      </c>
      <c r="K77" s="470">
        <v>0.2</v>
      </c>
      <c r="L77" s="470">
        <f t="shared" si="82"/>
        <v>2794786.07199999</v>
      </c>
      <c r="M77" s="470">
        <f t="shared" si="83"/>
        <v>2994786.07199999</v>
      </c>
      <c r="N77" s="470">
        <f t="shared" si="84"/>
        <v>3813388.71199999</v>
      </c>
      <c r="O77" s="470">
        <f t="shared" si="85"/>
        <v>10979144.288</v>
      </c>
      <c r="P77" s="470">
        <f t="shared" si="86"/>
        <v>21000</v>
      </c>
      <c r="Q77" s="470">
        <f t="shared" si="87"/>
        <v>33000</v>
      </c>
      <c r="R77" s="470">
        <f t="shared" si="88"/>
        <v>75000</v>
      </c>
      <c r="S77" s="470">
        <f t="shared" si="89"/>
        <v>95000</v>
      </c>
      <c r="T77" s="470">
        <f t="shared" si="90"/>
        <v>336000</v>
      </c>
      <c r="U77" s="470">
        <f t="shared" si="91"/>
        <v>1866994.62911999</v>
      </c>
      <c r="V77" s="470">
        <f t="shared" si="92"/>
        <v>2426994.62911999</v>
      </c>
      <c r="W77" s="471">
        <v>12</v>
      </c>
      <c r="X77" s="470">
        <f t="shared" si="93"/>
        <v>202249.552426666</v>
      </c>
      <c r="Y77" s="476"/>
      <c r="Z77" s="929">
        <f t="shared" si="94"/>
        <v>202249.552426666</v>
      </c>
      <c r="AA77" s="470">
        <v>177751.03</v>
      </c>
      <c r="AB77" s="806">
        <f t="shared" si="95"/>
        <v>24498.522426666</v>
      </c>
      <c r="AC77" s="473"/>
      <c r="AD77" s="473"/>
      <c r="AE77" s="473"/>
    </row>
    <row r="78" ht="31" spans="1:31">
      <c r="A78" s="467">
        <v>70</v>
      </c>
      <c r="B78" s="651" t="s">
        <v>479</v>
      </c>
      <c r="C78" s="470">
        <v>882595.5</v>
      </c>
      <c r="D78" s="469">
        <v>12</v>
      </c>
      <c r="E78" s="470">
        <f t="shared" si="80"/>
        <v>10591146</v>
      </c>
      <c r="F78" s="470"/>
      <c r="G78" s="474">
        <v>693691.68</v>
      </c>
      <c r="H78" s="476"/>
      <c r="I78" s="470">
        <f t="shared" si="81"/>
        <v>9897454.32</v>
      </c>
      <c r="J78" s="470">
        <v>200000</v>
      </c>
      <c r="K78" s="470">
        <v>0.2</v>
      </c>
      <c r="L78" s="470">
        <f t="shared" si="82"/>
        <v>1979490.864</v>
      </c>
      <c r="M78" s="470">
        <f t="shared" si="83"/>
        <v>2179490.864</v>
      </c>
      <c r="N78" s="470">
        <f t="shared" si="84"/>
        <v>2873182.544</v>
      </c>
      <c r="O78" s="470">
        <f t="shared" si="85"/>
        <v>7717963.456</v>
      </c>
      <c r="P78" s="470">
        <f t="shared" si="86"/>
        <v>21000</v>
      </c>
      <c r="Q78" s="470">
        <f t="shared" si="87"/>
        <v>33000</v>
      </c>
      <c r="R78" s="470">
        <f t="shared" si="88"/>
        <v>75000</v>
      </c>
      <c r="S78" s="470">
        <f t="shared" si="89"/>
        <v>95000</v>
      </c>
      <c r="T78" s="470">
        <f t="shared" si="90"/>
        <v>336000</v>
      </c>
      <c r="U78" s="470">
        <f t="shared" si="91"/>
        <v>1084311.22944</v>
      </c>
      <c r="V78" s="470">
        <f t="shared" si="92"/>
        <v>1644311.22944</v>
      </c>
      <c r="W78" s="471">
        <v>12</v>
      </c>
      <c r="X78" s="470">
        <f t="shared" si="93"/>
        <v>137025.935786667</v>
      </c>
      <c r="Y78" s="476"/>
      <c r="Z78" s="929">
        <f t="shared" si="94"/>
        <v>137025.935786667</v>
      </c>
      <c r="AA78" s="470">
        <v>112212.004906667</v>
      </c>
      <c r="AB78" s="806">
        <f t="shared" si="95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211</v>
      </c>
      <c r="C79" s="470">
        <v>698165.25</v>
      </c>
      <c r="D79" s="469">
        <v>12</v>
      </c>
      <c r="E79" s="470">
        <f t="shared" si="80"/>
        <v>8377983</v>
      </c>
      <c r="F79" s="470"/>
      <c r="G79" s="474">
        <v>535838.64</v>
      </c>
      <c r="H79" s="476"/>
      <c r="I79" s="470">
        <f t="shared" si="81"/>
        <v>7842144.36</v>
      </c>
      <c r="J79" s="470">
        <v>200000</v>
      </c>
      <c r="K79" s="470">
        <v>0.2</v>
      </c>
      <c r="L79" s="470">
        <f t="shared" si="82"/>
        <v>1568428.872</v>
      </c>
      <c r="M79" s="470">
        <f t="shared" si="83"/>
        <v>1768428.872</v>
      </c>
      <c r="N79" s="470">
        <f t="shared" si="84"/>
        <v>2304267.512</v>
      </c>
      <c r="O79" s="470">
        <f t="shared" si="85"/>
        <v>6073715.488</v>
      </c>
      <c r="P79" s="470">
        <f t="shared" si="86"/>
        <v>21000</v>
      </c>
      <c r="Q79" s="470">
        <f t="shared" si="87"/>
        <v>33000</v>
      </c>
      <c r="R79" s="470">
        <f t="shared" si="88"/>
        <v>75000</v>
      </c>
      <c r="S79" s="470">
        <f t="shared" si="89"/>
        <v>95000</v>
      </c>
      <c r="T79" s="470">
        <f t="shared" si="90"/>
        <v>336000</v>
      </c>
      <c r="U79" s="470">
        <f t="shared" si="91"/>
        <v>689691.71712</v>
      </c>
      <c r="V79" s="470">
        <f t="shared" si="92"/>
        <v>1249691.71712</v>
      </c>
      <c r="W79" s="471">
        <v>12</v>
      </c>
      <c r="X79" s="470">
        <f t="shared" si="93"/>
        <v>104140.976426667</v>
      </c>
      <c r="Y79" s="476"/>
      <c r="Z79" s="929">
        <f t="shared" si="94"/>
        <v>104140.976426667</v>
      </c>
      <c r="AA79" s="470">
        <v>83767.87</v>
      </c>
      <c r="AB79" s="806">
        <f t="shared" si="95"/>
        <v>20373.1064266667</v>
      </c>
      <c r="AC79" s="473"/>
      <c r="AD79" s="473"/>
      <c r="AE79" s="473"/>
    </row>
    <row r="80" ht="15.5" spans="1:31">
      <c r="A80" s="467">
        <v>72</v>
      </c>
      <c r="B80" s="651" t="s">
        <v>212</v>
      </c>
      <c r="C80" s="470">
        <v>698166.25</v>
      </c>
      <c r="D80" s="469">
        <v>12</v>
      </c>
      <c r="E80" s="470">
        <f t="shared" si="80"/>
        <v>8377995</v>
      </c>
      <c r="F80" s="470">
        <v>104315.075</v>
      </c>
      <c r="G80" s="474">
        <v>535839.6</v>
      </c>
      <c r="H80" s="476"/>
      <c r="I80" s="470">
        <f t="shared" si="81"/>
        <v>7737840.325</v>
      </c>
      <c r="J80" s="470">
        <v>200000</v>
      </c>
      <c r="K80" s="470">
        <v>0.2</v>
      </c>
      <c r="L80" s="470">
        <f t="shared" si="82"/>
        <v>1547568.065</v>
      </c>
      <c r="M80" s="470">
        <f t="shared" si="83"/>
        <v>1747568.065</v>
      </c>
      <c r="N80" s="470">
        <f t="shared" si="84"/>
        <v>2387722.74</v>
      </c>
      <c r="O80" s="470">
        <f t="shared" si="85"/>
        <v>5990272.26</v>
      </c>
      <c r="P80" s="470">
        <f t="shared" si="86"/>
        <v>21000</v>
      </c>
      <c r="Q80" s="470">
        <f t="shared" si="87"/>
        <v>33000</v>
      </c>
      <c r="R80" s="470">
        <f t="shared" si="88"/>
        <v>75000</v>
      </c>
      <c r="S80" s="470">
        <f t="shared" si="89"/>
        <v>95000</v>
      </c>
      <c r="T80" s="470">
        <f t="shared" si="90"/>
        <v>336000</v>
      </c>
      <c r="U80" s="470">
        <f t="shared" si="91"/>
        <v>669665.3424</v>
      </c>
      <c r="V80" s="470">
        <f t="shared" si="92"/>
        <v>1229665.3424</v>
      </c>
      <c r="W80" s="471">
        <v>12</v>
      </c>
      <c r="X80" s="470">
        <f t="shared" si="93"/>
        <v>102472.111866667</v>
      </c>
      <c r="Y80" s="476"/>
      <c r="Z80" s="929">
        <f t="shared" si="94"/>
        <v>102472.111866667</v>
      </c>
      <c r="AA80" s="470">
        <v>83753.4084266666</v>
      </c>
      <c r="AB80" s="806">
        <f t="shared" si="95"/>
        <v>18718.7034400001</v>
      </c>
      <c r="AC80" s="473"/>
      <c r="AD80" s="473"/>
      <c r="AE80" s="473"/>
    </row>
    <row r="81" ht="31" spans="1:31">
      <c r="A81" s="467">
        <v>73</v>
      </c>
      <c r="B81" s="651" t="s">
        <v>213</v>
      </c>
      <c r="C81" s="470">
        <v>682419.5</v>
      </c>
      <c r="D81" s="469">
        <v>12</v>
      </c>
      <c r="E81" s="470">
        <f t="shared" si="80"/>
        <v>8189034</v>
      </c>
      <c r="F81" s="470"/>
      <c r="G81" s="474">
        <v>520722.72</v>
      </c>
      <c r="H81" s="476"/>
      <c r="I81" s="470">
        <f t="shared" si="81"/>
        <v>7668311.28</v>
      </c>
      <c r="J81" s="470">
        <v>200000</v>
      </c>
      <c r="K81" s="470">
        <v>0.2</v>
      </c>
      <c r="L81" s="470">
        <f t="shared" si="82"/>
        <v>1533662.256</v>
      </c>
      <c r="M81" s="470">
        <f t="shared" si="83"/>
        <v>1733662.256</v>
      </c>
      <c r="N81" s="470">
        <f t="shared" si="84"/>
        <v>2254384.976</v>
      </c>
      <c r="O81" s="470">
        <f t="shared" si="85"/>
        <v>5934649.024</v>
      </c>
      <c r="P81" s="470">
        <f t="shared" si="86"/>
        <v>21000</v>
      </c>
      <c r="Q81" s="470">
        <f t="shared" si="87"/>
        <v>33000</v>
      </c>
      <c r="R81" s="470">
        <f t="shared" si="88"/>
        <v>75000</v>
      </c>
      <c r="S81" s="470">
        <f t="shared" si="89"/>
        <v>95000</v>
      </c>
      <c r="T81" s="470">
        <f t="shared" si="90"/>
        <v>336000</v>
      </c>
      <c r="U81" s="470">
        <f t="shared" si="91"/>
        <v>656315.76576</v>
      </c>
      <c r="V81" s="470">
        <f t="shared" si="92"/>
        <v>1216315.76576</v>
      </c>
      <c r="W81" s="471">
        <v>12</v>
      </c>
      <c r="X81" s="470">
        <f t="shared" si="93"/>
        <v>101359.647146667</v>
      </c>
      <c r="Y81" s="476"/>
      <c r="Z81" s="929">
        <f t="shared" si="94"/>
        <v>101359.647146667</v>
      </c>
      <c r="AA81" s="470">
        <v>81302.3959466667</v>
      </c>
      <c r="AB81" s="806">
        <f t="shared" si="95"/>
        <v>20057.2512</v>
      </c>
      <c r="AC81" s="473"/>
      <c r="AD81" s="473"/>
      <c r="AE81" s="473"/>
    </row>
    <row r="82" ht="15.5" spans="1:31">
      <c r="A82" s="467">
        <v>74</v>
      </c>
      <c r="B82" s="651" t="s">
        <v>215</v>
      </c>
      <c r="C82" s="470">
        <v>578828.166666667</v>
      </c>
      <c r="D82" s="469">
        <v>12</v>
      </c>
      <c r="E82" s="470">
        <f t="shared" si="80"/>
        <v>6945938</v>
      </c>
      <c r="F82" s="470"/>
      <c r="G82" s="479">
        <v>450075.040000001</v>
      </c>
      <c r="H82" s="476"/>
      <c r="I82" s="470">
        <f t="shared" si="81"/>
        <v>6495862.96</v>
      </c>
      <c r="J82" s="470">
        <v>200000</v>
      </c>
      <c r="K82" s="470">
        <v>0.2</v>
      </c>
      <c r="L82" s="470">
        <f t="shared" si="82"/>
        <v>1299172.592</v>
      </c>
      <c r="M82" s="470">
        <f t="shared" si="83"/>
        <v>1499172.592</v>
      </c>
      <c r="N82" s="470">
        <f t="shared" si="84"/>
        <v>1949247.632</v>
      </c>
      <c r="O82" s="470">
        <f t="shared" si="85"/>
        <v>4996690.368</v>
      </c>
      <c r="P82" s="470">
        <f t="shared" si="86"/>
        <v>21000</v>
      </c>
      <c r="Q82" s="470">
        <f t="shared" si="87"/>
        <v>33000</v>
      </c>
      <c r="R82" s="470">
        <f t="shared" si="88"/>
        <v>75000</v>
      </c>
      <c r="S82" s="470">
        <f t="shared" si="89"/>
        <v>95000</v>
      </c>
      <c r="T82" s="470">
        <f t="shared" si="90"/>
        <v>336000</v>
      </c>
      <c r="U82" s="470">
        <f t="shared" si="91"/>
        <v>431205.688320001</v>
      </c>
      <c r="V82" s="470">
        <f t="shared" si="92"/>
        <v>991205.688320001</v>
      </c>
      <c r="W82" s="471">
        <v>12</v>
      </c>
      <c r="X82" s="470">
        <f t="shared" si="93"/>
        <v>82600.4740266667</v>
      </c>
      <c r="Y82" s="476"/>
      <c r="Z82" s="929">
        <f t="shared" si="94"/>
        <v>82600.4740266667</v>
      </c>
      <c r="AA82" s="470">
        <v>64384.5917866667</v>
      </c>
      <c r="AB82" s="806">
        <f t="shared" si="95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216</v>
      </c>
      <c r="C83" s="470">
        <v>617472.75</v>
      </c>
      <c r="D83" s="469">
        <v>12</v>
      </c>
      <c r="E83" s="470">
        <f t="shared" si="80"/>
        <v>7409673</v>
      </c>
      <c r="F83" s="470">
        <v>93501.975</v>
      </c>
      <c r="G83" s="474">
        <v>477573.84</v>
      </c>
      <c r="H83" s="476"/>
      <c r="I83" s="470">
        <f t="shared" si="81"/>
        <v>6838597.185</v>
      </c>
      <c r="J83" s="470">
        <v>200000</v>
      </c>
      <c r="K83" s="470">
        <v>0.2</v>
      </c>
      <c r="L83" s="470">
        <f t="shared" si="82"/>
        <v>1367719.437</v>
      </c>
      <c r="M83" s="470">
        <f t="shared" si="83"/>
        <v>1567719.437</v>
      </c>
      <c r="N83" s="470">
        <f t="shared" si="84"/>
        <v>2138795.252</v>
      </c>
      <c r="O83" s="470">
        <f t="shared" si="85"/>
        <v>5270877.748</v>
      </c>
      <c r="P83" s="470">
        <f t="shared" si="86"/>
        <v>21000</v>
      </c>
      <c r="Q83" s="470">
        <f t="shared" si="87"/>
        <v>33000</v>
      </c>
      <c r="R83" s="470">
        <f t="shared" si="88"/>
        <v>75000</v>
      </c>
      <c r="S83" s="470">
        <f t="shared" si="89"/>
        <v>95000</v>
      </c>
      <c r="T83" s="470">
        <f t="shared" si="90"/>
        <v>336000</v>
      </c>
      <c r="U83" s="470">
        <f t="shared" si="91"/>
        <v>497010.65952</v>
      </c>
      <c r="V83" s="470">
        <f t="shared" si="92"/>
        <v>1057010.65952</v>
      </c>
      <c r="W83" s="471">
        <v>12</v>
      </c>
      <c r="X83" s="470">
        <f t="shared" si="93"/>
        <v>88084.2216266667</v>
      </c>
      <c r="Y83" s="476"/>
      <c r="Z83" s="929">
        <f t="shared" si="94"/>
        <v>88084.2216266667</v>
      </c>
      <c r="AA83" s="470">
        <v>70529.4753546667</v>
      </c>
      <c r="AB83" s="806">
        <f t="shared" si="95"/>
        <v>17554.746272</v>
      </c>
      <c r="AC83" s="473"/>
      <c r="AD83" s="473"/>
      <c r="AE83" s="473"/>
    </row>
    <row r="84" ht="15.5" spans="1:31">
      <c r="A84" s="467">
        <v>76</v>
      </c>
      <c r="B84" s="651" t="s">
        <v>220</v>
      </c>
      <c r="C84" s="470">
        <v>490135.833333334</v>
      </c>
      <c r="D84" s="469">
        <v>12</v>
      </c>
      <c r="E84" s="470">
        <f t="shared" si="80"/>
        <v>5881630.00000001</v>
      </c>
      <c r="F84" s="470"/>
      <c r="G84" s="474">
        <v>374530.4</v>
      </c>
      <c r="H84" s="476"/>
      <c r="I84" s="470">
        <f t="shared" si="81"/>
        <v>5507099.60000001</v>
      </c>
      <c r="J84" s="470">
        <v>200000</v>
      </c>
      <c r="K84" s="470">
        <v>0.2</v>
      </c>
      <c r="L84" s="470">
        <f t="shared" si="82"/>
        <v>1101419.92</v>
      </c>
      <c r="M84" s="470">
        <f t="shared" si="83"/>
        <v>1301419.92</v>
      </c>
      <c r="N84" s="470">
        <f t="shared" si="84"/>
        <v>1675950.32</v>
      </c>
      <c r="O84" s="470">
        <f t="shared" si="85"/>
        <v>4205679.68000001</v>
      </c>
      <c r="P84" s="470">
        <f t="shared" si="86"/>
        <v>21000</v>
      </c>
      <c r="Q84" s="470">
        <f t="shared" si="87"/>
        <v>33000</v>
      </c>
      <c r="R84" s="470">
        <f t="shared" si="88"/>
        <v>75000</v>
      </c>
      <c r="S84" s="470">
        <f t="shared" si="89"/>
        <v>95000</v>
      </c>
      <c r="T84" s="470">
        <f t="shared" si="90"/>
        <v>336000</v>
      </c>
      <c r="U84" s="470">
        <f t="shared" si="91"/>
        <v>241363.123200002</v>
      </c>
      <c r="V84" s="470">
        <f t="shared" si="92"/>
        <v>801363.123200002</v>
      </c>
      <c r="W84" s="471">
        <v>12</v>
      </c>
      <c r="X84" s="470">
        <f t="shared" si="93"/>
        <v>66780.2602666668</v>
      </c>
      <c r="Y84" s="476"/>
      <c r="Z84" s="929">
        <f t="shared" si="94"/>
        <v>66780.2602666668</v>
      </c>
      <c r="AA84" s="470">
        <v>51029.2273066667</v>
      </c>
      <c r="AB84" s="806">
        <f t="shared" si="95"/>
        <v>15751.0329600001</v>
      </c>
      <c r="AC84" s="473"/>
      <c r="AD84" s="473"/>
      <c r="AE84" s="473"/>
    </row>
    <row r="85" ht="15.5" spans="1:31">
      <c r="A85" s="467"/>
      <c r="B85" s="651" t="s">
        <v>224</v>
      </c>
      <c r="C85" s="470">
        <v>408920.666666667</v>
      </c>
      <c r="D85" s="469">
        <v>12</v>
      </c>
      <c r="E85" s="470">
        <f t="shared" si="80"/>
        <v>4907048</v>
      </c>
      <c r="F85" s="470"/>
      <c r="G85" s="474">
        <v>296563.840000001</v>
      </c>
      <c r="H85" s="476"/>
      <c r="I85" s="470">
        <f t="shared" si="81"/>
        <v>4610484.16</v>
      </c>
      <c r="J85" s="470">
        <v>200000</v>
      </c>
      <c r="K85" s="470">
        <v>0.2</v>
      </c>
      <c r="L85" s="470">
        <f t="shared" si="82"/>
        <v>922096.832000001</v>
      </c>
      <c r="M85" s="470">
        <f t="shared" si="83"/>
        <v>1122096.832</v>
      </c>
      <c r="N85" s="470">
        <f t="shared" si="84"/>
        <v>1418660.672</v>
      </c>
      <c r="O85" s="470">
        <f t="shared" si="85"/>
        <v>3488387.328</v>
      </c>
      <c r="P85" s="470">
        <f t="shared" si="86"/>
        <v>21000</v>
      </c>
      <c r="Q85" s="470">
        <f t="shared" si="87"/>
        <v>33000</v>
      </c>
      <c r="R85" s="470">
        <f t="shared" si="88"/>
        <v>75000</v>
      </c>
      <c r="S85" s="470">
        <f t="shared" si="89"/>
        <v>95000</v>
      </c>
      <c r="T85" s="470">
        <f t="shared" si="90"/>
        <v>336000</v>
      </c>
      <c r="U85" s="470">
        <f t="shared" si="91"/>
        <v>69212.9587200005</v>
      </c>
      <c r="V85" s="470">
        <f t="shared" si="92"/>
        <v>629212.95872</v>
      </c>
      <c r="W85" s="471">
        <v>12</v>
      </c>
      <c r="X85" s="470">
        <f t="shared" si="93"/>
        <v>52434.4132266667</v>
      </c>
      <c r="Y85" s="476"/>
      <c r="Z85" s="929">
        <f t="shared" si="94"/>
        <v>52434.4132266667</v>
      </c>
      <c r="AA85" s="470">
        <v>39613.1357066667</v>
      </c>
      <c r="AB85" s="806">
        <f t="shared" si="95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226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227</v>
      </c>
      <c r="C89" s="470">
        <v>1797359.33333333</v>
      </c>
      <c r="D89" s="469">
        <v>12</v>
      </c>
      <c r="E89" s="470">
        <f t="shared" ref="E89:E93" si="96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7">E89-F89-G89-H89</f>
        <v>19621965.19</v>
      </c>
      <c r="J89" s="470">
        <v>200000</v>
      </c>
      <c r="K89" s="470">
        <v>0.2</v>
      </c>
      <c r="L89" s="470">
        <f t="shared" ref="L89:L93" si="98">I89*K89</f>
        <v>3924393.03799999</v>
      </c>
      <c r="M89" s="470">
        <f t="shared" ref="M89:M93" si="99">J89+L89</f>
        <v>4124393.03799999</v>
      </c>
      <c r="N89" s="470">
        <f t="shared" ref="N89:N93" si="100">F89+G89+H89+M89</f>
        <v>6070739.84799998</v>
      </c>
      <c r="O89" s="470">
        <f t="shared" ref="O89:O93" si="101">E89-N89</f>
        <v>15497572.152</v>
      </c>
      <c r="P89" s="470">
        <f t="shared" ref="P89:P93" si="102">IF(O89&lt;300000,0.07*O89,21000)</f>
        <v>21000</v>
      </c>
      <c r="Q89" s="470">
        <f t="shared" ref="Q89:Q93" si="103">IF((O89-300000)&lt;0,0,IF((O89-300000)&lt;300000,0.11*(O89-300000),33000))</f>
        <v>33000</v>
      </c>
      <c r="R89" s="470">
        <f t="shared" ref="R89:R93" si="104">IF((O89-600000)&lt;0,0,IF((O89-600000)&lt;500000,0.15*(O89-600000),75000))</f>
        <v>75000</v>
      </c>
      <c r="S89" s="470">
        <f t="shared" ref="S89:S93" si="105">IF((O89-1100000)&lt;0,0,IF((O89-1100000)&lt;500000,0.19*(O89-1100000),95000))</f>
        <v>95000</v>
      </c>
      <c r="T89" s="470">
        <f t="shared" ref="T89:T93" si="106">IF((O89-1600000)&lt;0,0,IF((O89-1600000)&lt;1600000,0.21*(O89-1600000),336000))</f>
        <v>336000</v>
      </c>
      <c r="U89" s="470">
        <f t="shared" ref="U89:U93" si="107">24%*(O89-3200000)</f>
        <v>2951417.31647999</v>
      </c>
      <c r="V89" s="470">
        <f t="shared" ref="V89:V93" si="108">P89+Q89+R89+S89+T89+U89</f>
        <v>3511417.31647999</v>
      </c>
      <c r="W89" s="471">
        <v>12</v>
      </c>
      <c r="X89" s="470">
        <f t="shared" ref="X89:X93" si="109">V89/W89</f>
        <v>292618.109706666</v>
      </c>
      <c r="Y89" s="476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3"/>
      <c r="AD89" s="473"/>
      <c r="AE89" s="473"/>
    </row>
    <row r="90" ht="18" spans="1:31">
      <c r="A90" s="467">
        <v>80</v>
      </c>
      <c r="B90" s="651" t="s">
        <v>229</v>
      </c>
      <c r="C90" s="937">
        <v>870286.75</v>
      </c>
      <c r="D90" s="469">
        <v>12</v>
      </c>
      <c r="E90" s="470">
        <f t="shared" si="96"/>
        <v>10443441</v>
      </c>
      <c r="F90" s="470"/>
      <c r="G90" s="474">
        <v>550954.64</v>
      </c>
      <c r="H90" s="476"/>
      <c r="I90" s="470">
        <f t="shared" si="97"/>
        <v>9892486.36</v>
      </c>
      <c r="J90" s="470">
        <v>200000</v>
      </c>
      <c r="K90" s="470">
        <v>0.2</v>
      </c>
      <c r="L90" s="470">
        <f t="shared" si="98"/>
        <v>1978497.272</v>
      </c>
      <c r="M90" s="470">
        <f t="shared" si="99"/>
        <v>2178497.272</v>
      </c>
      <c r="N90" s="470">
        <f t="shared" si="100"/>
        <v>2729451.912</v>
      </c>
      <c r="O90" s="470">
        <f t="shared" si="101"/>
        <v>7713989.088</v>
      </c>
      <c r="P90" s="470">
        <f t="shared" si="102"/>
        <v>21000</v>
      </c>
      <c r="Q90" s="470">
        <f t="shared" si="103"/>
        <v>33000</v>
      </c>
      <c r="R90" s="470">
        <f t="shared" si="104"/>
        <v>75000</v>
      </c>
      <c r="S90" s="470">
        <f t="shared" si="105"/>
        <v>95000</v>
      </c>
      <c r="T90" s="470">
        <f t="shared" si="106"/>
        <v>336000</v>
      </c>
      <c r="U90" s="470">
        <f t="shared" si="107"/>
        <v>1083357.38112</v>
      </c>
      <c r="V90" s="470">
        <f t="shared" si="108"/>
        <v>1643357.38112</v>
      </c>
      <c r="W90" s="471">
        <v>12</v>
      </c>
      <c r="X90" s="470">
        <f t="shared" si="109"/>
        <v>136946.448426667</v>
      </c>
      <c r="Y90" s="476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3"/>
      <c r="AD90" s="473"/>
      <c r="AE90" s="473"/>
    </row>
    <row r="91" ht="15.5" spans="1:31">
      <c r="A91" s="467">
        <v>81</v>
      </c>
      <c r="B91" s="651" t="s">
        <v>231</v>
      </c>
      <c r="C91" s="470">
        <v>567472.75</v>
      </c>
      <c r="D91" s="469">
        <v>12</v>
      </c>
      <c r="E91" s="470">
        <f t="shared" si="96"/>
        <v>6809673</v>
      </c>
      <c r="F91" s="470">
        <v>93501.975</v>
      </c>
      <c r="G91" s="474">
        <v>477573.84</v>
      </c>
      <c r="H91" s="476"/>
      <c r="I91" s="470">
        <f t="shared" si="97"/>
        <v>6238597.185</v>
      </c>
      <c r="J91" s="470">
        <v>200000</v>
      </c>
      <c r="K91" s="470">
        <v>0.2</v>
      </c>
      <c r="L91" s="470">
        <f t="shared" si="98"/>
        <v>1247719.437</v>
      </c>
      <c r="M91" s="470">
        <f t="shared" si="99"/>
        <v>1447719.437</v>
      </c>
      <c r="N91" s="470">
        <f t="shared" si="100"/>
        <v>2018795.252</v>
      </c>
      <c r="O91" s="470">
        <f t="shared" si="101"/>
        <v>4790877.748</v>
      </c>
      <c r="P91" s="470">
        <f t="shared" si="102"/>
        <v>21000</v>
      </c>
      <c r="Q91" s="470">
        <f t="shared" si="103"/>
        <v>33000</v>
      </c>
      <c r="R91" s="470">
        <f t="shared" si="104"/>
        <v>75000</v>
      </c>
      <c r="S91" s="470">
        <f t="shared" si="105"/>
        <v>95000</v>
      </c>
      <c r="T91" s="470">
        <f t="shared" si="106"/>
        <v>336000</v>
      </c>
      <c r="U91" s="470">
        <f t="shared" si="107"/>
        <v>381810.65952</v>
      </c>
      <c r="V91" s="470">
        <f t="shared" si="108"/>
        <v>941810.65952</v>
      </c>
      <c r="W91" s="471">
        <v>12</v>
      </c>
      <c r="X91" s="470">
        <f t="shared" si="109"/>
        <v>78484.2216266667</v>
      </c>
      <c r="Y91" s="476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3"/>
      <c r="AD91" s="473"/>
      <c r="AE91" s="473"/>
    </row>
    <row r="92" ht="15.5" spans="1:31">
      <c r="A92" s="467"/>
      <c r="B92" s="651" t="s">
        <v>235</v>
      </c>
      <c r="C92" s="470">
        <v>580770.22580645</v>
      </c>
      <c r="D92" s="469">
        <v>12</v>
      </c>
      <c r="E92" s="470">
        <f t="shared" si="96"/>
        <v>6969242.7096774</v>
      </c>
      <c r="F92" s="470"/>
      <c r="G92" s="474">
        <v>463356.160000001</v>
      </c>
      <c r="H92" s="476"/>
      <c r="I92" s="470">
        <f t="shared" si="97"/>
        <v>6505886.5496774</v>
      </c>
      <c r="J92" s="470">
        <v>200000</v>
      </c>
      <c r="K92" s="470">
        <v>0.2</v>
      </c>
      <c r="L92" s="470">
        <f t="shared" si="98"/>
        <v>1301177.30993548</v>
      </c>
      <c r="M92" s="470">
        <f t="shared" si="99"/>
        <v>1501177.30993548</v>
      </c>
      <c r="N92" s="470">
        <f t="shared" si="100"/>
        <v>1964533.46993548</v>
      </c>
      <c r="O92" s="470">
        <f t="shared" si="101"/>
        <v>5004709.23974192</v>
      </c>
      <c r="P92" s="470">
        <f t="shared" si="102"/>
        <v>21000</v>
      </c>
      <c r="Q92" s="470">
        <f t="shared" si="103"/>
        <v>33000</v>
      </c>
      <c r="R92" s="470">
        <f t="shared" si="104"/>
        <v>75000</v>
      </c>
      <c r="S92" s="470">
        <f t="shared" si="105"/>
        <v>95000</v>
      </c>
      <c r="T92" s="470">
        <f t="shared" si="106"/>
        <v>336000</v>
      </c>
      <c r="U92" s="470">
        <f t="shared" si="107"/>
        <v>433130.217538061</v>
      </c>
      <c r="V92" s="470">
        <f t="shared" si="108"/>
        <v>993130.217538061</v>
      </c>
      <c r="W92" s="471">
        <v>12</v>
      </c>
      <c r="X92" s="470">
        <f t="shared" si="109"/>
        <v>82760.8514615051</v>
      </c>
      <c r="Y92" s="476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3"/>
      <c r="AD92" s="473"/>
      <c r="AE92" s="473"/>
    </row>
    <row r="93" ht="15.5" spans="1:31">
      <c r="A93" s="467"/>
      <c r="B93" s="651" t="s">
        <v>236</v>
      </c>
      <c r="C93" s="470">
        <v>450135.833333334</v>
      </c>
      <c r="D93" s="469">
        <v>12</v>
      </c>
      <c r="E93" s="470">
        <f t="shared" si="96"/>
        <v>5401630.00000001</v>
      </c>
      <c r="F93" s="470"/>
      <c r="G93" s="474">
        <v>374530.4</v>
      </c>
      <c r="H93" s="476"/>
      <c r="I93" s="470">
        <f t="shared" si="97"/>
        <v>5027099.60000001</v>
      </c>
      <c r="J93" s="470">
        <v>200000</v>
      </c>
      <c r="K93" s="470">
        <v>0.2</v>
      </c>
      <c r="L93" s="470">
        <f t="shared" si="98"/>
        <v>1005419.92</v>
      </c>
      <c r="M93" s="470">
        <f t="shared" si="99"/>
        <v>1205419.92</v>
      </c>
      <c r="N93" s="470">
        <f t="shared" si="100"/>
        <v>1579950.32</v>
      </c>
      <c r="O93" s="470">
        <f t="shared" si="101"/>
        <v>3821679.68000001</v>
      </c>
      <c r="P93" s="470">
        <f t="shared" si="102"/>
        <v>21000</v>
      </c>
      <c r="Q93" s="470">
        <f t="shared" si="103"/>
        <v>33000</v>
      </c>
      <c r="R93" s="470">
        <f t="shared" si="104"/>
        <v>75000</v>
      </c>
      <c r="S93" s="470">
        <f t="shared" si="105"/>
        <v>95000</v>
      </c>
      <c r="T93" s="470">
        <f t="shared" si="106"/>
        <v>336000</v>
      </c>
      <c r="U93" s="470">
        <f t="shared" si="107"/>
        <v>149203.123200002</v>
      </c>
      <c r="V93" s="470">
        <f t="shared" si="108"/>
        <v>709203.123200002</v>
      </c>
      <c r="W93" s="471">
        <v>12</v>
      </c>
      <c r="X93" s="470">
        <f t="shared" si="109"/>
        <v>59100.2602666668</v>
      </c>
      <c r="Y93" s="476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239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652</v>
      </c>
      <c r="C96" s="470">
        <v>1947106.41666666</v>
      </c>
      <c r="D96" s="469">
        <v>12</v>
      </c>
      <c r="E96" s="470">
        <f t="shared" ref="E96:E102" si="112">C96*D96</f>
        <v>23365276.9999999</v>
      </c>
      <c r="F96" s="470"/>
      <c r="G96" s="474">
        <v>1677222.16</v>
      </c>
      <c r="H96" s="476"/>
      <c r="I96" s="470">
        <f t="shared" ref="I96:I102" si="113">E96-F96-G96-H96</f>
        <v>21688054.8399999</v>
      </c>
      <c r="J96" s="470">
        <v>200000</v>
      </c>
      <c r="K96" s="470">
        <v>0.2</v>
      </c>
      <c r="L96" s="470">
        <f t="shared" ref="L96:L102" si="114">I96*K96</f>
        <v>4337610.96799998</v>
      </c>
      <c r="M96" s="470">
        <f t="shared" ref="M96:M102" si="115">J96+L96</f>
        <v>4537610.96799998</v>
      </c>
      <c r="N96" s="470">
        <f t="shared" ref="N96:N102" si="116">F96+G96+H96+M96</f>
        <v>6214833.12799998</v>
      </c>
      <c r="O96" s="470">
        <f t="shared" ref="O96:O102" si="117">E96-N96</f>
        <v>17150443.8719999</v>
      </c>
      <c r="P96" s="470">
        <f t="shared" ref="P96:P102" si="118">IF(O96&lt;300000,0.07*O96,21000)</f>
        <v>21000</v>
      </c>
      <c r="Q96" s="470">
        <f t="shared" ref="Q96:Q102" si="119">IF((O96-300000)&lt;0,0,IF((O96-300000)&lt;300000,0.11*(O96-300000),33000))</f>
        <v>33000</v>
      </c>
      <c r="R96" s="470">
        <f t="shared" ref="R96:R102" si="120">IF((O96-600000)&lt;0,0,IF((O96-600000)&lt;500000,0.15*(O96-600000),75000))</f>
        <v>75000</v>
      </c>
      <c r="S96" s="470">
        <f t="shared" ref="S96:S102" si="121">IF((O96-1100000)&lt;0,0,IF((O96-1100000)&lt;500000,0.19*(O96-1100000),95000))</f>
        <v>95000</v>
      </c>
      <c r="T96" s="470">
        <f t="shared" ref="T96:T102" si="122">IF((O96-1600000)&lt;0,0,IF((O96-1600000)&lt;1600000,0.21*(O96-1600000),336000))</f>
        <v>336000</v>
      </c>
      <c r="U96" s="470">
        <f t="shared" ref="U96:U98" si="123">24%*(O96-3200000)</f>
        <v>3348106.52927998</v>
      </c>
      <c r="V96" s="470">
        <f t="shared" ref="V96:V102" si="124">P96+Q96+R96+S96+T96+U96</f>
        <v>3908106.52927998</v>
      </c>
      <c r="W96" s="471">
        <v>12</v>
      </c>
      <c r="X96" s="470">
        <f t="shared" ref="X96:X102" si="125">V96/W96</f>
        <v>325675.544106665</v>
      </c>
      <c r="Y96" s="476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242</v>
      </c>
      <c r="C97" s="470">
        <v>1085306.75</v>
      </c>
      <c r="D97" s="469">
        <v>12</v>
      </c>
      <c r="E97" s="470">
        <f t="shared" si="112"/>
        <v>13023681</v>
      </c>
      <c r="F97" s="470">
        <v>166400.85</v>
      </c>
      <c r="G97" s="474">
        <v>869094.48</v>
      </c>
      <c r="H97" s="476"/>
      <c r="I97" s="470">
        <f t="shared" si="113"/>
        <v>11988185.67</v>
      </c>
      <c r="J97" s="470">
        <v>200000</v>
      </c>
      <c r="K97" s="470">
        <v>0.2</v>
      </c>
      <c r="L97" s="470">
        <f t="shared" si="114"/>
        <v>2397637.134</v>
      </c>
      <c r="M97" s="470">
        <f t="shared" si="115"/>
        <v>2597637.134</v>
      </c>
      <c r="N97" s="470">
        <f t="shared" si="116"/>
        <v>3633132.464</v>
      </c>
      <c r="O97" s="470">
        <f t="shared" si="117"/>
        <v>9390548.536</v>
      </c>
      <c r="P97" s="470">
        <f t="shared" si="118"/>
        <v>21000</v>
      </c>
      <c r="Q97" s="470">
        <f t="shared" si="119"/>
        <v>33000</v>
      </c>
      <c r="R97" s="470">
        <f t="shared" si="120"/>
        <v>75000</v>
      </c>
      <c r="S97" s="470">
        <f t="shared" si="121"/>
        <v>95000</v>
      </c>
      <c r="T97" s="470">
        <f t="shared" si="122"/>
        <v>336000</v>
      </c>
      <c r="U97" s="470">
        <f t="shared" si="123"/>
        <v>1485731.64864</v>
      </c>
      <c r="V97" s="470">
        <f t="shared" si="124"/>
        <v>2045731.64864</v>
      </c>
      <c r="W97" s="471">
        <v>12</v>
      </c>
      <c r="X97" s="470">
        <f t="shared" si="125"/>
        <v>170477.637386667</v>
      </c>
      <c r="Y97" s="476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244</v>
      </c>
      <c r="C98" s="470">
        <v>742085.645</v>
      </c>
      <c r="D98" s="469">
        <v>12</v>
      </c>
      <c r="E98" s="470">
        <f t="shared" si="112"/>
        <v>8905027.74</v>
      </c>
      <c r="F98" s="470">
        <v>101319.25</v>
      </c>
      <c r="G98" s="474">
        <v>519697.279999999</v>
      </c>
      <c r="H98" s="476"/>
      <c r="I98" s="470">
        <f t="shared" si="113"/>
        <v>8284011.21</v>
      </c>
      <c r="J98" s="470">
        <v>200000</v>
      </c>
      <c r="K98" s="470">
        <v>0.2</v>
      </c>
      <c r="L98" s="470">
        <f t="shared" si="114"/>
        <v>1656802.242</v>
      </c>
      <c r="M98" s="470">
        <f t="shared" si="115"/>
        <v>1856802.242</v>
      </c>
      <c r="N98" s="470">
        <f t="shared" si="116"/>
        <v>2477818.772</v>
      </c>
      <c r="O98" s="470">
        <f t="shared" si="117"/>
        <v>6427208.968</v>
      </c>
      <c r="P98" s="470">
        <f t="shared" si="118"/>
        <v>21000</v>
      </c>
      <c r="Q98" s="470">
        <f t="shared" si="119"/>
        <v>33000</v>
      </c>
      <c r="R98" s="470">
        <f t="shared" si="120"/>
        <v>75000</v>
      </c>
      <c r="S98" s="470">
        <f t="shared" si="121"/>
        <v>95000</v>
      </c>
      <c r="T98" s="470">
        <f t="shared" si="122"/>
        <v>336000</v>
      </c>
      <c r="U98" s="470">
        <f t="shared" si="123"/>
        <v>774530.15232</v>
      </c>
      <c r="V98" s="470">
        <f t="shared" si="124"/>
        <v>1334530.15232</v>
      </c>
      <c r="W98" s="471">
        <v>12</v>
      </c>
      <c r="X98" s="470">
        <f t="shared" si="125"/>
        <v>111210.846026667</v>
      </c>
      <c r="Y98" s="476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3"/>
      <c r="AD98" s="473"/>
      <c r="AE98" s="473"/>
    </row>
    <row r="99" ht="15.5" spans="1:31">
      <c r="A99" s="467">
        <v>88</v>
      </c>
      <c r="B99" s="651" t="s">
        <v>246</v>
      </c>
      <c r="C99" s="470">
        <v>742085.645</v>
      </c>
      <c r="D99" s="469">
        <v>12</v>
      </c>
      <c r="E99" s="470">
        <f t="shared" si="112"/>
        <v>8905027.74</v>
      </c>
      <c r="F99" s="470"/>
      <c r="G99" s="474">
        <v>519697.279999999</v>
      </c>
      <c r="H99" s="476"/>
      <c r="I99" s="470">
        <f t="shared" si="113"/>
        <v>8385330.46</v>
      </c>
      <c r="J99" s="470">
        <v>200000</v>
      </c>
      <c r="K99" s="470">
        <v>0.2</v>
      </c>
      <c r="L99" s="470">
        <f t="shared" si="114"/>
        <v>1677066.092</v>
      </c>
      <c r="M99" s="470">
        <f t="shared" si="115"/>
        <v>1877066.092</v>
      </c>
      <c r="N99" s="470">
        <f t="shared" si="116"/>
        <v>2396763.372</v>
      </c>
      <c r="O99" s="470">
        <f t="shared" si="117"/>
        <v>6508264.368</v>
      </c>
      <c r="P99" s="470">
        <f t="shared" si="118"/>
        <v>21000</v>
      </c>
      <c r="Q99" s="470">
        <f t="shared" si="119"/>
        <v>33000</v>
      </c>
      <c r="R99" s="470">
        <f t="shared" si="120"/>
        <v>75000</v>
      </c>
      <c r="S99" s="470">
        <f t="shared" si="121"/>
        <v>95000</v>
      </c>
      <c r="T99" s="470">
        <f t="shared" si="122"/>
        <v>336000</v>
      </c>
      <c r="U99" s="470">
        <f t="shared" ref="U99:U102" si="128">0.24*(O99-3200000)</f>
        <v>793983.44832</v>
      </c>
      <c r="V99" s="470">
        <f t="shared" si="124"/>
        <v>1353983.44832</v>
      </c>
      <c r="W99" s="471">
        <v>12</v>
      </c>
      <c r="X99" s="470">
        <f t="shared" si="125"/>
        <v>112831.954026667</v>
      </c>
      <c r="Y99" s="476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3"/>
      <c r="AD99" s="473"/>
      <c r="AE99" s="473"/>
    </row>
    <row r="100" ht="15.5" spans="1:31">
      <c r="A100" s="467">
        <v>89</v>
      </c>
      <c r="B100" s="651" t="s">
        <v>249</v>
      </c>
      <c r="C100" s="470">
        <v>466244.9625</v>
      </c>
      <c r="D100" s="469">
        <v>12</v>
      </c>
      <c r="E100" s="470">
        <f t="shared" si="112"/>
        <v>5594939.55</v>
      </c>
      <c r="F100" s="470"/>
      <c r="G100" s="474">
        <v>316752.400000001</v>
      </c>
      <c r="H100" s="476"/>
      <c r="I100" s="470">
        <f t="shared" si="113"/>
        <v>5278187.15</v>
      </c>
      <c r="J100" s="470">
        <v>200000</v>
      </c>
      <c r="K100" s="470">
        <v>0.2</v>
      </c>
      <c r="L100" s="470">
        <f t="shared" si="114"/>
        <v>1055637.43</v>
      </c>
      <c r="M100" s="470">
        <f t="shared" si="115"/>
        <v>1255637.43</v>
      </c>
      <c r="N100" s="470">
        <f t="shared" si="116"/>
        <v>1572389.83</v>
      </c>
      <c r="O100" s="470">
        <f t="shared" si="117"/>
        <v>4022549.72</v>
      </c>
      <c r="P100" s="470">
        <f t="shared" si="118"/>
        <v>21000</v>
      </c>
      <c r="Q100" s="470">
        <f t="shared" si="119"/>
        <v>33000</v>
      </c>
      <c r="R100" s="470">
        <f t="shared" si="120"/>
        <v>75000</v>
      </c>
      <c r="S100" s="470">
        <f t="shared" si="121"/>
        <v>95000</v>
      </c>
      <c r="T100" s="470">
        <f t="shared" si="122"/>
        <v>336000</v>
      </c>
      <c r="U100" s="470">
        <f t="shared" si="128"/>
        <v>197411.9328</v>
      </c>
      <c r="V100" s="470">
        <f t="shared" si="124"/>
        <v>757411.9328</v>
      </c>
      <c r="W100" s="471">
        <v>12</v>
      </c>
      <c r="X100" s="470">
        <f t="shared" si="125"/>
        <v>63117.6610666667</v>
      </c>
      <c r="Y100" s="476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3"/>
      <c r="AD100" s="473"/>
      <c r="AE100" s="473"/>
    </row>
    <row r="101" ht="31" spans="1:31">
      <c r="A101" s="467"/>
      <c r="B101" s="351" t="s">
        <v>252</v>
      </c>
      <c r="C101" s="470">
        <v>466751.8625</v>
      </c>
      <c r="D101" s="469">
        <v>12</v>
      </c>
      <c r="E101" s="470">
        <f t="shared" si="112"/>
        <v>5601022.35</v>
      </c>
      <c r="F101" s="470"/>
      <c r="G101" s="474">
        <v>317190.799999999</v>
      </c>
      <c r="H101" s="476"/>
      <c r="I101" s="470">
        <f t="shared" si="113"/>
        <v>5283831.55</v>
      </c>
      <c r="J101" s="470">
        <v>200000</v>
      </c>
      <c r="K101" s="470">
        <v>0.2</v>
      </c>
      <c r="L101" s="470">
        <f t="shared" si="114"/>
        <v>1056766.31</v>
      </c>
      <c r="M101" s="470">
        <f t="shared" si="115"/>
        <v>1256766.31</v>
      </c>
      <c r="N101" s="470">
        <f t="shared" si="116"/>
        <v>1573957.11</v>
      </c>
      <c r="O101" s="470">
        <f t="shared" si="117"/>
        <v>4027065.24</v>
      </c>
      <c r="P101" s="470">
        <f t="shared" si="118"/>
        <v>21000</v>
      </c>
      <c r="Q101" s="470">
        <f t="shared" si="119"/>
        <v>33000</v>
      </c>
      <c r="R101" s="470">
        <f t="shared" si="120"/>
        <v>75000</v>
      </c>
      <c r="S101" s="470">
        <f t="shared" si="121"/>
        <v>95000</v>
      </c>
      <c r="T101" s="470">
        <f t="shared" si="122"/>
        <v>336000</v>
      </c>
      <c r="U101" s="470">
        <f t="shared" si="128"/>
        <v>198495.6576</v>
      </c>
      <c r="V101" s="470">
        <f t="shared" si="124"/>
        <v>758495.6576</v>
      </c>
      <c r="W101" s="471">
        <v>12</v>
      </c>
      <c r="X101" s="470">
        <f t="shared" si="125"/>
        <v>63207.9714666667</v>
      </c>
      <c r="Y101" s="476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3"/>
      <c r="AD101" s="473"/>
      <c r="AE101" s="473"/>
    </row>
    <row r="102" ht="15.5" spans="1:31">
      <c r="A102" s="467"/>
      <c r="B102" s="351" t="s">
        <v>253</v>
      </c>
      <c r="C102" s="470">
        <v>442901.94</v>
      </c>
      <c r="D102" s="469">
        <v>12</v>
      </c>
      <c r="E102" s="470">
        <f t="shared" si="112"/>
        <v>5314823.28</v>
      </c>
      <c r="G102" s="474">
        <v>296563.840000001</v>
      </c>
      <c r="H102" s="476"/>
      <c r="I102" s="470">
        <f t="shared" si="113"/>
        <v>5018259.44</v>
      </c>
      <c r="J102" s="470">
        <v>200000</v>
      </c>
      <c r="K102" s="470">
        <v>0.2</v>
      </c>
      <c r="L102" s="470">
        <f t="shared" si="114"/>
        <v>1003651.888</v>
      </c>
      <c r="M102" s="470">
        <f t="shared" si="115"/>
        <v>1203651.888</v>
      </c>
      <c r="N102" s="470">
        <f t="shared" si="116"/>
        <v>1500215.728</v>
      </c>
      <c r="O102" s="470">
        <f t="shared" si="117"/>
        <v>3814607.552</v>
      </c>
      <c r="P102" s="470">
        <f t="shared" si="118"/>
        <v>21000</v>
      </c>
      <c r="Q102" s="470">
        <f t="shared" si="119"/>
        <v>33000</v>
      </c>
      <c r="R102" s="470">
        <f t="shared" si="120"/>
        <v>75000</v>
      </c>
      <c r="S102" s="470">
        <f t="shared" si="121"/>
        <v>95000</v>
      </c>
      <c r="T102" s="470">
        <f t="shared" si="122"/>
        <v>336000</v>
      </c>
      <c r="U102" s="470">
        <f t="shared" si="128"/>
        <v>147505.81248</v>
      </c>
      <c r="V102" s="470">
        <f t="shared" si="124"/>
        <v>707505.81248</v>
      </c>
      <c r="W102" s="471">
        <v>12</v>
      </c>
      <c r="X102" s="470">
        <f t="shared" si="125"/>
        <v>58958.8177066667</v>
      </c>
      <c r="Y102" s="476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257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259</v>
      </c>
      <c r="C105" s="470">
        <v>592662.666666667</v>
      </c>
      <c r="D105" s="469">
        <v>12</v>
      </c>
      <c r="E105" s="470">
        <f t="shared" ref="E105:E107" si="129">C105*D105</f>
        <v>7111952</v>
      </c>
      <c r="F105" s="470"/>
      <c r="G105" s="474">
        <v>463356.160000001</v>
      </c>
      <c r="H105" s="476"/>
      <c r="I105" s="470">
        <f t="shared" ref="I105:I107" si="130">E105-F105-G105-H105</f>
        <v>6648595.84</v>
      </c>
      <c r="J105" s="470">
        <v>200000</v>
      </c>
      <c r="K105" s="470">
        <v>0.2</v>
      </c>
      <c r="L105" s="470">
        <f t="shared" ref="L105:L107" si="131">I105*K105</f>
        <v>1329719.168</v>
      </c>
      <c r="M105" s="470">
        <f t="shared" ref="M105:M107" si="132">J105+L105</f>
        <v>1529719.168</v>
      </c>
      <c r="N105" s="470">
        <f t="shared" ref="N105:N107" si="133">F105+G105+H105+M105</f>
        <v>1993075.328</v>
      </c>
      <c r="O105" s="470">
        <f t="shared" ref="O105:O107" si="134">E105-N105</f>
        <v>5118876.672</v>
      </c>
      <c r="P105" s="470">
        <f t="shared" ref="P105:P107" si="135">IF(O105&lt;300000,0.07*O105,21000)</f>
        <v>21000</v>
      </c>
      <c r="Q105" s="470">
        <f t="shared" ref="Q105:Q107" si="136">IF((O105-300000)&lt;0,0,IF((O105-300000)&lt;300000,0.11*(O105-300000),33000))</f>
        <v>33000</v>
      </c>
      <c r="R105" s="470">
        <f t="shared" ref="R105:R107" si="137">IF((O105-600000)&lt;0,0,IF((O105-600000)&lt;500000,0.15*(O105-600000),75000))</f>
        <v>75000</v>
      </c>
      <c r="S105" s="470">
        <f t="shared" ref="S105:S107" si="138">IF((O105-1100000)&lt;0,0,IF((O105-1100000)&lt;500000,0.19*(O105-1100000),95000))</f>
        <v>95000</v>
      </c>
      <c r="T105" s="470">
        <f t="shared" ref="T105:T107" si="139">IF((O105-1600000)&lt;0,0,IF((O105-1600000)&lt;1600000,0.21*(O105-1600000),336000))</f>
        <v>336000</v>
      </c>
      <c r="U105" s="470">
        <f t="shared" ref="U105:U107" si="140">0.24*(O105-3200000)</f>
        <v>460530.401280001</v>
      </c>
      <c r="V105" s="470">
        <f t="shared" ref="V105:V107" si="141">P105+Q105+R105+S105+T105+U105</f>
        <v>1020530.40128</v>
      </c>
      <c r="W105" s="471">
        <v>12</v>
      </c>
      <c r="X105" s="470">
        <f t="shared" ref="X105:X107" si="142">V105/W105</f>
        <v>85044.2001066667</v>
      </c>
      <c r="Y105" s="476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480</v>
      </c>
      <c r="C106" s="470">
        <v>578828.166666667</v>
      </c>
      <c r="D106" s="469">
        <v>12</v>
      </c>
      <c r="E106" s="470">
        <f t="shared" si="129"/>
        <v>6945938</v>
      </c>
      <c r="F106" s="470"/>
      <c r="G106" s="474">
        <v>450075.040000001</v>
      </c>
      <c r="H106" s="476"/>
      <c r="I106" s="470">
        <f t="shared" si="130"/>
        <v>6495862.96</v>
      </c>
      <c r="J106" s="470">
        <v>200000</v>
      </c>
      <c r="K106" s="470">
        <v>0.2</v>
      </c>
      <c r="L106" s="470">
        <f t="shared" si="131"/>
        <v>1299172.592</v>
      </c>
      <c r="M106" s="470">
        <f t="shared" si="132"/>
        <v>1499172.592</v>
      </c>
      <c r="N106" s="470">
        <f t="shared" si="133"/>
        <v>1949247.632</v>
      </c>
      <c r="O106" s="470">
        <f t="shared" si="134"/>
        <v>4996690.368</v>
      </c>
      <c r="P106" s="470">
        <f t="shared" si="135"/>
        <v>21000</v>
      </c>
      <c r="Q106" s="470">
        <f t="shared" si="136"/>
        <v>33000</v>
      </c>
      <c r="R106" s="470">
        <f t="shared" si="137"/>
        <v>75000</v>
      </c>
      <c r="S106" s="470">
        <f t="shared" si="138"/>
        <v>95000</v>
      </c>
      <c r="T106" s="470">
        <f t="shared" si="139"/>
        <v>336000</v>
      </c>
      <c r="U106" s="470">
        <f t="shared" si="140"/>
        <v>431205.688320001</v>
      </c>
      <c r="V106" s="470">
        <f t="shared" si="141"/>
        <v>991205.688320001</v>
      </c>
      <c r="W106" s="471">
        <v>12</v>
      </c>
      <c r="X106" s="470">
        <f t="shared" si="142"/>
        <v>82600.4740266667</v>
      </c>
      <c r="Y106" s="476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193</v>
      </c>
      <c r="C107" s="479">
        <v>981346.583333334</v>
      </c>
      <c r="D107" s="469">
        <v>12</v>
      </c>
      <c r="E107" s="470">
        <f t="shared" si="129"/>
        <v>11776159</v>
      </c>
      <c r="F107" s="470">
        <v>90896.2250000001</v>
      </c>
      <c r="G107" s="474">
        <v>463532.72</v>
      </c>
      <c r="H107" s="476"/>
      <c r="I107" s="470">
        <f t="shared" si="130"/>
        <v>11221730.055</v>
      </c>
      <c r="J107" s="470">
        <v>200000</v>
      </c>
      <c r="K107" s="470">
        <v>0.2</v>
      </c>
      <c r="L107" s="470">
        <f t="shared" si="131"/>
        <v>2244346.011</v>
      </c>
      <c r="M107" s="470">
        <f t="shared" si="132"/>
        <v>2444346.011</v>
      </c>
      <c r="N107" s="470">
        <f t="shared" si="133"/>
        <v>2998774.956</v>
      </c>
      <c r="O107" s="470">
        <f t="shared" si="134"/>
        <v>8777384.04400001</v>
      </c>
      <c r="P107" s="470">
        <f t="shared" si="135"/>
        <v>21000</v>
      </c>
      <c r="Q107" s="470">
        <f t="shared" si="136"/>
        <v>33000</v>
      </c>
      <c r="R107" s="470">
        <f t="shared" si="137"/>
        <v>75000</v>
      </c>
      <c r="S107" s="470">
        <f t="shared" si="138"/>
        <v>95000</v>
      </c>
      <c r="T107" s="470">
        <f t="shared" si="139"/>
        <v>336000</v>
      </c>
      <c r="U107" s="470">
        <f t="shared" si="140"/>
        <v>1338572.17056</v>
      </c>
      <c r="V107" s="470">
        <f t="shared" si="141"/>
        <v>1898572.17056</v>
      </c>
      <c r="W107" s="471">
        <v>12</v>
      </c>
      <c r="X107" s="470">
        <f t="shared" si="142"/>
        <v>158214.347546667</v>
      </c>
      <c r="Y107" s="476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696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271</v>
      </c>
      <c r="C110" s="470">
        <v>337890.916666667</v>
      </c>
      <c r="D110" s="469">
        <v>12</v>
      </c>
      <c r="E110" s="470">
        <f t="shared" ref="E110:E124" si="145">C110*D110</f>
        <v>4054691</v>
      </c>
      <c r="F110" s="470"/>
      <c r="G110" s="474">
        <v>276375.280000001</v>
      </c>
      <c r="H110" s="476"/>
      <c r="I110" s="470">
        <f t="shared" ref="I110:I124" si="146">E110-F110-G110-H110</f>
        <v>3778315.72</v>
      </c>
      <c r="J110" s="470">
        <v>200000</v>
      </c>
      <c r="K110" s="470">
        <v>0.2</v>
      </c>
      <c r="L110" s="470">
        <f t="shared" ref="L110:L124" si="147">I110*K110</f>
        <v>755663.144000001</v>
      </c>
      <c r="M110" s="470">
        <f t="shared" ref="M110:M124" si="148">J110+L110</f>
        <v>955663.144000001</v>
      </c>
      <c r="N110" s="470">
        <f t="shared" ref="N110:N124" si="149">F110+G110+H110+M110</f>
        <v>1232038.424</v>
      </c>
      <c r="O110" s="470">
        <f t="shared" ref="O110:O124" si="150">E110-N110</f>
        <v>2822652.576</v>
      </c>
      <c r="P110" s="470">
        <f t="shared" ref="P110:P124" si="151">IF(O110&lt;300000,0.07*O110,21000)</f>
        <v>21000</v>
      </c>
      <c r="Q110" s="470">
        <f t="shared" ref="Q110:Q124" si="152">IF((O110-300000)&lt;0,0,IF((O110-300000)&lt;300000,0.11*(O110-300000),33000))</f>
        <v>33000</v>
      </c>
      <c r="R110" s="470">
        <f t="shared" ref="R110:R124" si="153">IF((O110-600000)&lt;0,0,IF((O110-600000)&lt;500000,0.15*(O110-600000),75000))</f>
        <v>75000</v>
      </c>
      <c r="S110" s="470">
        <f t="shared" ref="S110:S124" si="154">IF((O110-1100000)&lt;0,0,IF((O110-1100000)&lt;500000,0.19*(O110-1100000),95000))</f>
        <v>95000</v>
      </c>
      <c r="T110" s="470">
        <f t="shared" ref="T110:T124" si="155">IF((O110-1600000)&lt;0,0,IF((O110-1600000)&lt;1600000,0.21*(O110-1600000),336000))</f>
        <v>256757.04096</v>
      </c>
      <c r="U110" s="470"/>
      <c r="V110" s="470">
        <f t="shared" ref="V110:V124" si="156">P110+Q110+R110+S110+T110+U110</f>
        <v>480757.04096</v>
      </c>
      <c r="W110" s="471">
        <v>12</v>
      </c>
      <c r="X110" s="470">
        <f t="shared" ref="X110:X124" si="157">V110/W110</f>
        <v>40063.0867466667</v>
      </c>
      <c r="Y110" s="476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276</v>
      </c>
      <c r="C111" s="470">
        <v>337890.916666667</v>
      </c>
      <c r="D111" s="469">
        <v>12</v>
      </c>
      <c r="E111" s="470">
        <f t="shared" si="145"/>
        <v>4054691</v>
      </c>
      <c r="F111" s="470"/>
      <c r="G111" s="474">
        <v>276375.280000001</v>
      </c>
      <c r="H111" s="476"/>
      <c r="I111" s="470">
        <f t="shared" si="146"/>
        <v>3778315.72</v>
      </c>
      <c r="J111" s="470">
        <v>200000</v>
      </c>
      <c r="K111" s="470">
        <v>0.2</v>
      </c>
      <c r="L111" s="470">
        <f t="shared" si="147"/>
        <v>755663.144000001</v>
      </c>
      <c r="M111" s="470">
        <f t="shared" si="148"/>
        <v>955663.144000001</v>
      </c>
      <c r="N111" s="470">
        <f t="shared" si="149"/>
        <v>1232038.424</v>
      </c>
      <c r="O111" s="470">
        <f t="shared" si="150"/>
        <v>2822652.576</v>
      </c>
      <c r="P111" s="470">
        <f t="shared" si="151"/>
        <v>21000</v>
      </c>
      <c r="Q111" s="470">
        <f t="shared" si="152"/>
        <v>33000</v>
      </c>
      <c r="R111" s="470">
        <f t="shared" si="153"/>
        <v>75000</v>
      </c>
      <c r="S111" s="470">
        <f t="shared" si="154"/>
        <v>95000</v>
      </c>
      <c r="T111" s="470">
        <f t="shared" si="155"/>
        <v>256757.04096</v>
      </c>
      <c r="U111" s="470"/>
      <c r="V111" s="470">
        <f t="shared" si="156"/>
        <v>480757.04096</v>
      </c>
      <c r="W111" s="471">
        <v>12</v>
      </c>
      <c r="X111" s="470">
        <f t="shared" si="157"/>
        <v>40063.0867466667</v>
      </c>
      <c r="Y111" s="476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278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279</v>
      </c>
      <c r="C115" s="470">
        <v>1947106.41666666</v>
      </c>
      <c r="D115" s="469">
        <v>12</v>
      </c>
      <c r="E115" s="470">
        <f t="shared" si="145"/>
        <v>23365276.9999999</v>
      </c>
      <c r="F115" s="470">
        <v>326033.124999999</v>
      </c>
      <c r="G115" s="474">
        <v>1677222.16</v>
      </c>
      <c r="H115" s="476"/>
      <c r="I115" s="470">
        <f t="shared" si="146"/>
        <v>21362021.7149999</v>
      </c>
      <c r="J115" s="470">
        <v>200000</v>
      </c>
      <c r="K115" s="470">
        <v>0.2</v>
      </c>
      <c r="L115" s="470">
        <f t="shared" si="147"/>
        <v>4272404.34299998</v>
      </c>
      <c r="M115" s="470">
        <f t="shared" si="148"/>
        <v>4472404.34299998</v>
      </c>
      <c r="N115" s="470">
        <f t="shared" si="149"/>
        <v>6475659.62799998</v>
      </c>
      <c r="O115" s="470">
        <f t="shared" si="150"/>
        <v>16889617.3719999</v>
      </c>
      <c r="P115" s="470">
        <f t="shared" si="151"/>
        <v>21000</v>
      </c>
      <c r="Q115" s="470">
        <f t="shared" si="152"/>
        <v>33000</v>
      </c>
      <c r="R115" s="470">
        <f t="shared" si="153"/>
        <v>75000</v>
      </c>
      <c r="S115" s="470">
        <f t="shared" si="154"/>
        <v>95000</v>
      </c>
      <c r="T115" s="470">
        <f t="shared" si="155"/>
        <v>336000</v>
      </c>
      <c r="U115" s="470">
        <f t="shared" ref="U115:U121" si="160">0.24*(O115-3200000)</f>
        <v>3285508.16927998</v>
      </c>
      <c r="V115" s="470">
        <f t="shared" si="156"/>
        <v>3845508.16927998</v>
      </c>
      <c r="W115" s="471">
        <v>12</v>
      </c>
      <c r="X115" s="470">
        <f t="shared" si="157"/>
        <v>320459.014106665</v>
      </c>
      <c r="Y115" s="476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281</v>
      </c>
      <c r="C116" s="470">
        <v>1095306.75</v>
      </c>
      <c r="D116" s="469">
        <v>12</v>
      </c>
      <c r="E116" s="470">
        <f t="shared" si="145"/>
        <v>13143681</v>
      </c>
      <c r="F116" s="470">
        <v>166400.85</v>
      </c>
      <c r="G116" s="474">
        <v>869094.48</v>
      </c>
      <c r="H116" s="476"/>
      <c r="I116" s="470">
        <f t="shared" si="146"/>
        <v>12108185.67</v>
      </c>
      <c r="J116" s="470">
        <v>200000</v>
      </c>
      <c r="K116" s="470">
        <v>0.2</v>
      </c>
      <c r="L116" s="470">
        <f t="shared" si="147"/>
        <v>2421637.134</v>
      </c>
      <c r="M116" s="470">
        <f t="shared" si="148"/>
        <v>2621637.134</v>
      </c>
      <c r="N116" s="470">
        <f t="shared" si="149"/>
        <v>3657132.464</v>
      </c>
      <c r="O116" s="470">
        <f t="shared" si="150"/>
        <v>9486548.536</v>
      </c>
      <c r="P116" s="470">
        <f t="shared" si="151"/>
        <v>21000</v>
      </c>
      <c r="Q116" s="470">
        <f t="shared" si="152"/>
        <v>33000</v>
      </c>
      <c r="R116" s="470">
        <f t="shared" si="153"/>
        <v>75000</v>
      </c>
      <c r="S116" s="470">
        <f t="shared" si="154"/>
        <v>95000</v>
      </c>
      <c r="T116" s="470">
        <f t="shared" si="155"/>
        <v>336000</v>
      </c>
      <c r="U116" s="470">
        <f t="shared" si="160"/>
        <v>1508771.64864</v>
      </c>
      <c r="V116" s="470">
        <f t="shared" si="156"/>
        <v>2068771.64864</v>
      </c>
      <c r="W116" s="471">
        <v>12</v>
      </c>
      <c r="X116" s="470">
        <f t="shared" si="157"/>
        <v>172397.637386667</v>
      </c>
      <c r="Y116" s="476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3"/>
      <c r="AD116" s="473"/>
      <c r="AE116" s="473"/>
    </row>
    <row r="117" ht="15.5" spans="1:31">
      <c r="A117" s="467"/>
      <c r="B117" s="643" t="s">
        <v>283</v>
      </c>
      <c r="C117" s="470">
        <v>1099008.91666667</v>
      </c>
      <c r="D117" s="469">
        <v>12</v>
      </c>
      <c r="E117" s="470">
        <f t="shared" si="145"/>
        <v>13188107</v>
      </c>
      <c r="F117" s="470">
        <v>157015.95</v>
      </c>
      <c r="G117" s="474">
        <v>818602.639999999</v>
      </c>
      <c r="H117" s="476"/>
      <c r="I117" s="470">
        <f t="shared" si="146"/>
        <v>12212488.41</v>
      </c>
      <c r="J117" s="470">
        <v>200000</v>
      </c>
      <c r="K117" s="470">
        <v>0.2</v>
      </c>
      <c r="L117" s="470">
        <f t="shared" si="147"/>
        <v>2442497.68200001</v>
      </c>
      <c r="M117" s="470">
        <f t="shared" si="148"/>
        <v>2642497.68200001</v>
      </c>
      <c r="N117" s="470">
        <f t="shared" si="149"/>
        <v>3618116.27200001</v>
      </c>
      <c r="O117" s="470">
        <f t="shared" si="150"/>
        <v>9569990.72800003</v>
      </c>
      <c r="P117" s="470">
        <f t="shared" si="151"/>
        <v>21000</v>
      </c>
      <c r="Q117" s="470">
        <f t="shared" si="152"/>
        <v>33000</v>
      </c>
      <c r="R117" s="470">
        <f t="shared" si="153"/>
        <v>75000</v>
      </c>
      <c r="S117" s="470">
        <f t="shared" si="154"/>
        <v>95000</v>
      </c>
      <c r="T117" s="470">
        <f t="shared" si="155"/>
        <v>336000</v>
      </c>
      <c r="U117" s="470">
        <f t="shared" si="160"/>
        <v>1528797.77472001</v>
      </c>
      <c r="V117" s="470">
        <f t="shared" si="156"/>
        <v>2088797.77472001</v>
      </c>
      <c r="W117" s="471">
        <v>12</v>
      </c>
      <c r="X117" s="470">
        <f t="shared" si="157"/>
        <v>174066.481226667</v>
      </c>
      <c r="Y117" s="476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3"/>
      <c r="AD117" s="473"/>
      <c r="AE117" s="473"/>
    </row>
    <row r="118" ht="15.5" spans="1:31">
      <c r="A118" s="467"/>
      <c r="B118" s="651" t="s">
        <v>286</v>
      </c>
      <c r="C118" s="470">
        <v>659657</v>
      </c>
      <c r="D118" s="469">
        <v>12</v>
      </c>
      <c r="E118" s="470">
        <f t="shared" si="145"/>
        <v>7915884</v>
      </c>
      <c r="F118" s="470"/>
      <c r="G118" s="474">
        <v>566070.72</v>
      </c>
      <c r="H118" s="476"/>
      <c r="I118" s="470">
        <f t="shared" si="146"/>
        <v>7349813.28</v>
      </c>
      <c r="J118" s="470">
        <v>200000</v>
      </c>
      <c r="K118" s="470">
        <v>0.2</v>
      </c>
      <c r="L118" s="470">
        <f t="shared" si="147"/>
        <v>1469962.656</v>
      </c>
      <c r="M118" s="470">
        <f t="shared" si="148"/>
        <v>1669962.656</v>
      </c>
      <c r="N118" s="470">
        <f t="shared" si="149"/>
        <v>2236033.376</v>
      </c>
      <c r="O118" s="470">
        <f t="shared" si="150"/>
        <v>5679850.624</v>
      </c>
      <c r="P118" s="470">
        <f t="shared" si="151"/>
        <v>21000</v>
      </c>
      <c r="Q118" s="470">
        <f t="shared" si="152"/>
        <v>33000</v>
      </c>
      <c r="R118" s="470">
        <f t="shared" si="153"/>
        <v>75000</v>
      </c>
      <c r="S118" s="470">
        <f t="shared" si="154"/>
        <v>95000</v>
      </c>
      <c r="T118" s="470">
        <f t="shared" si="155"/>
        <v>336000</v>
      </c>
      <c r="U118" s="470">
        <f t="shared" si="160"/>
        <v>595164.14976</v>
      </c>
      <c r="V118" s="470">
        <f t="shared" si="156"/>
        <v>1155164.14976</v>
      </c>
      <c r="W118" s="471">
        <v>12</v>
      </c>
      <c r="X118" s="470">
        <f t="shared" si="157"/>
        <v>96263.6791466667</v>
      </c>
      <c r="Y118" s="476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3"/>
      <c r="AD118" s="473"/>
      <c r="AE118" s="473"/>
    </row>
    <row r="119" ht="15.5" spans="1:31">
      <c r="A119" s="467">
        <v>101</v>
      </c>
      <c r="B119" s="651" t="s">
        <v>287</v>
      </c>
      <c r="C119" s="470">
        <v>628165.25</v>
      </c>
      <c r="D119" s="469">
        <v>12</v>
      </c>
      <c r="E119" s="470">
        <f t="shared" si="145"/>
        <v>7537983</v>
      </c>
      <c r="F119" s="470">
        <v>104314.775</v>
      </c>
      <c r="G119" s="474">
        <v>535838.64</v>
      </c>
      <c r="H119" s="476"/>
      <c r="I119" s="470">
        <f t="shared" si="146"/>
        <v>6897829.585</v>
      </c>
      <c r="J119" s="470">
        <v>200000</v>
      </c>
      <c r="K119" s="470">
        <v>0.2</v>
      </c>
      <c r="L119" s="470">
        <f t="shared" si="147"/>
        <v>1379565.917</v>
      </c>
      <c r="M119" s="470">
        <f t="shared" si="148"/>
        <v>1579565.917</v>
      </c>
      <c r="N119" s="470">
        <f t="shared" si="149"/>
        <v>2219719.332</v>
      </c>
      <c r="O119" s="470">
        <f t="shared" si="150"/>
        <v>5318263.668</v>
      </c>
      <c r="P119" s="470">
        <f t="shared" si="151"/>
        <v>21000</v>
      </c>
      <c r="Q119" s="470">
        <f t="shared" si="152"/>
        <v>33000</v>
      </c>
      <c r="R119" s="470">
        <f t="shared" si="153"/>
        <v>75000</v>
      </c>
      <c r="S119" s="470">
        <f t="shared" si="154"/>
        <v>95000</v>
      </c>
      <c r="T119" s="470">
        <f t="shared" si="155"/>
        <v>336000</v>
      </c>
      <c r="U119" s="470">
        <f t="shared" si="160"/>
        <v>508383.28032</v>
      </c>
      <c r="V119" s="470">
        <f t="shared" si="156"/>
        <v>1068383.28032</v>
      </c>
      <c r="W119" s="471">
        <v>12</v>
      </c>
      <c r="X119" s="470">
        <f t="shared" si="157"/>
        <v>89031.9400266667</v>
      </c>
      <c r="Y119" s="476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289</v>
      </c>
      <c r="C120" s="470">
        <v>643911.083333334</v>
      </c>
      <c r="D120" s="469">
        <v>12</v>
      </c>
      <c r="E120" s="470">
        <f t="shared" si="145"/>
        <v>7726933.00000001</v>
      </c>
      <c r="F120" s="479">
        <v>107120</v>
      </c>
      <c r="G120" s="474">
        <v>550954.64</v>
      </c>
      <c r="H120" s="476"/>
      <c r="I120" s="470">
        <f t="shared" si="146"/>
        <v>7068858.36000001</v>
      </c>
      <c r="J120" s="470">
        <v>200000</v>
      </c>
      <c r="K120" s="470">
        <v>0.2</v>
      </c>
      <c r="L120" s="470">
        <f t="shared" si="147"/>
        <v>1413771.672</v>
      </c>
      <c r="M120" s="470">
        <f t="shared" si="148"/>
        <v>1613771.672</v>
      </c>
      <c r="N120" s="470">
        <f t="shared" si="149"/>
        <v>2271846.312</v>
      </c>
      <c r="O120" s="470">
        <f t="shared" si="150"/>
        <v>5455086.68800001</v>
      </c>
      <c r="P120" s="470">
        <f t="shared" si="151"/>
        <v>21000</v>
      </c>
      <c r="Q120" s="470">
        <f t="shared" si="152"/>
        <v>33000</v>
      </c>
      <c r="R120" s="470">
        <f t="shared" si="153"/>
        <v>75000</v>
      </c>
      <c r="S120" s="470">
        <f t="shared" si="154"/>
        <v>95000</v>
      </c>
      <c r="T120" s="470">
        <f t="shared" si="155"/>
        <v>336000</v>
      </c>
      <c r="U120" s="470">
        <f t="shared" si="160"/>
        <v>541220.805120001</v>
      </c>
      <c r="V120" s="470">
        <f t="shared" si="156"/>
        <v>1101220.80512</v>
      </c>
      <c r="W120" s="471">
        <v>12</v>
      </c>
      <c r="X120" s="470">
        <f t="shared" si="157"/>
        <v>91768.4004266668</v>
      </c>
      <c r="Y120" s="476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292</v>
      </c>
      <c r="C121" s="470">
        <v>467422.860215052</v>
      </c>
      <c r="D121" s="469">
        <v>12</v>
      </c>
      <c r="E121" s="470">
        <f t="shared" si="145"/>
        <v>5609074.32258062</v>
      </c>
      <c r="F121" s="479"/>
      <c r="G121" s="474">
        <v>341107.840000001</v>
      </c>
      <c r="H121" s="476"/>
      <c r="I121" s="470">
        <f t="shared" si="146"/>
        <v>5267966.48258062</v>
      </c>
      <c r="J121" s="470">
        <v>200000</v>
      </c>
      <c r="K121" s="470">
        <v>0.2</v>
      </c>
      <c r="L121" s="470">
        <f t="shared" si="147"/>
        <v>1053593.29651612</v>
      </c>
      <c r="M121" s="470">
        <f t="shared" si="148"/>
        <v>1253593.29651612</v>
      </c>
      <c r="N121" s="470">
        <f t="shared" si="149"/>
        <v>1594701.13651613</v>
      </c>
      <c r="O121" s="470">
        <f t="shared" si="150"/>
        <v>4014373.1860645</v>
      </c>
      <c r="P121" s="470">
        <f t="shared" si="151"/>
        <v>21000</v>
      </c>
      <c r="Q121" s="470">
        <f t="shared" si="152"/>
        <v>33000</v>
      </c>
      <c r="R121" s="470">
        <f t="shared" si="153"/>
        <v>75000</v>
      </c>
      <c r="S121" s="470">
        <f t="shared" si="154"/>
        <v>95000</v>
      </c>
      <c r="T121" s="470">
        <f t="shared" si="155"/>
        <v>336000</v>
      </c>
      <c r="U121" s="470">
        <f t="shared" si="160"/>
        <v>195449.564655479</v>
      </c>
      <c r="V121" s="470">
        <f t="shared" si="156"/>
        <v>755449.564655479</v>
      </c>
      <c r="W121" s="471">
        <v>12</v>
      </c>
      <c r="X121" s="470">
        <f t="shared" si="157"/>
        <v>62954.1303879566</v>
      </c>
      <c r="Y121" s="476"/>
      <c r="Z121" s="929">
        <f t="shared" si="158"/>
        <v>62954.1303879566</v>
      </c>
      <c r="AA121" s="806">
        <v>39052.3130666667</v>
      </c>
      <c r="AB121" s="806">
        <f t="shared" si="159"/>
        <v>23901.8173212899</v>
      </c>
      <c r="AC121" s="473"/>
      <c r="AD121" s="473"/>
      <c r="AE121" s="473"/>
    </row>
    <row r="122" ht="15.5" spans="1:31">
      <c r="A122" s="467">
        <v>106</v>
      </c>
      <c r="B122" s="351" t="s">
        <v>294</v>
      </c>
      <c r="C122" s="470">
        <v>351910.75</v>
      </c>
      <c r="D122" s="469">
        <v>12</v>
      </c>
      <c r="E122" s="470">
        <f t="shared" si="145"/>
        <v>4222929</v>
      </c>
      <c r="F122" s="470"/>
      <c r="G122" s="474">
        <v>289834.32</v>
      </c>
      <c r="H122" s="476"/>
      <c r="I122" s="470">
        <f t="shared" si="146"/>
        <v>3933094.68</v>
      </c>
      <c r="J122" s="470">
        <v>200000</v>
      </c>
      <c r="K122" s="470">
        <v>0.2</v>
      </c>
      <c r="L122" s="470">
        <f t="shared" si="147"/>
        <v>786618.936</v>
      </c>
      <c r="M122" s="470">
        <f t="shared" si="148"/>
        <v>986618.936</v>
      </c>
      <c r="N122" s="470">
        <f t="shared" si="149"/>
        <v>1276453.256</v>
      </c>
      <c r="O122" s="470">
        <f t="shared" si="150"/>
        <v>2946475.744</v>
      </c>
      <c r="P122" s="470">
        <f t="shared" si="151"/>
        <v>21000</v>
      </c>
      <c r="Q122" s="470">
        <f t="shared" si="152"/>
        <v>33000</v>
      </c>
      <c r="R122" s="470">
        <f t="shared" si="153"/>
        <v>75000</v>
      </c>
      <c r="S122" s="470">
        <f t="shared" si="154"/>
        <v>95000</v>
      </c>
      <c r="T122" s="470">
        <f t="shared" si="155"/>
        <v>282759.90624</v>
      </c>
      <c r="U122" s="470"/>
      <c r="V122" s="470">
        <f t="shared" si="156"/>
        <v>506759.90624</v>
      </c>
      <c r="W122" s="471">
        <v>12</v>
      </c>
      <c r="X122" s="470">
        <f t="shared" si="157"/>
        <v>42229.9921866667</v>
      </c>
      <c r="Y122" s="476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296</v>
      </c>
      <c r="C123" s="470">
        <v>351910.75</v>
      </c>
      <c r="D123" s="469">
        <v>12</v>
      </c>
      <c r="E123" s="470">
        <f t="shared" si="145"/>
        <v>4222929</v>
      </c>
      <c r="F123" s="470"/>
      <c r="G123" s="474">
        <v>289834.32</v>
      </c>
      <c r="H123" s="476"/>
      <c r="I123" s="470">
        <f t="shared" si="146"/>
        <v>3933094.68</v>
      </c>
      <c r="J123" s="470">
        <v>200000</v>
      </c>
      <c r="K123" s="470">
        <v>0.2</v>
      </c>
      <c r="L123" s="470">
        <f t="shared" si="147"/>
        <v>786618.936</v>
      </c>
      <c r="M123" s="470">
        <f t="shared" si="148"/>
        <v>986618.936</v>
      </c>
      <c r="N123" s="470">
        <f t="shared" si="149"/>
        <v>1276453.256</v>
      </c>
      <c r="O123" s="470">
        <f t="shared" si="150"/>
        <v>2946475.744</v>
      </c>
      <c r="P123" s="470">
        <f t="shared" si="151"/>
        <v>21000</v>
      </c>
      <c r="Q123" s="470">
        <f t="shared" si="152"/>
        <v>33000</v>
      </c>
      <c r="R123" s="470">
        <f t="shared" si="153"/>
        <v>75000</v>
      </c>
      <c r="S123" s="470">
        <f t="shared" si="154"/>
        <v>95000</v>
      </c>
      <c r="T123" s="470">
        <f t="shared" si="155"/>
        <v>282759.90624</v>
      </c>
      <c r="U123" s="470"/>
      <c r="V123" s="470">
        <f t="shared" si="156"/>
        <v>506759.90624</v>
      </c>
      <c r="W123" s="471">
        <v>12</v>
      </c>
      <c r="X123" s="470">
        <f t="shared" si="157"/>
        <v>42229.9921866667</v>
      </c>
      <c r="Y123" s="476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297</v>
      </c>
      <c r="C124" s="470">
        <v>344900.833333334</v>
      </c>
      <c r="D124" s="469">
        <v>12</v>
      </c>
      <c r="E124" s="470">
        <f t="shared" si="145"/>
        <v>4138810.00000001</v>
      </c>
      <c r="F124" s="470"/>
      <c r="G124" s="474">
        <v>283104.8</v>
      </c>
      <c r="H124" s="476"/>
      <c r="I124" s="470">
        <f t="shared" si="146"/>
        <v>3855705.20000001</v>
      </c>
      <c r="J124" s="470">
        <v>200000</v>
      </c>
      <c r="K124" s="470">
        <v>0.2</v>
      </c>
      <c r="L124" s="470">
        <f t="shared" si="147"/>
        <v>771141.040000002</v>
      </c>
      <c r="M124" s="470">
        <f t="shared" si="148"/>
        <v>971141.040000002</v>
      </c>
      <c r="N124" s="470">
        <f t="shared" si="149"/>
        <v>1254245.84</v>
      </c>
      <c r="O124" s="470">
        <f t="shared" si="150"/>
        <v>2884564.16000001</v>
      </c>
      <c r="P124" s="470">
        <f t="shared" si="151"/>
        <v>21000</v>
      </c>
      <c r="Q124" s="470">
        <f t="shared" si="152"/>
        <v>33000</v>
      </c>
      <c r="R124" s="470">
        <f t="shared" si="153"/>
        <v>75000</v>
      </c>
      <c r="S124" s="470">
        <f t="shared" si="154"/>
        <v>95000</v>
      </c>
      <c r="T124" s="470">
        <f t="shared" si="155"/>
        <v>269758.473600001</v>
      </c>
      <c r="U124" s="470"/>
      <c r="V124" s="470">
        <f t="shared" si="156"/>
        <v>493758.473600001</v>
      </c>
      <c r="W124" s="471">
        <v>12</v>
      </c>
      <c r="X124" s="470">
        <f t="shared" si="157"/>
        <v>41146.5394666668</v>
      </c>
      <c r="Y124" s="476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299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300</v>
      </c>
      <c r="C128" s="470">
        <v>1747612</v>
      </c>
      <c r="D128" s="469">
        <v>12</v>
      </c>
      <c r="E128" s="470">
        <f t="shared" ref="E128:E177" si="161">C128*D128</f>
        <v>20971344</v>
      </c>
      <c r="F128" s="470">
        <v>307730.499999999</v>
      </c>
      <c r="G128" s="474">
        <v>1581707.52</v>
      </c>
      <c r="H128" s="476"/>
      <c r="I128" s="470">
        <f t="shared" ref="I128:I177" si="162">E128-F128-G128-H128</f>
        <v>19081905.98</v>
      </c>
      <c r="J128" s="470">
        <v>200000</v>
      </c>
      <c r="K128" s="470">
        <v>0.2</v>
      </c>
      <c r="L128" s="470">
        <f t="shared" ref="L128:L177" si="163">I128*K128</f>
        <v>3816381.196</v>
      </c>
      <c r="M128" s="470">
        <f t="shared" ref="M128:M177" si="164">J128+L128</f>
        <v>4016381.196</v>
      </c>
      <c r="N128" s="470">
        <f t="shared" ref="N128:N187" si="165">F128+G128+H128+M128</f>
        <v>5905819.216</v>
      </c>
      <c r="O128" s="470">
        <f t="shared" ref="O128:O187" si="166">E128-N128</f>
        <v>15065524.784</v>
      </c>
      <c r="P128" s="470">
        <f t="shared" ref="P128:P187" si="167">IF(O128&lt;300000,0.07*O128,21000)</f>
        <v>21000</v>
      </c>
      <c r="Q128" s="470">
        <f t="shared" ref="Q128:Q187" si="168">IF((O128-300000)&lt;0,0,IF((O128-300000)&lt;300000,0.11*(O128-300000),33000))</f>
        <v>33000</v>
      </c>
      <c r="R128" s="470">
        <f t="shared" ref="R128:R187" si="169">IF((O128-600000)&lt;0,0,IF((O128-600000)&lt;500000,0.15*(O128-600000),75000))</f>
        <v>75000</v>
      </c>
      <c r="S128" s="470">
        <f t="shared" ref="S128:S187" si="170">IF((O128-1100000)&lt;0,0,IF((O128-1100000)&lt;500000,0.19*(O128-1100000),95000))</f>
        <v>95000</v>
      </c>
      <c r="T128" s="470">
        <f t="shared" ref="T128:T187" si="171">IF((O128-1600000)&lt;0,0,IF((O128-1600000)&lt;1600000,0.21*(O128-1600000),336000))</f>
        <v>336000</v>
      </c>
      <c r="U128" s="470">
        <f t="shared" ref="U128:U148" si="172">0.24*(O128-3200000)</f>
        <v>2847725.94816</v>
      </c>
      <c r="V128" s="470">
        <f t="shared" ref="V128:V187" si="173">P128+Q128+R128+S128+T128+U128</f>
        <v>3407725.94816</v>
      </c>
      <c r="W128" s="471">
        <v>12</v>
      </c>
      <c r="X128" s="470">
        <f t="shared" ref="X128:X187" si="174">V128/W128</f>
        <v>283977.162346667</v>
      </c>
      <c r="Y128" s="476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302</v>
      </c>
      <c r="C129" s="470">
        <v>1045306.75</v>
      </c>
      <c r="D129" s="469">
        <v>12</v>
      </c>
      <c r="E129" s="470">
        <f t="shared" si="161"/>
        <v>12543681</v>
      </c>
      <c r="F129" s="470">
        <v>166400.85</v>
      </c>
      <c r="G129" s="474">
        <v>869094.48</v>
      </c>
      <c r="H129" s="476"/>
      <c r="I129" s="470">
        <f t="shared" si="162"/>
        <v>11508185.67</v>
      </c>
      <c r="J129" s="470">
        <v>200000</v>
      </c>
      <c r="K129" s="470">
        <v>0.2</v>
      </c>
      <c r="L129" s="470">
        <f t="shared" si="163"/>
        <v>2301637.134</v>
      </c>
      <c r="M129" s="470">
        <f t="shared" si="164"/>
        <v>2501637.134</v>
      </c>
      <c r="N129" s="470">
        <f t="shared" si="165"/>
        <v>3537132.464</v>
      </c>
      <c r="O129" s="470">
        <f t="shared" si="166"/>
        <v>9006548.536</v>
      </c>
      <c r="P129" s="470">
        <f t="shared" si="167"/>
        <v>21000</v>
      </c>
      <c r="Q129" s="470">
        <f t="shared" si="168"/>
        <v>33000</v>
      </c>
      <c r="R129" s="470">
        <f t="shared" si="169"/>
        <v>75000</v>
      </c>
      <c r="S129" s="470">
        <f t="shared" si="170"/>
        <v>95000</v>
      </c>
      <c r="T129" s="470">
        <f t="shared" si="171"/>
        <v>336000</v>
      </c>
      <c r="U129" s="470">
        <f t="shared" si="172"/>
        <v>1393571.64864</v>
      </c>
      <c r="V129" s="470">
        <f t="shared" si="173"/>
        <v>1953571.64864</v>
      </c>
      <c r="W129" s="471">
        <v>12</v>
      </c>
      <c r="X129" s="470">
        <f t="shared" si="174"/>
        <v>162797.637386667</v>
      </c>
      <c r="Y129" s="476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305</v>
      </c>
      <c r="C130" s="470">
        <v>780713.916666666</v>
      </c>
      <c r="D130" s="469">
        <v>12</v>
      </c>
      <c r="E130" s="470">
        <f t="shared" si="161"/>
        <v>9368566.99999999</v>
      </c>
      <c r="F130" s="470">
        <v>129894.325</v>
      </c>
      <c r="G130" s="474">
        <v>672685.36</v>
      </c>
      <c r="H130" s="476"/>
      <c r="I130" s="470">
        <f t="shared" si="162"/>
        <v>8565987.31499999</v>
      </c>
      <c r="J130" s="470">
        <v>200000</v>
      </c>
      <c r="K130" s="470">
        <v>0.2</v>
      </c>
      <c r="L130" s="470">
        <f t="shared" si="163"/>
        <v>1713197.463</v>
      </c>
      <c r="M130" s="470">
        <f t="shared" si="164"/>
        <v>1913197.463</v>
      </c>
      <c r="N130" s="470">
        <f t="shared" si="165"/>
        <v>2715777.148</v>
      </c>
      <c r="O130" s="470">
        <f t="shared" si="166"/>
        <v>6652789.85199999</v>
      </c>
      <c r="P130" s="470">
        <f t="shared" si="167"/>
        <v>21000</v>
      </c>
      <c r="Q130" s="470">
        <f t="shared" si="168"/>
        <v>33000</v>
      </c>
      <c r="R130" s="470">
        <f t="shared" si="169"/>
        <v>75000</v>
      </c>
      <c r="S130" s="470">
        <f t="shared" si="170"/>
        <v>95000</v>
      </c>
      <c r="T130" s="470">
        <f t="shared" si="171"/>
        <v>336000</v>
      </c>
      <c r="U130" s="470">
        <f t="shared" si="172"/>
        <v>828669.564479999</v>
      </c>
      <c r="V130" s="470">
        <f t="shared" si="173"/>
        <v>1388669.56448</v>
      </c>
      <c r="W130" s="471">
        <v>12</v>
      </c>
      <c r="X130" s="470">
        <f t="shared" si="174"/>
        <v>115722.463706667</v>
      </c>
      <c r="Y130" s="476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307</v>
      </c>
      <c r="C131" s="470">
        <v>780713.916666666</v>
      </c>
      <c r="D131" s="469">
        <v>12</v>
      </c>
      <c r="E131" s="470">
        <f t="shared" si="161"/>
        <v>9368566.99999999</v>
      </c>
      <c r="F131" s="470">
        <v>129894.325</v>
      </c>
      <c r="G131" s="474">
        <v>672685.36</v>
      </c>
      <c r="H131" s="476"/>
      <c r="I131" s="470">
        <f t="shared" si="162"/>
        <v>8565987.31499999</v>
      </c>
      <c r="J131" s="470">
        <v>200000</v>
      </c>
      <c r="K131" s="470">
        <v>0.2</v>
      </c>
      <c r="L131" s="470">
        <f t="shared" si="163"/>
        <v>1713197.463</v>
      </c>
      <c r="M131" s="470">
        <f t="shared" si="164"/>
        <v>1913197.463</v>
      </c>
      <c r="N131" s="470">
        <f t="shared" si="165"/>
        <v>2715777.148</v>
      </c>
      <c r="O131" s="470">
        <f t="shared" si="166"/>
        <v>6652789.85199999</v>
      </c>
      <c r="P131" s="470">
        <f t="shared" si="167"/>
        <v>21000</v>
      </c>
      <c r="Q131" s="470">
        <f t="shared" si="168"/>
        <v>33000</v>
      </c>
      <c r="R131" s="470">
        <f t="shared" si="169"/>
        <v>75000</v>
      </c>
      <c r="S131" s="470">
        <f t="shared" si="170"/>
        <v>95000</v>
      </c>
      <c r="T131" s="470">
        <f t="shared" si="171"/>
        <v>336000</v>
      </c>
      <c r="U131" s="470">
        <f t="shared" si="172"/>
        <v>828669.564479999</v>
      </c>
      <c r="V131" s="470">
        <f t="shared" si="173"/>
        <v>1388669.56448</v>
      </c>
      <c r="W131" s="471">
        <v>12</v>
      </c>
      <c r="X131" s="470">
        <f t="shared" si="174"/>
        <v>115722.463706667</v>
      </c>
      <c r="Y131" s="476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309</v>
      </c>
      <c r="C132" s="470">
        <v>780713.916666666</v>
      </c>
      <c r="D132" s="469">
        <v>12</v>
      </c>
      <c r="E132" s="470">
        <f t="shared" si="161"/>
        <v>9368566.99999999</v>
      </c>
      <c r="F132" s="470">
        <v>129894.325</v>
      </c>
      <c r="G132" s="474">
        <v>672685.36</v>
      </c>
      <c r="H132" s="476"/>
      <c r="I132" s="470">
        <f t="shared" si="162"/>
        <v>8565987.31499999</v>
      </c>
      <c r="J132" s="470">
        <v>200000</v>
      </c>
      <c r="K132" s="470">
        <v>0.2</v>
      </c>
      <c r="L132" s="470">
        <f t="shared" si="163"/>
        <v>1713197.463</v>
      </c>
      <c r="M132" s="470">
        <f t="shared" si="164"/>
        <v>1913197.463</v>
      </c>
      <c r="N132" s="470">
        <f t="shared" si="165"/>
        <v>2715777.148</v>
      </c>
      <c r="O132" s="470">
        <f t="shared" si="166"/>
        <v>6652789.85199999</v>
      </c>
      <c r="P132" s="470">
        <f t="shared" si="167"/>
        <v>21000</v>
      </c>
      <c r="Q132" s="470">
        <f t="shared" si="168"/>
        <v>33000</v>
      </c>
      <c r="R132" s="470">
        <f t="shared" si="169"/>
        <v>75000</v>
      </c>
      <c r="S132" s="470">
        <f t="shared" si="170"/>
        <v>95000</v>
      </c>
      <c r="T132" s="470">
        <f t="shared" si="171"/>
        <v>336000</v>
      </c>
      <c r="U132" s="470">
        <f t="shared" si="172"/>
        <v>828669.564479999</v>
      </c>
      <c r="V132" s="470">
        <f t="shared" si="173"/>
        <v>1388669.56448</v>
      </c>
      <c r="W132" s="471">
        <v>12</v>
      </c>
      <c r="X132" s="470">
        <f t="shared" si="174"/>
        <v>115722.463706667</v>
      </c>
      <c r="Y132" s="476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312</v>
      </c>
      <c r="C133" s="470">
        <v>567472.75</v>
      </c>
      <c r="D133" s="469">
        <v>12</v>
      </c>
      <c r="E133" s="470">
        <f t="shared" si="161"/>
        <v>6809673</v>
      </c>
      <c r="F133" s="470"/>
      <c r="G133" s="474">
        <v>477573.84</v>
      </c>
      <c r="H133" s="476"/>
      <c r="I133" s="470">
        <f t="shared" si="162"/>
        <v>6332099.16</v>
      </c>
      <c r="J133" s="470">
        <v>200000</v>
      </c>
      <c r="K133" s="470">
        <v>0.2</v>
      </c>
      <c r="L133" s="470">
        <f t="shared" si="163"/>
        <v>1266419.832</v>
      </c>
      <c r="M133" s="470">
        <f t="shared" si="164"/>
        <v>1466419.832</v>
      </c>
      <c r="N133" s="470">
        <f t="shared" si="165"/>
        <v>1943993.672</v>
      </c>
      <c r="O133" s="470">
        <f t="shared" si="166"/>
        <v>4865679.328</v>
      </c>
      <c r="P133" s="470">
        <f t="shared" si="167"/>
        <v>21000</v>
      </c>
      <c r="Q133" s="470">
        <f t="shared" si="168"/>
        <v>33000</v>
      </c>
      <c r="R133" s="470">
        <f t="shared" si="169"/>
        <v>75000</v>
      </c>
      <c r="S133" s="470">
        <f t="shared" si="170"/>
        <v>95000</v>
      </c>
      <c r="T133" s="470">
        <f t="shared" si="171"/>
        <v>336000</v>
      </c>
      <c r="U133" s="470">
        <f t="shared" si="172"/>
        <v>399763.03872</v>
      </c>
      <c r="V133" s="470">
        <f t="shared" si="173"/>
        <v>959763.03872</v>
      </c>
      <c r="W133" s="471">
        <v>12</v>
      </c>
      <c r="X133" s="470">
        <f t="shared" si="174"/>
        <v>79980.2532266667</v>
      </c>
      <c r="Y133" s="476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313</v>
      </c>
      <c r="C134" s="470">
        <v>602846.583333334</v>
      </c>
      <c r="D134" s="469">
        <v>12</v>
      </c>
      <c r="E134" s="470">
        <f t="shared" si="161"/>
        <v>7234159.00000001</v>
      </c>
      <c r="F134" s="470"/>
      <c r="G134" s="474">
        <v>463532.72</v>
      </c>
      <c r="H134" s="476"/>
      <c r="I134" s="470">
        <f t="shared" si="162"/>
        <v>6770626.28000001</v>
      </c>
      <c r="J134" s="470">
        <v>200000</v>
      </c>
      <c r="K134" s="470">
        <v>0.2</v>
      </c>
      <c r="L134" s="470">
        <f t="shared" si="163"/>
        <v>1354125.256</v>
      </c>
      <c r="M134" s="470">
        <f t="shared" si="164"/>
        <v>1554125.256</v>
      </c>
      <c r="N134" s="470">
        <f t="shared" si="165"/>
        <v>2017657.976</v>
      </c>
      <c r="O134" s="470">
        <f t="shared" si="166"/>
        <v>5216501.02400001</v>
      </c>
      <c r="P134" s="470">
        <f t="shared" si="167"/>
        <v>21000</v>
      </c>
      <c r="Q134" s="470">
        <f t="shared" si="168"/>
        <v>33000</v>
      </c>
      <c r="R134" s="470">
        <f t="shared" si="169"/>
        <v>75000</v>
      </c>
      <c r="S134" s="470">
        <f t="shared" si="170"/>
        <v>95000</v>
      </c>
      <c r="T134" s="470">
        <f t="shared" si="171"/>
        <v>336000</v>
      </c>
      <c r="U134" s="470">
        <f t="shared" si="172"/>
        <v>483960.245760001</v>
      </c>
      <c r="V134" s="470">
        <f t="shared" si="173"/>
        <v>1043960.24576</v>
      </c>
      <c r="W134" s="471">
        <v>12</v>
      </c>
      <c r="X134" s="470">
        <f t="shared" si="174"/>
        <v>86996.6871466668</v>
      </c>
      <c r="Y134" s="476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315</v>
      </c>
      <c r="C135" s="470">
        <v>571571.849462365</v>
      </c>
      <c r="D135" s="469">
        <v>12</v>
      </c>
      <c r="E135" s="470">
        <f t="shared" si="161"/>
        <v>6858862.19354838</v>
      </c>
      <c r="F135" s="470"/>
      <c r="G135" s="474">
        <v>463356.160000001</v>
      </c>
      <c r="H135" s="476"/>
      <c r="I135" s="470">
        <f t="shared" si="162"/>
        <v>6395506.03354838</v>
      </c>
      <c r="J135" s="470">
        <v>200000</v>
      </c>
      <c r="K135" s="470">
        <v>0.2</v>
      </c>
      <c r="L135" s="470">
        <f t="shared" si="163"/>
        <v>1279101.20670968</v>
      </c>
      <c r="M135" s="470">
        <f t="shared" si="164"/>
        <v>1479101.20670968</v>
      </c>
      <c r="N135" s="470">
        <f t="shared" si="165"/>
        <v>1942457.36670968</v>
      </c>
      <c r="O135" s="470">
        <f t="shared" si="166"/>
        <v>4916404.8268387</v>
      </c>
      <c r="P135" s="470">
        <f t="shared" si="167"/>
        <v>21000</v>
      </c>
      <c r="Q135" s="470">
        <f t="shared" si="168"/>
        <v>33000</v>
      </c>
      <c r="R135" s="470">
        <f t="shared" si="169"/>
        <v>75000</v>
      </c>
      <c r="S135" s="470">
        <f t="shared" si="170"/>
        <v>95000</v>
      </c>
      <c r="T135" s="470">
        <f t="shared" si="171"/>
        <v>336000</v>
      </c>
      <c r="U135" s="470">
        <f t="shared" si="172"/>
        <v>411937.158441289</v>
      </c>
      <c r="V135" s="470">
        <f t="shared" si="173"/>
        <v>971937.158441289</v>
      </c>
      <c r="W135" s="471">
        <v>12</v>
      </c>
      <c r="X135" s="470">
        <f t="shared" si="174"/>
        <v>80994.7632034407</v>
      </c>
      <c r="Y135" s="476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3"/>
      <c r="AD135" s="473"/>
      <c r="AE135" s="473"/>
    </row>
    <row r="136" ht="15.5" spans="1:31">
      <c r="A136" s="467">
        <v>120</v>
      </c>
      <c r="B136" s="651" t="s">
        <v>317</v>
      </c>
      <c r="C136" s="470">
        <v>528828.166666667</v>
      </c>
      <c r="D136" s="469">
        <v>12</v>
      </c>
      <c r="E136" s="470">
        <f t="shared" si="161"/>
        <v>6345938</v>
      </c>
      <c r="F136" s="470">
        <v>88398.8750000001</v>
      </c>
      <c r="G136" s="474">
        <v>450075.040000001</v>
      </c>
      <c r="H136" s="476"/>
      <c r="I136" s="470">
        <f t="shared" si="162"/>
        <v>5807464.085</v>
      </c>
      <c r="J136" s="470">
        <v>200000</v>
      </c>
      <c r="K136" s="470">
        <v>0.2</v>
      </c>
      <c r="L136" s="470">
        <f t="shared" si="163"/>
        <v>1161492.817</v>
      </c>
      <c r="M136" s="470">
        <f t="shared" si="164"/>
        <v>1361492.817</v>
      </c>
      <c r="N136" s="470">
        <f t="shared" si="165"/>
        <v>1899966.732</v>
      </c>
      <c r="O136" s="470">
        <f t="shared" si="166"/>
        <v>4445971.268</v>
      </c>
      <c r="P136" s="470">
        <f t="shared" si="167"/>
        <v>21000</v>
      </c>
      <c r="Q136" s="470">
        <f t="shared" si="168"/>
        <v>33000</v>
      </c>
      <c r="R136" s="470">
        <f t="shared" si="169"/>
        <v>75000</v>
      </c>
      <c r="S136" s="470">
        <f t="shared" si="170"/>
        <v>95000</v>
      </c>
      <c r="T136" s="470">
        <f t="shared" si="171"/>
        <v>336000</v>
      </c>
      <c r="U136" s="470">
        <f t="shared" si="172"/>
        <v>299033.10432</v>
      </c>
      <c r="V136" s="470">
        <f t="shared" si="173"/>
        <v>859033.10432</v>
      </c>
      <c r="W136" s="471">
        <v>12</v>
      </c>
      <c r="X136" s="470">
        <f t="shared" si="174"/>
        <v>71586.0920266667</v>
      </c>
      <c r="Y136" s="476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319</v>
      </c>
      <c r="C137" s="470">
        <v>514993.583333333</v>
      </c>
      <c r="D137" s="469">
        <v>12</v>
      </c>
      <c r="E137" s="470">
        <f t="shared" si="161"/>
        <v>6179923</v>
      </c>
      <c r="F137" s="470"/>
      <c r="G137" s="474">
        <v>436793.839999999</v>
      </c>
      <c r="H137" s="476"/>
      <c r="I137" s="470">
        <f t="shared" si="162"/>
        <v>5743129.16</v>
      </c>
      <c r="J137" s="470">
        <v>200000</v>
      </c>
      <c r="K137" s="470">
        <v>0.2</v>
      </c>
      <c r="L137" s="470">
        <f t="shared" si="163"/>
        <v>1148625.832</v>
      </c>
      <c r="M137" s="470">
        <f t="shared" si="164"/>
        <v>1348625.832</v>
      </c>
      <c r="N137" s="470">
        <f t="shared" si="165"/>
        <v>1785419.672</v>
      </c>
      <c r="O137" s="470">
        <f t="shared" si="166"/>
        <v>4394503.328</v>
      </c>
      <c r="P137" s="470">
        <f t="shared" si="167"/>
        <v>21000</v>
      </c>
      <c r="Q137" s="470">
        <f t="shared" si="168"/>
        <v>33000</v>
      </c>
      <c r="R137" s="470">
        <f t="shared" si="169"/>
        <v>75000</v>
      </c>
      <c r="S137" s="470">
        <f t="shared" si="170"/>
        <v>95000</v>
      </c>
      <c r="T137" s="470">
        <f t="shared" si="171"/>
        <v>336000</v>
      </c>
      <c r="U137" s="470">
        <f t="shared" si="172"/>
        <v>286680.798719999</v>
      </c>
      <c r="V137" s="470">
        <f t="shared" si="173"/>
        <v>846680.798719999</v>
      </c>
      <c r="W137" s="471">
        <v>12</v>
      </c>
      <c r="X137" s="470">
        <f t="shared" si="174"/>
        <v>70556.7332266666</v>
      </c>
      <c r="Y137" s="476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321</v>
      </c>
      <c r="C138" s="470">
        <v>501159</v>
      </c>
      <c r="D138" s="469">
        <v>12</v>
      </c>
      <c r="E138" s="470">
        <f t="shared" si="161"/>
        <v>6013908</v>
      </c>
      <c r="F138" s="470"/>
      <c r="G138" s="474">
        <v>423512.64</v>
      </c>
      <c r="H138" s="476"/>
      <c r="I138" s="470">
        <f t="shared" si="162"/>
        <v>5590395.36</v>
      </c>
      <c r="J138" s="470">
        <v>200000</v>
      </c>
      <c r="K138" s="470">
        <v>0.2</v>
      </c>
      <c r="L138" s="470">
        <f t="shared" si="163"/>
        <v>1118079.072</v>
      </c>
      <c r="M138" s="470">
        <f t="shared" si="164"/>
        <v>1318079.072</v>
      </c>
      <c r="N138" s="470">
        <f t="shared" si="165"/>
        <v>1741591.712</v>
      </c>
      <c r="O138" s="470">
        <f t="shared" si="166"/>
        <v>4272316.288</v>
      </c>
      <c r="P138" s="470">
        <f t="shared" si="167"/>
        <v>21000</v>
      </c>
      <c r="Q138" s="470">
        <f t="shared" si="168"/>
        <v>33000</v>
      </c>
      <c r="R138" s="470">
        <f t="shared" si="169"/>
        <v>75000</v>
      </c>
      <c r="S138" s="470">
        <f t="shared" si="170"/>
        <v>95000</v>
      </c>
      <c r="T138" s="470">
        <f t="shared" si="171"/>
        <v>336000</v>
      </c>
      <c r="U138" s="470">
        <f t="shared" si="172"/>
        <v>257355.90912</v>
      </c>
      <c r="V138" s="470">
        <f t="shared" si="173"/>
        <v>817355.90912</v>
      </c>
      <c r="W138" s="471">
        <v>12</v>
      </c>
      <c r="X138" s="470">
        <f t="shared" si="174"/>
        <v>68112.9924266667</v>
      </c>
      <c r="Y138" s="476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322</v>
      </c>
      <c r="C139" s="470">
        <v>501159</v>
      </c>
      <c r="D139" s="469">
        <v>12</v>
      </c>
      <c r="E139" s="470">
        <f t="shared" si="161"/>
        <v>6013908</v>
      </c>
      <c r="F139" s="470">
        <v>83469.375</v>
      </c>
      <c r="G139" s="474">
        <v>423512.64</v>
      </c>
      <c r="H139" s="476"/>
      <c r="I139" s="470">
        <f t="shared" si="162"/>
        <v>5506925.985</v>
      </c>
      <c r="J139" s="470">
        <v>200000</v>
      </c>
      <c r="K139" s="470">
        <v>0.2</v>
      </c>
      <c r="L139" s="470">
        <f t="shared" si="163"/>
        <v>1101385.197</v>
      </c>
      <c r="M139" s="470">
        <f t="shared" si="164"/>
        <v>1301385.197</v>
      </c>
      <c r="N139" s="470">
        <f t="shared" si="165"/>
        <v>1808367.212</v>
      </c>
      <c r="O139" s="470">
        <f t="shared" si="166"/>
        <v>4205540.788</v>
      </c>
      <c r="P139" s="470">
        <f t="shared" si="167"/>
        <v>21000</v>
      </c>
      <c r="Q139" s="470">
        <f t="shared" si="168"/>
        <v>33000</v>
      </c>
      <c r="R139" s="470">
        <f t="shared" si="169"/>
        <v>75000</v>
      </c>
      <c r="S139" s="470">
        <f t="shared" si="170"/>
        <v>95000</v>
      </c>
      <c r="T139" s="470">
        <f t="shared" si="171"/>
        <v>336000</v>
      </c>
      <c r="U139" s="470">
        <f t="shared" si="172"/>
        <v>241329.78912</v>
      </c>
      <c r="V139" s="470">
        <f t="shared" si="173"/>
        <v>801329.78912</v>
      </c>
      <c r="W139" s="471">
        <v>12</v>
      </c>
      <c r="X139" s="470">
        <f t="shared" si="174"/>
        <v>66777.4824266667</v>
      </c>
      <c r="Y139" s="476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324</v>
      </c>
      <c r="C140" s="470">
        <v>514993.583333333</v>
      </c>
      <c r="D140" s="469">
        <v>12</v>
      </c>
      <c r="E140" s="470">
        <f t="shared" si="161"/>
        <v>6179923</v>
      </c>
      <c r="F140" s="470"/>
      <c r="G140" s="474">
        <v>436793.839999999</v>
      </c>
      <c r="H140" s="476"/>
      <c r="I140" s="470">
        <f t="shared" si="162"/>
        <v>5743129.16</v>
      </c>
      <c r="J140" s="470">
        <v>200000</v>
      </c>
      <c r="K140" s="470">
        <v>0.2</v>
      </c>
      <c r="L140" s="470">
        <f t="shared" si="163"/>
        <v>1148625.832</v>
      </c>
      <c r="M140" s="470">
        <f t="shared" si="164"/>
        <v>1348625.832</v>
      </c>
      <c r="N140" s="470">
        <f t="shared" si="165"/>
        <v>1785419.672</v>
      </c>
      <c r="O140" s="470">
        <f t="shared" si="166"/>
        <v>4394503.328</v>
      </c>
      <c r="P140" s="470">
        <f t="shared" si="167"/>
        <v>21000</v>
      </c>
      <c r="Q140" s="470">
        <f t="shared" si="168"/>
        <v>33000</v>
      </c>
      <c r="R140" s="470">
        <f t="shared" si="169"/>
        <v>75000</v>
      </c>
      <c r="S140" s="470">
        <f t="shared" si="170"/>
        <v>95000</v>
      </c>
      <c r="T140" s="470">
        <f t="shared" si="171"/>
        <v>336000</v>
      </c>
      <c r="U140" s="470">
        <f t="shared" si="172"/>
        <v>286680.798719999</v>
      </c>
      <c r="V140" s="470">
        <f t="shared" si="173"/>
        <v>846680.798719999</v>
      </c>
      <c r="W140" s="471">
        <v>12</v>
      </c>
      <c r="X140" s="470">
        <f t="shared" si="174"/>
        <v>70556.7332266666</v>
      </c>
      <c r="Y140" s="476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325</v>
      </c>
      <c r="C141" s="470">
        <v>450135.833333334</v>
      </c>
      <c r="D141" s="469">
        <v>12</v>
      </c>
      <c r="E141" s="470">
        <f t="shared" si="161"/>
        <v>5401630.00000001</v>
      </c>
      <c r="F141" s="470"/>
      <c r="G141" s="474">
        <v>374530.4</v>
      </c>
      <c r="H141" s="476"/>
      <c r="I141" s="470">
        <f t="shared" si="162"/>
        <v>5027099.60000001</v>
      </c>
      <c r="J141" s="470">
        <v>200000</v>
      </c>
      <c r="K141" s="470">
        <v>0.2</v>
      </c>
      <c r="L141" s="470">
        <f t="shared" si="163"/>
        <v>1005419.92</v>
      </c>
      <c r="M141" s="470">
        <f t="shared" si="164"/>
        <v>1205419.92</v>
      </c>
      <c r="N141" s="470">
        <f t="shared" si="165"/>
        <v>1579950.32</v>
      </c>
      <c r="O141" s="470">
        <f t="shared" si="166"/>
        <v>3821679.68000001</v>
      </c>
      <c r="P141" s="470">
        <f t="shared" si="167"/>
        <v>21000</v>
      </c>
      <c r="Q141" s="470">
        <f t="shared" si="168"/>
        <v>33000</v>
      </c>
      <c r="R141" s="470">
        <f t="shared" si="169"/>
        <v>75000</v>
      </c>
      <c r="S141" s="470">
        <f t="shared" si="170"/>
        <v>95000</v>
      </c>
      <c r="T141" s="470">
        <f t="shared" si="171"/>
        <v>336000</v>
      </c>
      <c r="U141" s="470">
        <f t="shared" si="172"/>
        <v>149203.123200002</v>
      </c>
      <c r="V141" s="470">
        <f t="shared" si="173"/>
        <v>709203.123200002</v>
      </c>
      <c r="W141" s="471">
        <v>12</v>
      </c>
      <c r="X141" s="470">
        <f t="shared" si="174"/>
        <v>59100.2602666668</v>
      </c>
      <c r="Y141" s="476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327</v>
      </c>
      <c r="C142" s="470">
        <v>417905.470777777</v>
      </c>
      <c r="D142" s="469">
        <v>12</v>
      </c>
      <c r="E142" s="470">
        <f t="shared" si="161"/>
        <v>5014865.64933332</v>
      </c>
      <c r="F142" s="470"/>
      <c r="G142" s="474">
        <v>333135.52</v>
      </c>
      <c r="H142" s="476"/>
      <c r="I142" s="470">
        <f t="shared" si="162"/>
        <v>4681730.12933332</v>
      </c>
      <c r="J142" s="470">
        <v>200000</v>
      </c>
      <c r="K142" s="470">
        <v>0.2</v>
      </c>
      <c r="L142" s="470">
        <f t="shared" si="163"/>
        <v>936346.025866665</v>
      </c>
      <c r="M142" s="470">
        <f t="shared" si="164"/>
        <v>1136346.02586666</v>
      </c>
      <c r="N142" s="470">
        <f t="shared" si="165"/>
        <v>1469481.54586666</v>
      </c>
      <c r="O142" s="470">
        <f t="shared" si="166"/>
        <v>3545384.10346666</v>
      </c>
      <c r="P142" s="470">
        <f t="shared" si="167"/>
        <v>21000</v>
      </c>
      <c r="Q142" s="470">
        <f t="shared" si="168"/>
        <v>33000</v>
      </c>
      <c r="R142" s="470">
        <f t="shared" si="169"/>
        <v>75000</v>
      </c>
      <c r="S142" s="470">
        <f t="shared" si="170"/>
        <v>95000</v>
      </c>
      <c r="T142" s="470">
        <f t="shared" si="171"/>
        <v>336000</v>
      </c>
      <c r="U142" s="470">
        <f t="shared" si="172"/>
        <v>82892.1848319982</v>
      </c>
      <c r="V142" s="470">
        <f t="shared" si="173"/>
        <v>642892.184831998</v>
      </c>
      <c r="W142" s="471">
        <v>12</v>
      </c>
      <c r="X142" s="470">
        <f t="shared" si="174"/>
        <v>53574.3487359998</v>
      </c>
      <c r="Y142" s="476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3"/>
      <c r="AD142" s="473"/>
      <c r="AE142" s="473"/>
    </row>
    <row r="143" ht="15.5" spans="1:31">
      <c r="A143" s="467">
        <v>127</v>
      </c>
      <c r="B143" s="651" t="s">
        <v>329</v>
      </c>
      <c r="C143" s="470">
        <v>627242.499999999</v>
      </c>
      <c r="D143" s="469">
        <v>12</v>
      </c>
      <c r="E143" s="470">
        <f t="shared" si="161"/>
        <v>7526909.99999999</v>
      </c>
      <c r="F143" s="470"/>
      <c r="G143" s="474">
        <v>438302.16</v>
      </c>
      <c r="H143" s="476"/>
      <c r="I143" s="470">
        <f t="shared" si="162"/>
        <v>7088607.83999999</v>
      </c>
      <c r="J143" s="470">
        <v>200000</v>
      </c>
      <c r="K143" s="470">
        <v>0.2</v>
      </c>
      <c r="L143" s="470">
        <f t="shared" si="163"/>
        <v>1417721.568</v>
      </c>
      <c r="M143" s="470">
        <f t="shared" si="164"/>
        <v>1617721.568</v>
      </c>
      <c r="N143" s="470">
        <f t="shared" si="165"/>
        <v>2056023.728</v>
      </c>
      <c r="O143" s="470">
        <f t="shared" si="166"/>
        <v>5470886.27199999</v>
      </c>
      <c r="P143" s="470">
        <f t="shared" si="167"/>
        <v>21000</v>
      </c>
      <c r="Q143" s="470">
        <f t="shared" si="168"/>
        <v>33000</v>
      </c>
      <c r="R143" s="470">
        <f t="shared" si="169"/>
        <v>75000</v>
      </c>
      <c r="S143" s="470">
        <f t="shared" si="170"/>
        <v>95000</v>
      </c>
      <c r="T143" s="470">
        <f t="shared" si="171"/>
        <v>336000</v>
      </c>
      <c r="U143" s="470">
        <f t="shared" si="172"/>
        <v>545012.705279998</v>
      </c>
      <c r="V143" s="470">
        <f t="shared" si="173"/>
        <v>1105012.70528</v>
      </c>
      <c r="W143" s="471">
        <v>12</v>
      </c>
      <c r="X143" s="470">
        <f t="shared" si="174"/>
        <v>92084.3921066665</v>
      </c>
      <c r="Y143" s="476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3"/>
      <c r="AD143" s="473"/>
      <c r="AE143" s="473"/>
    </row>
    <row r="144" ht="15.5" spans="1:31">
      <c r="A144" s="467">
        <v>128</v>
      </c>
      <c r="B144" s="651" t="s">
        <v>331</v>
      </c>
      <c r="C144" s="470">
        <v>481533.87096774</v>
      </c>
      <c r="D144" s="469">
        <v>12</v>
      </c>
      <c r="E144" s="470">
        <f t="shared" si="161"/>
        <v>5778406.45161288</v>
      </c>
      <c r="F144" s="470"/>
      <c r="G144" s="474">
        <v>341107.840000001</v>
      </c>
      <c r="H144" s="476"/>
      <c r="I144" s="470">
        <f t="shared" si="162"/>
        <v>5437298.61161288</v>
      </c>
      <c r="J144" s="470">
        <v>200000</v>
      </c>
      <c r="K144" s="470">
        <v>0.2</v>
      </c>
      <c r="L144" s="470">
        <f t="shared" si="163"/>
        <v>1087459.72232258</v>
      </c>
      <c r="M144" s="470">
        <f t="shared" si="164"/>
        <v>1287459.72232258</v>
      </c>
      <c r="N144" s="470">
        <f t="shared" si="165"/>
        <v>1628567.56232258</v>
      </c>
      <c r="O144" s="470">
        <f t="shared" si="166"/>
        <v>4149838.8892903</v>
      </c>
      <c r="P144" s="470">
        <f t="shared" si="167"/>
        <v>21000</v>
      </c>
      <c r="Q144" s="470">
        <f t="shared" si="168"/>
        <v>33000</v>
      </c>
      <c r="R144" s="470">
        <f t="shared" si="169"/>
        <v>75000</v>
      </c>
      <c r="S144" s="470">
        <f t="shared" si="170"/>
        <v>95000</v>
      </c>
      <c r="T144" s="470">
        <f t="shared" si="171"/>
        <v>336000</v>
      </c>
      <c r="U144" s="470">
        <f t="shared" si="172"/>
        <v>227961.333429673</v>
      </c>
      <c r="V144" s="470">
        <f t="shared" si="173"/>
        <v>787961.333429673</v>
      </c>
      <c r="W144" s="471">
        <v>12</v>
      </c>
      <c r="X144" s="470">
        <f t="shared" si="174"/>
        <v>65663.4444524727</v>
      </c>
      <c r="Y144" s="476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3"/>
      <c r="AD144" s="473"/>
      <c r="AE144" s="473"/>
    </row>
    <row r="145" ht="15.5" spans="1:31">
      <c r="A145" s="467">
        <v>129</v>
      </c>
      <c r="B145" s="651" t="s">
        <v>333</v>
      </c>
      <c r="C145" s="470">
        <v>540384.977777777</v>
      </c>
      <c r="D145" s="469">
        <v>12</v>
      </c>
      <c r="E145" s="470">
        <f t="shared" si="161"/>
        <v>6484619.73333332</v>
      </c>
      <c r="F145" s="470">
        <v>92670.45</v>
      </c>
      <c r="G145" s="474">
        <v>438302.16</v>
      </c>
      <c r="H145" s="476"/>
      <c r="I145" s="470">
        <f t="shared" si="162"/>
        <v>5953647.12333332</v>
      </c>
      <c r="J145" s="470">
        <v>200000</v>
      </c>
      <c r="K145" s="470">
        <v>0.2</v>
      </c>
      <c r="L145" s="470">
        <f t="shared" si="163"/>
        <v>1190729.42466666</v>
      </c>
      <c r="M145" s="470">
        <f t="shared" si="164"/>
        <v>1390729.42466666</v>
      </c>
      <c r="N145" s="470">
        <f t="shared" si="165"/>
        <v>1921702.03466666</v>
      </c>
      <c r="O145" s="470">
        <f t="shared" si="166"/>
        <v>4562917.69866666</v>
      </c>
      <c r="P145" s="470">
        <f t="shared" si="167"/>
        <v>21000</v>
      </c>
      <c r="Q145" s="470">
        <f t="shared" si="168"/>
        <v>33000</v>
      </c>
      <c r="R145" s="470">
        <f t="shared" si="169"/>
        <v>75000</v>
      </c>
      <c r="S145" s="470">
        <f t="shared" si="170"/>
        <v>95000</v>
      </c>
      <c r="T145" s="470">
        <f t="shared" si="171"/>
        <v>336000</v>
      </c>
      <c r="U145" s="470">
        <f t="shared" si="172"/>
        <v>327100.247679998</v>
      </c>
      <c r="V145" s="470">
        <f t="shared" si="173"/>
        <v>887100.247679998</v>
      </c>
      <c r="W145" s="471">
        <v>12</v>
      </c>
      <c r="X145" s="470">
        <f t="shared" si="174"/>
        <v>73925.0206399998</v>
      </c>
      <c r="Y145" s="476"/>
      <c r="Z145" s="929">
        <f t="shared" si="175"/>
        <v>73925.0206399998</v>
      </c>
      <c r="AA145" s="806">
        <v>44913.6996186667</v>
      </c>
      <c r="AB145" s="806">
        <f t="shared" si="176"/>
        <v>29011.3210213331</v>
      </c>
      <c r="AC145" s="473"/>
      <c r="AD145" s="473"/>
      <c r="AE145" s="473"/>
    </row>
    <row r="146" ht="15.5" spans="1:31">
      <c r="A146" s="467">
        <v>130</v>
      </c>
      <c r="B146" s="651" t="s">
        <v>334</v>
      </c>
      <c r="C146" s="470">
        <v>461452.8172043</v>
      </c>
      <c r="D146" s="469">
        <v>12</v>
      </c>
      <c r="E146" s="470">
        <f t="shared" si="161"/>
        <v>5537433.8064516</v>
      </c>
      <c r="F146" s="470"/>
      <c r="G146" s="474">
        <v>341107.840000001</v>
      </c>
      <c r="H146" s="476"/>
      <c r="I146" s="470">
        <f t="shared" si="162"/>
        <v>5196325.9664516</v>
      </c>
      <c r="J146" s="470">
        <v>200000</v>
      </c>
      <c r="K146" s="470">
        <v>0.2</v>
      </c>
      <c r="L146" s="470">
        <f t="shared" si="163"/>
        <v>1039265.19329032</v>
      </c>
      <c r="M146" s="470">
        <f t="shared" si="164"/>
        <v>1239265.19329032</v>
      </c>
      <c r="N146" s="470">
        <f t="shared" si="165"/>
        <v>1580373.03329032</v>
      </c>
      <c r="O146" s="470">
        <f t="shared" si="166"/>
        <v>3957060.77316128</v>
      </c>
      <c r="P146" s="470">
        <f t="shared" si="167"/>
        <v>21000</v>
      </c>
      <c r="Q146" s="470">
        <f t="shared" si="168"/>
        <v>33000</v>
      </c>
      <c r="R146" s="470">
        <f t="shared" si="169"/>
        <v>75000</v>
      </c>
      <c r="S146" s="470">
        <f t="shared" si="170"/>
        <v>95000</v>
      </c>
      <c r="T146" s="470">
        <f t="shared" si="171"/>
        <v>336000</v>
      </c>
      <c r="U146" s="470">
        <f t="shared" si="172"/>
        <v>181694.585558707</v>
      </c>
      <c r="V146" s="470">
        <f t="shared" si="173"/>
        <v>741694.585558707</v>
      </c>
      <c r="W146" s="471">
        <v>12</v>
      </c>
      <c r="X146" s="470">
        <f t="shared" si="174"/>
        <v>61807.8821298922</v>
      </c>
      <c r="Y146" s="476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3"/>
      <c r="AD146" s="473"/>
      <c r="AE146" s="473"/>
    </row>
    <row r="147" ht="15.5" spans="1:31">
      <c r="A147" s="467">
        <v>131</v>
      </c>
      <c r="B147" s="351" t="s">
        <v>336</v>
      </c>
      <c r="C147" s="470">
        <v>398711.666666667</v>
      </c>
      <c r="D147" s="469">
        <v>12</v>
      </c>
      <c r="E147" s="470">
        <f t="shared" si="161"/>
        <v>4784540</v>
      </c>
      <c r="F147" s="470"/>
      <c r="G147" s="474">
        <v>325163.200000001</v>
      </c>
      <c r="H147" s="476"/>
      <c r="I147" s="470">
        <f t="shared" si="162"/>
        <v>4459376.8</v>
      </c>
      <c r="J147" s="470">
        <v>200000</v>
      </c>
      <c r="K147" s="470">
        <v>0.2</v>
      </c>
      <c r="L147" s="470">
        <f t="shared" si="163"/>
        <v>891875.360000001</v>
      </c>
      <c r="M147" s="470">
        <f t="shared" si="164"/>
        <v>1091875.36</v>
      </c>
      <c r="N147" s="470">
        <f t="shared" si="165"/>
        <v>1417038.56</v>
      </c>
      <c r="O147" s="470">
        <f t="shared" si="166"/>
        <v>3367501.44</v>
      </c>
      <c r="P147" s="470">
        <f t="shared" si="167"/>
        <v>21000</v>
      </c>
      <c r="Q147" s="470">
        <f t="shared" si="168"/>
        <v>33000</v>
      </c>
      <c r="R147" s="470">
        <f t="shared" si="169"/>
        <v>75000</v>
      </c>
      <c r="S147" s="470">
        <f t="shared" si="170"/>
        <v>95000</v>
      </c>
      <c r="T147" s="470">
        <f t="shared" si="171"/>
        <v>336000</v>
      </c>
      <c r="U147" s="470">
        <f t="shared" si="172"/>
        <v>40200.3456000005</v>
      </c>
      <c r="V147" s="470">
        <f t="shared" si="173"/>
        <v>600200.345600001</v>
      </c>
      <c r="W147" s="471">
        <v>12</v>
      </c>
      <c r="X147" s="470">
        <f t="shared" si="174"/>
        <v>50016.6954666667</v>
      </c>
      <c r="Y147" s="476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338</v>
      </c>
      <c r="C148" s="470">
        <v>398711.666666667</v>
      </c>
      <c r="D148" s="469">
        <v>12</v>
      </c>
      <c r="E148" s="470">
        <f t="shared" si="161"/>
        <v>4784540</v>
      </c>
      <c r="F148" s="470"/>
      <c r="G148" s="474">
        <v>325163.200000001</v>
      </c>
      <c r="H148" s="476"/>
      <c r="I148" s="470">
        <f t="shared" si="162"/>
        <v>4459376.8</v>
      </c>
      <c r="J148" s="470">
        <v>200000</v>
      </c>
      <c r="K148" s="470">
        <v>0.2</v>
      </c>
      <c r="L148" s="470">
        <f t="shared" si="163"/>
        <v>891875.360000001</v>
      </c>
      <c r="M148" s="470">
        <f t="shared" si="164"/>
        <v>1091875.36</v>
      </c>
      <c r="N148" s="470">
        <f t="shared" si="165"/>
        <v>1417038.56</v>
      </c>
      <c r="O148" s="470">
        <f t="shared" si="166"/>
        <v>3367501.44</v>
      </c>
      <c r="P148" s="470">
        <f t="shared" si="167"/>
        <v>21000</v>
      </c>
      <c r="Q148" s="470">
        <f t="shared" si="168"/>
        <v>33000</v>
      </c>
      <c r="R148" s="470">
        <f t="shared" si="169"/>
        <v>75000</v>
      </c>
      <c r="S148" s="470">
        <f t="shared" si="170"/>
        <v>95000</v>
      </c>
      <c r="T148" s="470">
        <f t="shared" si="171"/>
        <v>336000</v>
      </c>
      <c r="U148" s="470">
        <f t="shared" si="172"/>
        <v>40200.3456000005</v>
      </c>
      <c r="V148" s="470">
        <f t="shared" si="173"/>
        <v>600200.345600001</v>
      </c>
      <c r="W148" s="471">
        <v>12</v>
      </c>
      <c r="X148" s="470">
        <f t="shared" si="174"/>
        <v>50016.6954666667</v>
      </c>
      <c r="Y148" s="476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343</v>
      </c>
      <c r="C149" s="470">
        <v>351910.75</v>
      </c>
      <c r="D149" s="469">
        <v>12</v>
      </c>
      <c r="E149" s="470">
        <f t="shared" si="161"/>
        <v>4222929</v>
      </c>
      <c r="F149" s="470"/>
      <c r="G149" s="474">
        <v>289834.32</v>
      </c>
      <c r="H149" s="476"/>
      <c r="I149" s="470">
        <f t="shared" si="162"/>
        <v>3933094.68</v>
      </c>
      <c r="J149" s="470">
        <v>200000</v>
      </c>
      <c r="K149" s="470">
        <v>0.2</v>
      </c>
      <c r="L149" s="470">
        <f t="shared" si="163"/>
        <v>786618.936</v>
      </c>
      <c r="M149" s="470">
        <f t="shared" si="164"/>
        <v>986618.936</v>
      </c>
      <c r="N149" s="470">
        <f t="shared" si="165"/>
        <v>1276453.256</v>
      </c>
      <c r="O149" s="470">
        <f t="shared" si="166"/>
        <v>2946475.744</v>
      </c>
      <c r="P149" s="470">
        <f t="shared" si="167"/>
        <v>21000</v>
      </c>
      <c r="Q149" s="470">
        <f t="shared" si="168"/>
        <v>33000</v>
      </c>
      <c r="R149" s="470">
        <f t="shared" si="169"/>
        <v>75000</v>
      </c>
      <c r="S149" s="470">
        <f t="shared" si="170"/>
        <v>95000</v>
      </c>
      <c r="T149" s="470">
        <f t="shared" si="171"/>
        <v>282759.90624</v>
      </c>
      <c r="U149" s="470"/>
      <c r="V149" s="470">
        <f t="shared" si="173"/>
        <v>506759.90624</v>
      </c>
      <c r="W149" s="471">
        <v>12</v>
      </c>
      <c r="X149" s="470">
        <f t="shared" si="174"/>
        <v>42229.9921866667</v>
      </c>
      <c r="Y149" s="476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345</v>
      </c>
      <c r="C150" s="470">
        <v>351910.75</v>
      </c>
      <c r="D150" s="469">
        <v>12</v>
      </c>
      <c r="E150" s="470">
        <f t="shared" si="161"/>
        <v>4222929</v>
      </c>
      <c r="F150" s="470"/>
      <c r="G150" s="474">
        <v>289834.32</v>
      </c>
      <c r="H150" s="476"/>
      <c r="I150" s="470">
        <f t="shared" si="162"/>
        <v>3933094.68</v>
      </c>
      <c r="J150" s="470">
        <v>200000</v>
      </c>
      <c r="K150" s="470">
        <v>0.2</v>
      </c>
      <c r="L150" s="470">
        <f t="shared" si="163"/>
        <v>786618.936</v>
      </c>
      <c r="M150" s="470">
        <f t="shared" si="164"/>
        <v>986618.936</v>
      </c>
      <c r="N150" s="470">
        <f t="shared" si="165"/>
        <v>1276453.256</v>
      </c>
      <c r="O150" s="470">
        <f t="shared" si="166"/>
        <v>2946475.744</v>
      </c>
      <c r="P150" s="470">
        <f t="shared" si="167"/>
        <v>21000</v>
      </c>
      <c r="Q150" s="470">
        <f t="shared" si="168"/>
        <v>33000</v>
      </c>
      <c r="R150" s="470">
        <f t="shared" si="169"/>
        <v>75000</v>
      </c>
      <c r="S150" s="470">
        <f t="shared" si="170"/>
        <v>95000</v>
      </c>
      <c r="T150" s="470">
        <f t="shared" si="171"/>
        <v>282759.90624</v>
      </c>
      <c r="U150" s="470"/>
      <c r="V150" s="470">
        <f t="shared" si="173"/>
        <v>506759.90624</v>
      </c>
      <c r="W150" s="471">
        <v>12</v>
      </c>
      <c r="X150" s="470">
        <f t="shared" si="174"/>
        <v>42229.9921866667</v>
      </c>
      <c r="Y150" s="476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347</v>
      </c>
      <c r="C151" s="470">
        <v>351910.75</v>
      </c>
      <c r="D151" s="469">
        <v>12</v>
      </c>
      <c r="E151" s="470">
        <f t="shared" si="161"/>
        <v>4222929</v>
      </c>
      <c r="F151" s="470"/>
      <c r="G151" s="474">
        <v>289834.32</v>
      </c>
      <c r="H151" s="476"/>
      <c r="I151" s="470">
        <f t="shared" si="162"/>
        <v>3933094.68</v>
      </c>
      <c r="J151" s="470">
        <v>200000</v>
      </c>
      <c r="K151" s="470">
        <v>0.2</v>
      </c>
      <c r="L151" s="470">
        <f t="shared" si="163"/>
        <v>786618.936</v>
      </c>
      <c r="M151" s="470">
        <f t="shared" si="164"/>
        <v>986618.936</v>
      </c>
      <c r="N151" s="470">
        <f t="shared" si="165"/>
        <v>1276453.256</v>
      </c>
      <c r="O151" s="470">
        <f t="shared" si="166"/>
        <v>2946475.744</v>
      </c>
      <c r="P151" s="470">
        <f t="shared" si="167"/>
        <v>21000</v>
      </c>
      <c r="Q151" s="470">
        <f t="shared" si="168"/>
        <v>33000</v>
      </c>
      <c r="R151" s="470">
        <f t="shared" si="169"/>
        <v>75000</v>
      </c>
      <c r="S151" s="470">
        <f t="shared" si="170"/>
        <v>95000</v>
      </c>
      <c r="T151" s="470">
        <f t="shared" si="171"/>
        <v>282759.90624</v>
      </c>
      <c r="U151" s="470"/>
      <c r="V151" s="470">
        <f t="shared" si="173"/>
        <v>506759.90624</v>
      </c>
      <c r="W151" s="471">
        <v>12</v>
      </c>
      <c r="X151" s="470">
        <f t="shared" si="174"/>
        <v>42229.9921866667</v>
      </c>
      <c r="Y151" s="476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349</v>
      </c>
      <c r="C152" s="470">
        <v>358920.666666667</v>
      </c>
      <c r="D152" s="469">
        <v>12</v>
      </c>
      <c r="E152" s="470">
        <f t="shared" si="161"/>
        <v>4307048</v>
      </c>
      <c r="F152" s="470"/>
      <c r="G152" s="474">
        <v>296563.840000001</v>
      </c>
      <c r="H152" s="476"/>
      <c r="I152" s="470">
        <f t="shared" si="162"/>
        <v>4010484.16</v>
      </c>
      <c r="J152" s="470">
        <v>200000</v>
      </c>
      <c r="K152" s="470">
        <v>0.2</v>
      </c>
      <c r="L152" s="470">
        <f t="shared" si="163"/>
        <v>802096.832000001</v>
      </c>
      <c r="M152" s="470">
        <f t="shared" si="164"/>
        <v>1002096.832</v>
      </c>
      <c r="N152" s="470">
        <f t="shared" si="165"/>
        <v>1298660.672</v>
      </c>
      <c r="O152" s="470">
        <f t="shared" si="166"/>
        <v>3008387.328</v>
      </c>
      <c r="P152" s="470">
        <f t="shared" si="167"/>
        <v>21000</v>
      </c>
      <c r="Q152" s="470">
        <f t="shared" si="168"/>
        <v>33000</v>
      </c>
      <c r="R152" s="470">
        <f t="shared" si="169"/>
        <v>75000</v>
      </c>
      <c r="S152" s="470">
        <f t="shared" si="170"/>
        <v>95000</v>
      </c>
      <c r="T152" s="470">
        <f t="shared" si="171"/>
        <v>295761.33888</v>
      </c>
      <c r="U152" s="470"/>
      <c r="V152" s="470">
        <f t="shared" si="173"/>
        <v>519761.33888</v>
      </c>
      <c r="W152" s="471">
        <v>12</v>
      </c>
      <c r="X152" s="470">
        <f t="shared" si="174"/>
        <v>43313.4449066667</v>
      </c>
      <c r="Y152" s="476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350</v>
      </c>
      <c r="C153" s="470">
        <v>351910.75</v>
      </c>
      <c r="D153" s="469">
        <v>12</v>
      </c>
      <c r="E153" s="470">
        <f t="shared" si="161"/>
        <v>4222929</v>
      </c>
      <c r="F153" s="470"/>
      <c r="G153" s="474">
        <v>289834.32</v>
      </c>
      <c r="H153" s="476"/>
      <c r="I153" s="470">
        <f t="shared" si="162"/>
        <v>3933094.68</v>
      </c>
      <c r="J153" s="470">
        <v>200000</v>
      </c>
      <c r="K153" s="470">
        <v>0.2</v>
      </c>
      <c r="L153" s="470">
        <f t="shared" si="163"/>
        <v>786618.936</v>
      </c>
      <c r="M153" s="470">
        <f t="shared" si="164"/>
        <v>986618.936</v>
      </c>
      <c r="N153" s="470">
        <f t="shared" si="165"/>
        <v>1276453.256</v>
      </c>
      <c r="O153" s="470">
        <f t="shared" si="166"/>
        <v>2946475.744</v>
      </c>
      <c r="P153" s="470">
        <f t="shared" si="167"/>
        <v>21000</v>
      </c>
      <c r="Q153" s="470">
        <f t="shared" si="168"/>
        <v>33000</v>
      </c>
      <c r="R153" s="470">
        <f t="shared" si="169"/>
        <v>75000</v>
      </c>
      <c r="S153" s="470">
        <f t="shared" si="170"/>
        <v>95000</v>
      </c>
      <c r="T153" s="470">
        <f t="shared" si="171"/>
        <v>282759.90624</v>
      </c>
      <c r="U153" s="470"/>
      <c r="V153" s="470">
        <f t="shared" si="173"/>
        <v>506759.90624</v>
      </c>
      <c r="W153" s="471">
        <v>12</v>
      </c>
      <c r="X153" s="470">
        <f t="shared" si="174"/>
        <v>42229.9921866667</v>
      </c>
      <c r="Y153" s="476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351</v>
      </c>
      <c r="C154" s="470">
        <v>360647.920777778</v>
      </c>
      <c r="D154" s="469">
        <v>12</v>
      </c>
      <c r="E154" s="470">
        <f t="shared" si="161"/>
        <v>4327775.04933334</v>
      </c>
      <c r="F154" s="470"/>
      <c r="G154" s="474">
        <v>283104.8</v>
      </c>
      <c r="H154" s="476"/>
      <c r="I154" s="470">
        <f t="shared" si="162"/>
        <v>4044670.24933334</v>
      </c>
      <c r="J154" s="470">
        <v>200000</v>
      </c>
      <c r="K154" s="470">
        <v>0.2</v>
      </c>
      <c r="L154" s="470">
        <f t="shared" si="163"/>
        <v>808934.049866667</v>
      </c>
      <c r="M154" s="470">
        <f t="shared" si="164"/>
        <v>1008934.04986667</v>
      </c>
      <c r="N154" s="470">
        <f t="shared" si="165"/>
        <v>1292038.84986667</v>
      </c>
      <c r="O154" s="470">
        <f t="shared" si="166"/>
        <v>3035736.19946667</v>
      </c>
      <c r="P154" s="470">
        <f t="shared" si="167"/>
        <v>21000</v>
      </c>
      <c r="Q154" s="470">
        <f t="shared" si="168"/>
        <v>33000</v>
      </c>
      <c r="R154" s="470">
        <f t="shared" si="169"/>
        <v>75000</v>
      </c>
      <c r="S154" s="470">
        <f t="shared" si="170"/>
        <v>95000</v>
      </c>
      <c r="T154" s="470">
        <f t="shared" si="171"/>
        <v>301504.601888</v>
      </c>
      <c r="U154" s="470"/>
      <c r="V154" s="470">
        <f t="shared" si="173"/>
        <v>525504.601888</v>
      </c>
      <c r="W154" s="471">
        <v>12</v>
      </c>
      <c r="X154" s="470">
        <f t="shared" si="174"/>
        <v>43792.0501573334</v>
      </c>
      <c r="Y154" s="476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3"/>
      <c r="AD154" s="473"/>
      <c r="AE154" s="473"/>
    </row>
    <row r="155" ht="15.5" spans="1:31">
      <c r="A155" s="467">
        <v>139</v>
      </c>
      <c r="B155" s="351" t="s">
        <v>353</v>
      </c>
      <c r="C155" s="470">
        <v>344900.833333334</v>
      </c>
      <c r="D155" s="469">
        <v>12</v>
      </c>
      <c r="E155" s="470">
        <f t="shared" si="161"/>
        <v>4138810.00000001</v>
      </c>
      <c r="F155" s="470"/>
      <c r="G155" s="474">
        <v>283104.8</v>
      </c>
      <c r="H155" s="476"/>
      <c r="I155" s="470">
        <f t="shared" si="162"/>
        <v>3855705.20000001</v>
      </c>
      <c r="J155" s="470">
        <v>200000</v>
      </c>
      <c r="K155" s="470">
        <v>0.2</v>
      </c>
      <c r="L155" s="470">
        <f t="shared" si="163"/>
        <v>771141.040000002</v>
      </c>
      <c r="M155" s="470">
        <f t="shared" si="164"/>
        <v>971141.040000002</v>
      </c>
      <c r="N155" s="470">
        <f t="shared" si="165"/>
        <v>1254245.84</v>
      </c>
      <c r="O155" s="470">
        <f t="shared" si="166"/>
        <v>2884564.16000001</v>
      </c>
      <c r="P155" s="470">
        <f t="shared" si="167"/>
        <v>21000</v>
      </c>
      <c r="Q155" s="470">
        <f t="shared" si="168"/>
        <v>33000</v>
      </c>
      <c r="R155" s="470">
        <f t="shared" si="169"/>
        <v>75000</v>
      </c>
      <c r="S155" s="470">
        <f t="shared" si="170"/>
        <v>95000</v>
      </c>
      <c r="T155" s="470">
        <f t="shared" si="171"/>
        <v>269758.473600001</v>
      </c>
      <c r="U155" s="470"/>
      <c r="V155" s="470">
        <f t="shared" si="173"/>
        <v>493758.473600001</v>
      </c>
      <c r="W155" s="471">
        <v>12</v>
      </c>
      <c r="X155" s="470">
        <f t="shared" si="174"/>
        <v>41146.5394666668</v>
      </c>
      <c r="Y155" s="476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359</v>
      </c>
      <c r="C156" s="470">
        <v>271717.166666666</v>
      </c>
      <c r="D156" s="469">
        <v>12</v>
      </c>
      <c r="E156" s="470">
        <f t="shared" si="161"/>
        <v>3260605.99999999</v>
      </c>
      <c r="F156" s="470">
        <v>47786.5749999999</v>
      </c>
      <c r="G156" s="474">
        <v>228208.48</v>
      </c>
      <c r="H156" s="476"/>
      <c r="I156" s="470">
        <f t="shared" si="162"/>
        <v>2984610.94499999</v>
      </c>
      <c r="J156" s="470">
        <v>200000</v>
      </c>
      <c r="K156" s="470">
        <v>0.2</v>
      </c>
      <c r="L156" s="470">
        <f t="shared" si="163"/>
        <v>596922.188999998</v>
      </c>
      <c r="M156" s="470">
        <f t="shared" si="164"/>
        <v>796922.188999998</v>
      </c>
      <c r="N156" s="470">
        <f t="shared" si="165"/>
        <v>1072917.244</v>
      </c>
      <c r="O156" s="470">
        <f t="shared" si="166"/>
        <v>2187688.75599999</v>
      </c>
      <c r="P156" s="470">
        <f t="shared" si="167"/>
        <v>21000</v>
      </c>
      <c r="Q156" s="470">
        <f t="shared" si="168"/>
        <v>33000</v>
      </c>
      <c r="R156" s="470">
        <f t="shared" si="169"/>
        <v>75000</v>
      </c>
      <c r="S156" s="470">
        <f t="shared" si="170"/>
        <v>95000</v>
      </c>
      <c r="T156" s="470">
        <f t="shared" si="171"/>
        <v>123414.638759999</v>
      </c>
      <c r="U156" s="470"/>
      <c r="V156" s="470">
        <f t="shared" si="173"/>
        <v>347414.638759999</v>
      </c>
      <c r="W156" s="471">
        <v>12</v>
      </c>
      <c r="X156" s="470">
        <f t="shared" si="174"/>
        <v>28951.2198966665</v>
      </c>
      <c r="Y156" s="476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362</v>
      </c>
      <c r="C157" s="470">
        <v>274717.166666666</v>
      </c>
      <c r="D157" s="469">
        <v>12</v>
      </c>
      <c r="E157" s="470">
        <f t="shared" si="161"/>
        <v>3296605.99999999</v>
      </c>
      <c r="F157" s="470"/>
      <c r="G157" s="474">
        <v>228208.48</v>
      </c>
      <c r="H157" s="476"/>
      <c r="I157" s="470">
        <f t="shared" si="162"/>
        <v>3068397.51999999</v>
      </c>
      <c r="J157" s="470">
        <v>200000</v>
      </c>
      <c r="K157" s="470">
        <v>0.2</v>
      </c>
      <c r="L157" s="470">
        <f t="shared" si="163"/>
        <v>613679.503999998</v>
      </c>
      <c r="M157" s="470">
        <f t="shared" si="164"/>
        <v>813679.503999998</v>
      </c>
      <c r="N157" s="470">
        <f t="shared" si="165"/>
        <v>1041887.984</v>
      </c>
      <c r="O157" s="470">
        <f t="shared" si="166"/>
        <v>2254718.01599999</v>
      </c>
      <c r="P157" s="470">
        <f t="shared" si="167"/>
        <v>21000</v>
      </c>
      <c r="Q157" s="470">
        <f t="shared" si="168"/>
        <v>33000</v>
      </c>
      <c r="R157" s="470">
        <f t="shared" si="169"/>
        <v>75000</v>
      </c>
      <c r="S157" s="470">
        <f t="shared" si="170"/>
        <v>95000</v>
      </c>
      <c r="T157" s="470">
        <f t="shared" si="171"/>
        <v>137490.783359999</v>
      </c>
      <c r="U157" s="470"/>
      <c r="V157" s="470">
        <f t="shared" si="173"/>
        <v>361490.783359999</v>
      </c>
      <c r="W157" s="471">
        <v>12</v>
      </c>
      <c r="X157" s="470">
        <f t="shared" si="174"/>
        <v>30124.2319466666</v>
      </c>
      <c r="Y157" s="476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666</v>
      </c>
      <c r="C158" s="470">
        <v>271717.166666666</v>
      </c>
      <c r="D158" s="469">
        <v>12</v>
      </c>
      <c r="E158" s="470">
        <f t="shared" si="161"/>
        <v>3260605.99999999</v>
      </c>
      <c r="F158" s="470"/>
      <c r="G158" s="474">
        <v>228208.48</v>
      </c>
      <c r="H158" s="476"/>
      <c r="I158" s="470">
        <f t="shared" si="162"/>
        <v>3032397.51999999</v>
      </c>
      <c r="J158" s="470">
        <v>200000</v>
      </c>
      <c r="K158" s="470">
        <v>0.2</v>
      </c>
      <c r="L158" s="470">
        <f t="shared" si="163"/>
        <v>606479.503999998</v>
      </c>
      <c r="M158" s="470">
        <f t="shared" si="164"/>
        <v>806479.503999998</v>
      </c>
      <c r="N158" s="470">
        <f t="shared" si="165"/>
        <v>1034687.984</v>
      </c>
      <c r="O158" s="470">
        <f t="shared" si="166"/>
        <v>2225918.01599999</v>
      </c>
      <c r="P158" s="470">
        <f t="shared" si="167"/>
        <v>21000</v>
      </c>
      <c r="Q158" s="470">
        <f t="shared" si="168"/>
        <v>33000</v>
      </c>
      <c r="R158" s="470">
        <f t="shared" si="169"/>
        <v>75000</v>
      </c>
      <c r="S158" s="470">
        <f t="shared" si="170"/>
        <v>95000</v>
      </c>
      <c r="T158" s="470">
        <f t="shared" si="171"/>
        <v>131442.783359999</v>
      </c>
      <c r="U158" s="470"/>
      <c r="V158" s="470">
        <f t="shared" si="173"/>
        <v>355442.783359999</v>
      </c>
      <c r="W158" s="471">
        <v>12</v>
      </c>
      <c r="X158" s="470">
        <f t="shared" si="174"/>
        <v>29620.2319466666</v>
      </c>
      <c r="Y158" s="476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363</v>
      </c>
      <c r="C159" s="470">
        <v>271717.166666666</v>
      </c>
      <c r="D159" s="469">
        <v>12</v>
      </c>
      <c r="E159" s="470">
        <f t="shared" si="161"/>
        <v>3260605.99999999</v>
      </c>
      <c r="F159" s="470">
        <v>47786.5749999999</v>
      </c>
      <c r="G159" s="474">
        <v>228208.48</v>
      </c>
      <c r="H159" s="476"/>
      <c r="I159" s="470">
        <f t="shared" si="162"/>
        <v>2984610.94499999</v>
      </c>
      <c r="J159" s="470">
        <v>200000</v>
      </c>
      <c r="K159" s="470">
        <v>0.2</v>
      </c>
      <c r="L159" s="470">
        <f t="shared" si="163"/>
        <v>596922.188999998</v>
      </c>
      <c r="M159" s="470">
        <f t="shared" si="164"/>
        <v>796922.188999998</v>
      </c>
      <c r="N159" s="470">
        <f t="shared" si="165"/>
        <v>1072917.244</v>
      </c>
      <c r="O159" s="470">
        <f t="shared" si="166"/>
        <v>2187688.75599999</v>
      </c>
      <c r="P159" s="470">
        <f t="shared" si="167"/>
        <v>21000</v>
      </c>
      <c r="Q159" s="470">
        <f t="shared" si="168"/>
        <v>33000</v>
      </c>
      <c r="R159" s="470">
        <f t="shared" si="169"/>
        <v>75000</v>
      </c>
      <c r="S159" s="470">
        <f t="shared" si="170"/>
        <v>95000</v>
      </c>
      <c r="T159" s="470">
        <f t="shared" si="171"/>
        <v>123414.638759999</v>
      </c>
      <c r="U159" s="470"/>
      <c r="V159" s="470">
        <f t="shared" si="173"/>
        <v>347414.638759999</v>
      </c>
      <c r="W159" s="471">
        <v>12</v>
      </c>
      <c r="X159" s="470">
        <f t="shared" si="174"/>
        <v>28951.2198966665</v>
      </c>
      <c r="Y159" s="476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364</v>
      </c>
      <c r="C160" s="470">
        <v>271717.166666666</v>
      </c>
      <c r="D160" s="469">
        <v>12</v>
      </c>
      <c r="E160" s="470">
        <f t="shared" si="161"/>
        <v>3260605.99999999</v>
      </c>
      <c r="F160" s="470"/>
      <c r="G160" s="474">
        <v>228208.48</v>
      </c>
      <c r="H160" s="476"/>
      <c r="I160" s="470">
        <f t="shared" si="162"/>
        <v>3032397.51999999</v>
      </c>
      <c r="J160" s="470">
        <v>200000</v>
      </c>
      <c r="K160" s="470">
        <v>0.2</v>
      </c>
      <c r="L160" s="470">
        <f t="shared" si="163"/>
        <v>606479.503999998</v>
      </c>
      <c r="M160" s="470">
        <f t="shared" si="164"/>
        <v>806479.503999998</v>
      </c>
      <c r="N160" s="470">
        <f t="shared" si="165"/>
        <v>1034687.984</v>
      </c>
      <c r="O160" s="470">
        <f t="shared" si="166"/>
        <v>2225918.01599999</v>
      </c>
      <c r="P160" s="470">
        <f t="shared" si="167"/>
        <v>21000</v>
      </c>
      <c r="Q160" s="470">
        <f t="shared" si="168"/>
        <v>33000</v>
      </c>
      <c r="R160" s="470">
        <f t="shared" si="169"/>
        <v>75000</v>
      </c>
      <c r="S160" s="470">
        <f t="shared" si="170"/>
        <v>95000</v>
      </c>
      <c r="T160" s="470">
        <f t="shared" si="171"/>
        <v>131442.783359999</v>
      </c>
      <c r="U160" s="470"/>
      <c r="V160" s="470">
        <f t="shared" si="173"/>
        <v>355442.783359999</v>
      </c>
      <c r="W160" s="471">
        <v>12</v>
      </c>
      <c r="X160" s="470">
        <f t="shared" si="174"/>
        <v>29620.2319466666</v>
      </c>
      <c r="Y160" s="476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365</v>
      </c>
      <c r="C161" s="470">
        <v>268733.833333334</v>
      </c>
      <c r="D161" s="469">
        <v>12</v>
      </c>
      <c r="E161" s="470">
        <f t="shared" si="161"/>
        <v>3224806.00000001</v>
      </c>
      <c r="F161" s="470"/>
      <c r="G161" s="474">
        <v>222464.48</v>
      </c>
      <c r="H161" s="476"/>
      <c r="I161" s="470">
        <f t="shared" si="162"/>
        <v>3002341.52000001</v>
      </c>
      <c r="J161" s="470">
        <v>200000</v>
      </c>
      <c r="K161" s="470">
        <v>0.2</v>
      </c>
      <c r="L161" s="470">
        <f t="shared" si="163"/>
        <v>600468.304000002</v>
      </c>
      <c r="M161" s="470">
        <f t="shared" si="164"/>
        <v>800468.304000002</v>
      </c>
      <c r="N161" s="470">
        <f t="shared" si="165"/>
        <v>1022932.784</v>
      </c>
      <c r="O161" s="470">
        <f t="shared" si="166"/>
        <v>2201873.21600001</v>
      </c>
      <c r="P161" s="470">
        <f t="shared" si="167"/>
        <v>21000</v>
      </c>
      <c r="Q161" s="470">
        <f t="shared" si="168"/>
        <v>33000</v>
      </c>
      <c r="R161" s="470">
        <f t="shared" si="169"/>
        <v>75000</v>
      </c>
      <c r="S161" s="470">
        <f t="shared" si="170"/>
        <v>95000</v>
      </c>
      <c r="T161" s="470">
        <f t="shared" si="171"/>
        <v>126393.375360001</v>
      </c>
      <c r="U161" s="470"/>
      <c r="V161" s="470">
        <f t="shared" si="173"/>
        <v>350393.375360001</v>
      </c>
      <c r="W161" s="471">
        <v>12</v>
      </c>
      <c r="X161" s="470">
        <f t="shared" si="174"/>
        <v>29199.4479466668</v>
      </c>
      <c r="Y161" s="476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367</v>
      </c>
      <c r="C162" s="470">
        <v>265733.833333334</v>
      </c>
      <c r="D162" s="469">
        <v>12</v>
      </c>
      <c r="E162" s="470">
        <f t="shared" si="161"/>
        <v>3188806.00000001</v>
      </c>
      <c r="F162" s="470"/>
      <c r="G162" s="474">
        <v>222464.48</v>
      </c>
      <c r="H162" s="476"/>
      <c r="I162" s="470">
        <f t="shared" si="162"/>
        <v>2966341.52000001</v>
      </c>
      <c r="J162" s="470">
        <v>200000</v>
      </c>
      <c r="K162" s="470">
        <v>0.2</v>
      </c>
      <c r="L162" s="470">
        <f t="shared" si="163"/>
        <v>593268.304000002</v>
      </c>
      <c r="M162" s="470">
        <f t="shared" si="164"/>
        <v>793268.304000002</v>
      </c>
      <c r="N162" s="470">
        <f t="shared" si="165"/>
        <v>1015732.784</v>
      </c>
      <c r="O162" s="470">
        <f t="shared" si="166"/>
        <v>2173073.21600001</v>
      </c>
      <c r="P162" s="470">
        <f t="shared" si="167"/>
        <v>21000</v>
      </c>
      <c r="Q162" s="470">
        <f t="shared" si="168"/>
        <v>33000</v>
      </c>
      <c r="R162" s="470">
        <f t="shared" si="169"/>
        <v>75000</v>
      </c>
      <c r="S162" s="470">
        <f t="shared" si="170"/>
        <v>95000</v>
      </c>
      <c r="T162" s="470">
        <f t="shared" si="171"/>
        <v>120345.375360001</v>
      </c>
      <c r="U162" s="470"/>
      <c r="V162" s="470">
        <f t="shared" si="173"/>
        <v>344345.375360001</v>
      </c>
      <c r="W162" s="471">
        <v>12</v>
      </c>
      <c r="X162" s="470">
        <f t="shared" si="174"/>
        <v>28695.4479466668</v>
      </c>
      <c r="Y162" s="476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368</v>
      </c>
      <c r="C163" s="470">
        <v>268733.833333334</v>
      </c>
      <c r="D163" s="469">
        <v>12</v>
      </c>
      <c r="E163" s="470">
        <f t="shared" si="161"/>
        <v>3224806.00000001</v>
      </c>
      <c r="F163" s="470"/>
      <c r="G163" s="474">
        <v>222464.48</v>
      </c>
      <c r="H163" s="476"/>
      <c r="I163" s="470">
        <f t="shared" si="162"/>
        <v>3002341.52000001</v>
      </c>
      <c r="J163" s="470">
        <v>200000</v>
      </c>
      <c r="K163" s="470">
        <v>0.2</v>
      </c>
      <c r="L163" s="470">
        <f t="shared" si="163"/>
        <v>600468.304000002</v>
      </c>
      <c r="M163" s="470">
        <f t="shared" si="164"/>
        <v>800468.304000002</v>
      </c>
      <c r="N163" s="470">
        <f t="shared" si="165"/>
        <v>1022932.784</v>
      </c>
      <c r="O163" s="470">
        <f t="shared" si="166"/>
        <v>2201873.21600001</v>
      </c>
      <c r="P163" s="470">
        <f t="shared" si="167"/>
        <v>21000</v>
      </c>
      <c r="Q163" s="470">
        <f t="shared" si="168"/>
        <v>33000</v>
      </c>
      <c r="R163" s="470">
        <f t="shared" si="169"/>
        <v>75000</v>
      </c>
      <c r="S163" s="470">
        <f t="shared" si="170"/>
        <v>95000</v>
      </c>
      <c r="T163" s="470">
        <f t="shared" si="171"/>
        <v>126393.375360001</v>
      </c>
      <c r="U163" s="470"/>
      <c r="V163" s="470">
        <f t="shared" si="173"/>
        <v>350393.375360001</v>
      </c>
      <c r="W163" s="471">
        <v>12</v>
      </c>
      <c r="X163" s="470">
        <f t="shared" si="174"/>
        <v>29199.4479466668</v>
      </c>
      <c r="Y163" s="476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369</v>
      </c>
      <c r="C164" s="470">
        <v>265733.833333334</v>
      </c>
      <c r="D164" s="469">
        <v>12</v>
      </c>
      <c r="E164" s="470">
        <f t="shared" si="161"/>
        <v>3188806.00000001</v>
      </c>
      <c r="F164" s="470"/>
      <c r="G164" s="474">
        <v>222464.48</v>
      </c>
      <c r="H164" s="476"/>
      <c r="I164" s="470">
        <f t="shared" si="162"/>
        <v>2966341.52000001</v>
      </c>
      <c r="J164" s="470">
        <v>200000</v>
      </c>
      <c r="K164" s="470">
        <v>0.2</v>
      </c>
      <c r="L164" s="470">
        <f t="shared" si="163"/>
        <v>593268.304000002</v>
      </c>
      <c r="M164" s="470">
        <f t="shared" si="164"/>
        <v>793268.304000002</v>
      </c>
      <c r="N164" s="470">
        <f t="shared" si="165"/>
        <v>1015732.784</v>
      </c>
      <c r="O164" s="470">
        <f t="shared" si="166"/>
        <v>2173073.21600001</v>
      </c>
      <c r="P164" s="470">
        <f t="shared" si="167"/>
        <v>21000</v>
      </c>
      <c r="Q164" s="470">
        <f t="shared" si="168"/>
        <v>33000</v>
      </c>
      <c r="R164" s="470">
        <f t="shared" si="169"/>
        <v>75000</v>
      </c>
      <c r="S164" s="470">
        <f t="shared" si="170"/>
        <v>95000</v>
      </c>
      <c r="T164" s="470">
        <f t="shared" si="171"/>
        <v>120345.375360001</v>
      </c>
      <c r="U164" s="470"/>
      <c r="V164" s="470">
        <f t="shared" si="173"/>
        <v>344345.375360001</v>
      </c>
      <c r="W164" s="471">
        <v>12</v>
      </c>
      <c r="X164" s="470">
        <f t="shared" si="174"/>
        <v>28695.4479466668</v>
      </c>
      <c r="Y164" s="476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370</v>
      </c>
      <c r="C165" s="470">
        <v>265733.833333334</v>
      </c>
      <c r="D165" s="469">
        <v>12</v>
      </c>
      <c r="E165" s="470">
        <f t="shared" si="161"/>
        <v>3188806.00000001</v>
      </c>
      <c r="F165" s="470"/>
      <c r="G165" s="474">
        <v>222464.48</v>
      </c>
      <c r="H165" s="476"/>
      <c r="I165" s="470">
        <f t="shared" si="162"/>
        <v>2966341.52000001</v>
      </c>
      <c r="J165" s="470">
        <v>200000</v>
      </c>
      <c r="K165" s="470">
        <v>0.2</v>
      </c>
      <c r="L165" s="470">
        <f t="shared" si="163"/>
        <v>593268.304000002</v>
      </c>
      <c r="M165" s="470">
        <f t="shared" si="164"/>
        <v>793268.304000002</v>
      </c>
      <c r="N165" s="470">
        <f t="shared" si="165"/>
        <v>1015732.784</v>
      </c>
      <c r="O165" s="470">
        <f t="shared" si="166"/>
        <v>2173073.21600001</v>
      </c>
      <c r="P165" s="470">
        <f t="shared" si="167"/>
        <v>21000</v>
      </c>
      <c r="Q165" s="470">
        <f t="shared" si="168"/>
        <v>33000</v>
      </c>
      <c r="R165" s="470">
        <f t="shared" si="169"/>
        <v>75000</v>
      </c>
      <c r="S165" s="470">
        <f t="shared" si="170"/>
        <v>95000</v>
      </c>
      <c r="T165" s="470">
        <f t="shared" si="171"/>
        <v>120345.375360001</v>
      </c>
      <c r="U165" s="470"/>
      <c r="V165" s="470">
        <f t="shared" si="173"/>
        <v>344345.375360001</v>
      </c>
      <c r="W165" s="471">
        <v>12</v>
      </c>
      <c r="X165" s="470">
        <f t="shared" si="174"/>
        <v>28695.4479466668</v>
      </c>
      <c r="Y165" s="476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357</v>
      </c>
      <c r="C166" s="470">
        <v>268733.833333334</v>
      </c>
      <c r="D166" s="469">
        <v>12</v>
      </c>
      <c r="E166" s="470">
        <f t="shared" si="161"/>
        <v>3224806.00000001</v>
      </c>
      <c r="F166" s="470"/>
      <c r="G166" s="474">
        <v>222464.48</v>
      </c>
      <c r="H166" s="476"/>
      <c r="I166" s="470">
        <f t="shared" si="162"/>
        <v>3002341.52000001</v>
      </c>
      <c r="J166" s="470">
        <v>200000</v>
      </c>
      <c r="K166" s="470">
        <v>0.2</v>
      </c>
      <c r="L166" s="470">
        <f t="shared" si="163"/>
        <v>600468.304000002</v>
      </c>
      <c r="M166" s="470">
        <f t="shared" si="164"/>
        <v>800468.304000002</v>
      </c>
      <c r="N166" s="470">
        <f t="shared" si="165"/>
        <v>1022932.784</v>
      </c>
      <c r="O166" s="470">
        <f t="shared" si="166"/>
        <v>2201873.21600001</v>
      </c>
      <c r="P166" s="470">
        <f t="shared" si="167"/>
        <v>21000</v>
      </c>
      <c r="Q166" s="470">
        <f t="shared" si="168"/>
        <v>33000</v>
      </c>
      <c r="R166" s="470">
        <f t="shared" si="169"/>
        <v>75000</v>
      </c>
      <c r="S166" s="470">
        <f t="shared" si="170"/>
        <v>95000</v>
      </c>
      <c r="T166" s="470">
        <f t="shared" si="171"/>
        <v>126393.375360001</v>
      </c>
      <c r="U166" s="470"/>
      <c r="V166" s="470">
        <f t="shared" si="173"/>
        <v>350393.375360001</v>
      </c>
      <c r="W166" s="471">
        <v>12</v>
      </c>
      <c r="X166" s="470">
        <f t="shared" si="174"/>
        <v>29199.4479466668</v>
      </c>
      <c r="Y166" s="476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371</v>
      </c>
      <c r="C167" s="470">
        <v>256767.333333333</v>
      </c>
      <c r="D167" s="469">
        <v>12</v>
      </c>
      <c r="E167" s="470">
        <f t="shared" si="161"/>
        <v>3081208</v>
      </c>
      <c r="F167" s="470"/>
      <c r="G167" s="474">
        <v>210976.639999999</v>
      </c>
      <c r="H167" s="476"/>
      <c r="I167" s="470">
        <f t="shared" si="162"/>
        <v>2870231.36</v>
      </c>
      <c r="J167" s="470">
        <v>200000</v>
      </c>
      <c r="K167" s="470">
        <v>0.2</v>
      </c>
      <c r="L167" s="470">
        <f t="shared" si="163"/>
        <v>574046.271999999</v>
      </c>
      <c r="M167" s="470">
        <f t="shared" si="164"/>
        <v>774046.271999999</v>
      </c>
      <c r="N167" s="470">
        <f t="shared" si="165"/>
        <v>985022.911999998</v>
      </c>
      <c r="O167" s="470">
        <f t="shared" si="166"/>
        <v>2096185.088</v>
      </c>
      <c r="P167" s="470">
        <f t="shared" si="167"/>
        <v>21000</v>
      </c>
      <c r="Q167" s="470">
        <f t="shared" si="168"/>
        <v>33000</v>
      </c>
      <c r="R167" s="470">
        <f t="shared" si="169"/>
        <v>75000</v>
      </c>
      <c r="S167" s="470">
        <f t="shared" si="170"/>
        <v>95000</v>
      </c>
      <c r="T167" s="470">
        <f t="shared" si="171"/>
        <v>104198.86848</v>
      </c>
      <c r="U167" s="470"/>
      <c r="V167" s="470">
        <f t="shared" si="173"/>
        <v>328198.868479999</v>
      </c>
      <c r="W167" s="471">
        <v>12</v>
      </c>
      <c r="X167" s="470">
        <f t="shared" si="174"/>
        <v>27349.9057066666</v>
      </c>
      <c r="Y167" s="476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373</v>
      </c>
      <c r="C168" s="470">
        <v>256767.333333333</v>
      </c>
      <c r="D168" s="469">
        <v>12</v>
      </c>
      <c r="E168" s="470">
        <f t="shared" si="161"/>
        <v>3081208</v>
      </c>
      <c r="F168" s="470"/>
      <c r="G168" s="474">
        <v>210976.639999999</v>
      </c>
      <c r="H168" s="476"/>
      <c r="I168" s="470">
        <f t="shared" si="162"/>
        <v>2870231.36</v>
      </c>
      <c r="J168" s="470">
        <v>200000</v>
      </c>
      <c r="K168" s="470">
        <v>0.2</v>
      </c>
      <c r="L168" s="470">
        <f t="shared" si="163"/>
        <v>574046.271999999</v>
      </c>
      <c r="M168" s="470">
        <f t="shared" si="164"/>
        <v>774046.271999999</v>
      </c>
      <c r="N168" s="470">
        <f t="shared" si="165"/>
        <v>985022.911999998</v>
      </c>
      <c r="O168" s="470">
        <f t="shared" si="166"/>
        <v>2096185.088</v>
      </c>
      <c r="P168" s="470">
        <f t="shared" si="167"/>
        <v>21000</v>
      </c>
      <c r="Q168" s="470">
        <f t="shared" si="168"/>
        <v>33000</v>
      </c>
      <c r="R168" s="470">
        <f t="shared" si="169"/>
        <v>75000</v>
      </c>
      <c r="S168" s="470">
        <f t="shared" si="170"/>
        <v>95000</v>
      </c>
      <c r="T168" s="470">
        <f t="shared" si="171"/>
        <v>104198.86848</v>
      </c>
      <c r="U168" s="470"/>
      <c r="V168" s="470">
        <f t="shared" si="173"/>
        <v>328198.868479999</v>
      </c>
      <c r="W168" s="471">
        <v>12</v>
      </c>
      <c r="X168" s="470">
        <f t="shared" si="174"/>
        <v>27349.9057066666</v>
      </c>
      <c r="Y168" s="476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374</v>
      </c>
      <c r="C169" s="470">
        <v>262750.583333333</v>
      </c>
      <c r="D169" s="469">
        <v>12</v>
      </c>
      <c r="E169" s="470">
        <f t="shared" si="161"/>
        <v>3153007</v>
      </c>
      <c r="F169" s="470"/>
      <c r="G169" s="474">
        <v>216720.559999999</v>
      </c>
      <c r="H169" s="476"/>
      <c r="I169" s="470">
        <f t="shared" si="162"/>
        <v>2936286.44</v>
      </c>
      <c r="J169" s="470">
        <v>200000</v>
      </c>
      <c r="K169" s="470">
        <v>0.2</v>
      </c>
      <c r="L169" s="470">
        <f t="shared" si="163"/>
        <v>587257.287999999</v>
      </c>
      <c r="M169" s="470">
        <f t="shared" si="164"/>
        <v>787257.287999999</v>
      </c>
      <c r="N169" s="470">
        <f t="shared" si="165"/>
        <v>1003977.848</v>
      </c>
      <c r="O169" s="470">
        <f t="shared" si="166"/>
        <v>2149029.152</v>
      </c>
      <c r="P169" s="470">
        <f t="shared" si="167"/>
        <v>21000</v>
      </c>
      <c r="Q169" s="470">
        <f t="shared" si="168"/>
        <v>33000</v>
      </c>
      <c r="R169" s="470">
        <f t="shared" si="169"/>
        <v>75000</v>
      </c>
      <c r="S169" s="470">
        <f t="shared" si="170"/>
        <v>95000</v>
      </c>
      <c r="T169" s="470">
        <f t="shared" si="171"/>
        <v>115296.12192</v>
      </c>
      <c r="U169" s="470"/>
      <c r="V169" s="470">
        <f t="shared" si="173"/>
        <v>339296.12192</v>
      </c>
      <c r="W169" s="471">
        <v>12</v>
      </c>
      <c r="X169" s="470">
        <f t="shared" si="174"/>
        <v>28274.6768266666</v>
      </c>
      <c r="Y169" s="476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376</v>
      </c>
      <c r="C170" s="470">
        <v>240784</v>
      </c>
      <c r="D170" s="469">
        <v>12</v>
      </c>
      <c r="E170" s="470">
        <f t="shared" si="161"/>
        <v>2889408</v>
      </c>
      <c r="F170" s="470"/>
      <c r="G170" s="474">
        <v>205232.64</v>
      </c>
      <c r="H170" s="476"/>
      <c r="I170" s="470">
        <f t="shared" si="162"/>
        <v>2684175.36</v>
      </c>
      <c r="J170" s="470">
        <v>200000</v>
      </c>
      <c r="K170" s="470">
        <v>0.2</v>
      </c>
      <c r="L170" s="470">
        <f t="shared" si="163"/>
        <v>536835.072</v>
      </c>
      <c r="M170" s="470">
        <f t="shared" si="164"/>
        <v>736835.072</v>
      </c>
      <c r="N170" s="470">
        <f t="shared" si="165"/>
        <v>942067.712</v>
      </c>
      <c r="O170" s="470">
        <f t="shared" si="166"/>
        <v>1947340.288</v>
      </c>
      <c r="P170" s="470">
        <f t="shared" si="167"/>
        <v>21000</v>
      </c>
      <c r="Q170" s="470">
        <f t="shared" si="168"/>
        <v>33000</v>
      </c>
      <c r="R170" s="470">
        <f t="shared" si="169"/>
        <v>75000</v>
      </c>
      <c r="S170" s="470">
        <f t="shared" si="170"/>
        <v>95000</v>
      </c>
      <c r="T170" s="470">
        <f t="shared" si="171"/>
        <v>72941.46048</v>
      </c>
      <c r="U170" s="470"/>
      <c r="V170" s="470">
        <f t="shared" si="173"/>
        <v>296941.46048</v>
      </c>
      <c r="W170" s="471">
        <v>12</v>
      </c>
      <c r="X170" s="470">
        <f t="shared" si="174"/>
        <v>24745.1217066667</v>
      </c>
      <c r="Y170" s="476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378</v>
      </c>
      <c r="C171" s="470">
        <v>363463.725806452</v>
      </c>
      <c r="D171" s="469">
        <v>12</v>
      </c>
      <c r="E171" s="470">
        <f t="shared" si="161"/>
        <v>4361564.70967742</v>
      </c>
      <c r="F171" s="470"/>
      <c r="G171" s="474">
        <v>140502.48</v>
      </c>
      <c r="H171" s="476"/>
      <c r="I171" s="470">
        <f t="shared" si="162"/>
        <v>4221062.22967742</v>
      </c>
      <c r="J171" s="470">
        <v>200000</v>
      </c>
      <c r="K171" s="470">
        <v>0.2</v>
      </c>
      <c r="L171" s="470">
        <f t="shared" si="163"/>
        <v>844212.445935485</v>
      </c>
      <c r="M171" s="470">
        <f t="shared" si="164"/>
        <v>1044212.44593548</v>
      </c>
      <c r="N171" s="470">
        <f t="shared" si="165"/>
        <v>1184714.92593548</v>
      </c>
      <c r="O171" s="470">
        <f t="shared" si="166"/>
        <v>3176849.78374194</v>
      </c>
      <c r="P171" s="470">
        <f t="shared" si="167"/>
        <v>21000</v>
      </c>
      <c r="Q171" s="470">
        <f t="shared" si="168"/>
        <v>33000</v>
      </c>
      <c r="R171" s="470">
        <f t="shared" si="169"/>
        <v>75000</v>
      </c>
      <c r="S171" s="470">
        <f t="shared" si="170"/>
        <v>95000</v>
      </c>
      <c r="T171" s="470">
        <f t="shared" ref="T171:T176" si="177">IF((O171-1600000)&lt;0,0,IF((O171-1600000)&lt;1600000,0.21*(O171-1600000),336000))</f>
        <v>331138.454585807</v>
      </c>
      <c r="U171" s="470"/>
      <c r="V171" s="470">
        <f t="shared" si="173"/>
        <v>555138.454585807</v>
      </c>
      <c r="W171" s="471">
        <v>12</v>
      </c>
      <c r="X171" s="470">
        <f t="shared" si="174"/>
        <v>46261.5378821506</v>
      </c>
      <c r="Y171" s="476"/>
      <c r="Z171" s="929">
        <f t="shared" si="175"/>
        <v>46261.5378821506</v>
      </c>
      <c r="AA171" s="806">
        <v>7852.4192</v>
      </c>
      <c r="AB171" s="806">
        <f t="shared" si="176"/>
        <v>38409.1186821506</v>
      </c>
      <c r="AC171" s="473"/>
      <c r="AD171" s="473"/>
      <c r="AE171" s="473"/>
    </row>
    <row r="172" ht="15.5" spans="1:31">
      <c r="A172" s="467">
        <v>156</v>
      </c>
      <c r="B172" s="651" t="s">
        <v>379</v>
      </c>
      <c r="C172" s="470">
        <v>363463.725806452</v>
      </c>
      <c r="D172" s="469">
        <v>12</v>
      </c>
      <c r="E172" s="470">
        <f t="shared" si="161"/>
        <v>4361564.70967742</v>
      </c>
      <c r="F172" s="470"/>
      <c r="G172" s="474">
        <v>140502.48</v>
      </c>
      <c r="H172" s="476"/>
      <c r="I172" s="470">
        <f t="shared" si="162"/>
        <v>4221062.22967742</v>
      </c>
      <c r="J172" s="470">
        <v>200000</v>
      </c>
      <c r="K172" s="470">
        <v>0.2</v>
      </c>
      <c r="L172" s="470">
        <f t="shared" si="163"/>
        <v>844212.445935485</v>
      </c>
      <c r="M172" s="470">
        <f t="shared" si="164"/>
        <v>1044212.44593548</v>
      </c>
      <c r="N172" s="470">
        <f t="shared" si="165"/>
        <v>1184714.92593548</v>
      </c>
      <c r="O172" s="470">
        <f t="shared" si="166"/>
        <v>3176849.78374194</v>
      </c>
      <c r="P172" s="470">
        <f t="shared" si="167"/>
        <v>21000</v>
      </c>
      <c r="Q172" s="470">
        <f t="shared" si="168"/>
        <v>33000</v>
      </c>
      <c r="R172" s="470">
        <f t="shared" si="169"/>
        <v>75000</v>
      </c>
      <c r="S172" s="470">
        <f t="shared" si="170"/>
        <v>95000</v>
      </c>
      <c r="T172" s="470">
        <f t="shared" si="177"/>
        <v>331138.454585807</v>
      </c>
      <c r="U172" s="470"/>
      <c r="V172" s="470">
        <f t="shared" si="173"/>
        <v>555138.454585807</v>
      </c>
      <c r="W172" s="471">
        <v>12</v>
      </c>
      <c r="X172" s="470">
        <f t="shared" si="174"/>
        <v>46261.5378821506</v>
      </c>
      <c r="Y172" s="476"/>
      <c r="Z172" s="929">
        <f t="shared" si="175"/>
        <v>46261.5378821506</v>
      </c>
      <c r="AA172" s="806">
        <v>7492.4192</v>
      </c>
      <c r="AB172" s="806">
        <f t="shared" si="176"/>
        <v>38769.1186821506</v>
      </c>
      <c r="AC172" s="473"/>
      <c r="AD172" s="473"/>
      <c r="AE172" s="473"/>
    </row>
    <row r="173" ht="15.5" spans="1:31">
      <c r="A173" s="467">
        <v>157</v>
      </c>
      <c r="B173" s="651" t="s">
        <v>380</v>
      </c>
      <c r="C173" s="470">
        <v>363463.725806452</v>
      </c>
      <c r="D173" s="469">
        <v>12</v>
      </c>
      <c r="E173" s="470">
        <f t="shared" si="161"/>
        <v>4361564.70967742</v>
      </c>
      <c r="F173" s="470"/>
      <c r="G173" s="474">
        <v>140502.48</v>
      </c>
      <c r="H173" s="476"/>
      <c r="I173" s="470">
        <f t="shared" si="162"/>
        <v>4221062.22967742</v>
      </c>
      <c r="J173" s="470">
        <v>200000</v>
      </c>
      <c r="K173" s="470">
        <v>0.2</v>
      </c>
      <c r="L173" s="470">
        <f t="shared" si="163"/>
        <v>844212.445935485</v>
      </c>
      <c r="M173" s="470">
        <f t="shared" si="164"/>
        <v>1044212.44593548</v>
      </c>
      <c r="N173" s="470">
        <f t="shared" si="165"/>
        <v>1184714.92593548</v>
      </c>
      <c r="O173" s="470">
        <f t="shared" si="166"/>
        <v>3176849.78374194</v>
      </c>
      <c r="P173" s="470">
        <f t="shared" si="167"/>
        <v>21000</v>
      </c>
      <c r="Q173" s="470">
        <f t="shared" si="168"/>
        <v>33000</v>
      </c>
      <c r="R173" s="470">
        <f t="shared" si="169"/>
        <v>75000</v>
      </c>
      <c r="S173" s="470">
        <f t="shared" si="170"/>
        <v>95000</v>
      </c>
      <c r="T173" s="470">
        <f t="shared" si="177"/>
        <v>331138.454585807</v>
      </c>
      <c r="U173" s="470"/>
      <c r="V173" s="470">
        <f t="shared" si="173"/>
        <v>555138.454585807</v>
      </c>
      <c r="W173" s="471">
        <v>12</v>
      </c>
      <c r="X173" s="470">
        <f t="shared" si="174"/>
        <v>46261.5378821506</v>
      </c>
      <c r="Y173" s="476"/>
      <c r="Z173" s="929">
        <f t="shared" si="175"/>
        <v>46261.5378821506</v>
      </c>
      <c r="AA173" s="806">
        <v>7852.4192</v>
      </c>
      <c r="AB173" s="806">
        <f t="shared" si="176"/>
        <v>38409.1186821506</v>
      </c>
      <c r="AC173" s="473"/>
      <c r="AD173" s="473"/>
      <c r="AE173" s="473"/>
    </row>
    <row r="174" ht="15.5" spans="1:31">
      <c r="A174" s="467">
        <v>158</v>
      </c>
      <c r="B174" s="651" t="s">
        <v>381</v>
      </c>
      <c r="C174" s="938">
        <v>363463.725806452</v>
      </c>
      <c r="D174" s="469">
        <v>12</v>
      </c>
      <c r="E174" s="470">
        <f t="shared" si="161"/>
        <v>4361564.70967742</v>
      </c>
      <c r="F174" s="470"/>
      <c r="G174" s="474">
        <v>140502.48</v>
      </c>
      <c r="H174" s="476"/>
      <c r="I174" s="470">
        <f t="shared" si="162"/>
        <v>4221062.22967742</v>
      </c>
      <c r="J174" s="470">
        <v>200000</v>
      </c>
      <c r="K174" s="470">
        <v>0.2</v>
      </c>
      <c r="L174" s="470">
        <f t="shared" si="163"/>
        <v>844212.445935485</v>
      </c>
      <c r="M174" s="470">
        <f t="shared" si="164"/>
        <v>1044212.44593548</v>
      </c>
      <c r="N174" s="470">
        <f t="shared" si="165"/>
        <v>1184714.92593548</v>
      </c>
      <c r="O174" s="470">
        <f t="shared" si="166"/>
        <v>3176849.78374194</v>
      </c>
      <c r="P174" s="470">
        <f t="shared" si="167"/>
        <v>21000</v>
      </c>
      <c r="Q174" s="470">
        <f t="shared" si="168"/>
        <v>33000</v>
      </c>
      <c r="R174" s="470">
        <f t="shared" si="169"/>
        <v>75000</v>
      </c>
      <c r="S174" s="470">
        <f t="shared" si="170"/>
        <v>95000</v>
      </c>
      <c r="T174" s="470">
        <f t="shared" si="177"/>
        <v>331138.454585807</v>
      </c>
      <c r="U174" s="470"/>
      <c r="V174" s="470">
        <f t="shared" si="173"/>
        <v>555138.454585807</v>
      </c>
      <c r="W174" s="471">
        <v>12</v>
      </c>
      <c r="X174" s="470">
        <f t="shared" si="174"/>
        <v>46261.5378821506</v>
      </c>
      <c r="Y174" s="476"/>
      <c r="Z174" s="929">
        <f t="shared" si="175"/>
        <v>46261.5378821506</v>
      </c>
      <c r="AA174" s="806">
        <v>7492.4192</v>
      </c>
      <c r="AB174" s="806">
        <f t="shared" si="176"/>
        <v>38769.1186821506</v>
      </c>
      <c r="AC174" s="473"/>
      <c r="AD174" s="473"/>
      <c r="AE174" s="473"/>
    </row>
    <row r="175" ht="15.5" spans="1:31">
      <c r="A175" s="467">
        <v>159</v>
      </c>
      <c r="B175" s="651" t="s">
        <v>382</v>
      </c>
      <c r="C175" s="938">
        <v>363463.725806452</v>
      </c>
      <c r="D175" s="469">
        <v>12</v>
      </c>
      <c r="E175" s="470">
        <f t="shared" si="161"/>
        <v>4361564.70967742</v>
      </c>
      <c r="F175" s="470"/>
      <c r="G175" s="474">
        <v>140502.48</v>
      </c>
      <c r="H175" s="476"/>
      <c r="I175" s="470">
        <f t="shared" si="162"/>
        <v>4221062.22967742</v>
      </c>
      <c r="J175" s="470">
        <v>200000</v>
      </c>
      <c r="K175" s="470">
        <v>0.2</v>
      </c>
      <c r="L175" s="470">
        <f t="shared" si="163"/>
        <v>844212.445935485</v>
      </c>
      <c r="M175" s="470">
        <f t="shared" si="164"/>
        <v>1044212.44593548</v>
      </c>
      <c r="N175" s="470">
        <f t="shared" si="165"/>
        <v>1184714.92593548</v>
      </c>
      <c r="O175" s="470">
        <f t="shared" si="166"/>
        <v>3176849.78374194</v>
      </c>
      <c r="P175" s="470">
        <f t="shared" si="167"/>
        <v>21000</v>
      </c>
      <c r="Q175" s="470">
        <f t="shared" si="168"/>
        <v>33000</v>
      </c>
      <c r="R175" s="470">
        <f t="shared" si="169"/>
        <v>75000</v>
      </c>
      <c r="S175" s="470">
        <f t="shared" si="170"/>
        <v>95000</v>
      </c>
      <c r="T175" s="470">
        <f t="shared" si="177"/>
        <v>331138.454585807</v>
      </c>
      <c r="U175" s="470"/>
      <c r="V175" s="470">
        <f t="shared" si="173"/>
        <v>555138.454585807</v>
      </c>
      <c r="W175" s="471">
        <v>12</v>
      </c>
      <c r="X175" s="470">
        <f t="shared" si="174"/>
        <v>46261.5378821506</v>
      </c>
      <c r="Y175" s="476"/>
      <c r="Z175" s="929">
        <f t="shared" si="175"/>
        <v>46261.5378821506</v>
      </c>
      <c r="AA175" s="806">
        <v>7852.4192</v>
      </c>
      <c r="AB175" s="806">
        <f t="shared" si="176"/>
        <v>38409.1186821506</v>
      </c>
    </row>
    <row r="176" ht="15.5" spans="1:31">
      <c r="A176" s="467">
        <v>160</v>
      </c>
      <c r="B176" s="351" t="s">
        <v>383</v>
      </c>
      <c r="C176" s="806">
        <v>954446.8</v>
      </c>
      <c r="D176" s="469">
        <v>12</v>
      </c>
      <c r="E176" s="470">
        <f t="shared" si="161"/>
        <v>11453361.6</v>
      </c>
      <c r="F176" s="620"/>
      <c r="G176" s="474">
        <v>140502.48</v>
      </c>
      <c r="I176" s="470">
        <f t="shared" si="162"/>
        <v>11312859.12</v>
      </c>
      <c r="J176" s="470">
        <v>200000</v>
      </c>
      <c r="K176" s="470">
        <v>0.2</v>
      </c>
      <c r="L176" s="470">
        <f t="shared" si="163"/>
        <v>2262571.824</v>
      </c>
      <c r="M176" s="470">
        <f t="shared" si="164"/>
        <v>2462571.824</v>
      </c>
      <c r="N176" s="470">
        <f t="shared" si="165"/>
        <v>2603074.304</v>
      </c>
      <c r="O176" s="470">
        <f t="shared" si="166"/>
        <v>8850287.296</v>
      </c>
      <c r="P176" s="470">
        <f t="shared" si="167"/>
        <v>21000</v>
      </c>
      <c r="Q176" s="470">
        <f t="shared" si="168"/>
        <v>33000</v>
      </c>
      <c r="R176" s="470">
        <f t="shared" si="169"/>
        <v>75000</v>
      </c>
      <c r="S176" s="470">
        <f t="shared" si="170"/>
        <v>95000</v>
      </c>
      <c r="T176" s="470">
        <f t="shared" si="177"/>
        <v>336000</v>
      </c>
      <c r="U176" s="470">
        <f>0.24*(O176-3200000)</f>
        <v>1356068.95104</v>
      </c>
      <c r="V176" s="470">
        <f t="shared" si="173"/>
        <v>1916068.95104</v>
      </c>
      <c r="W176" s="471">
        <v>12</v>
      </c>
      <c r="X176" s="470">
        <f t="shared" si="174"/>
        <v>159672.412586667</v>
      </c>
      <c r="Z176" s="929">
        <f t="shared" si="175"/>
        <v>159672.412586667</v>
      </c>
      <c r="AA176" s="806">
        <v>7492.4192</v>
      </c>
      <c r="AB176" s="806">
        <f t="shared" si="176"/>
        <v>152179.993386667</v>
      </c>
    </row>
    <row r="177" ht="15.5" spans="1:28">
      <c r="A177" s="467">
        <v>161</v>
      </c>
      <c r="B177" s="351" t="s">
        <v>385</v>
      </c>
      <c r="C177" s="806">
        <v>173356.75</v>
      </c>
      <c r="D177" s="469">
        <v>12</v>
      </c>
      <c r="E177" s="470">
        <f t="shared" si="161"/>
        <v>2080281</v>
      </c>
      <c r="F177" s="620"/>
      <c r="G177" s="474">
        <v>140502.48</v>
      </c>
      <c r="I177" s="470">
        <f t="shared" si="162"/>
        <v>1939778.52</v>
      </c>
      <c r="J177" s="470">
        <v>200000</v>
      </c>
      <c r="K177" s="470">
        <v>0.2</v>
      </c>
      <c r="L177" s="470">
        <f t="shared" si="163"/>
        <v>387955.704</v>
      </c>
      <c r="M177" s="470">
        <f t="shared" si="164"/>
        <v>587955.704</v>
      </c>
      <c r="N177" s="470">
        <f t="shared" si="165"/>
        <v>728458.184</v>
      </c>
      <c r="O177" s="470">
        <f t="shared" si="166"/>
        <v>1351822.816</v>
      </c>
      <c r="P177" s="470">
        <f t="shared" si="167"/>
        <v>21000</v>
      </c>
      <c r="Q177" s="470">
        <f t="shared" si="168"/>
        <v>33000</v>
      </c>
      <c r="R177" s="470">
        <f t="shared" si="169"/>
        <v>75000</v>
      </c>
      <c r="S177" s="470">
        <f t="shared" si="170"/>
        <v>47846.33504</v>
      </c>
      <c r="T177" s="470">
        <f t="shared" si="171"/>
        <v>0</v>
      </c>
      <c r="U177" s="470"/>
      <c r="V177" s="470">
        <f t="shared" si="173"/>
        <v>176846.33504</v>
      </c>
      <c r="W177" s="471">
        <v>12</v>
      </c>
      <c r="X177" s="470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1:28">
      <c r="A178" s="467">
        <v>162</v>
      </c>
      <c r="B178" s="651" t="s">
        <v>668</v>
      </c>
      <c r="C178" s="806"/>
      <c r="D178" s="469"/>
      <c r="E178" s="470"/>
      <c r="F178" s="620"/>
      <c r="G178" s="474"/>
      <c r="I178" s="470"/>
      <c r="J178" s="470"/>
      <c r="K178" s="470"/>
      <c r="L178" s="470"/>
      <c r="M178" s="470"/>
      <c r="N178" s="470">
        <f t="shared" si="165"/>
        <v>0</v>
      </c>
      <c r="O178" s="470">
        <f t="shared" si="166"/>
        <v>0</v>
      </c>
      <c r="P178" s="470">
        <f t="shared" si="167"/>
        <v>0</v>
      </c>
      <c r="Q178" s="470">
        <f t="shared" si="168"/>
        <v>0</v>
      </c>
      <c r="R178" s="470">
        <f t="shared" si="169"/>
        <v>0</v>
      </c>
      <c r="S178" s="470">
        <f t="shared" si="170"/>
        <v>0</v>
      </c>
      <c r="T178" s="470">
        <f t="shared" si="171"/>
        <v>0</v>
      </c>
      <c r="U178" s="470"/>
      <c r="V178" s="470">
        <f t="shared" si="173"/>
        <v>0</v>
      </c>
      <c r="W178" s="471">
        <v>12</v>
      </c>
      <c r="X178" s="470">
        <f t="shared" si="174"/>
        <v>0</v>
      </c>
      <c r="Z178" s="929">
        <f t="shared" si="175"/>
        <v>0</v>
      </c>
      <c r="AA178" s="806"/>
      <c r="AB178" s="806"/>
    </row>
    <row r="179" ht="15.5" spans="1:28">
      <c r="A179" s="467">
        <v>163</v>
      </c>
      <c r="B179" s="651" t="s">
        <v>386</v>
      </c>
      <c r="C179" s="806">
        <v>173356.75</v>
      </c>
      <c r="D179" s="469">
        <v>12</v>
      </c>
      <c r="E179" s="470">
        <f t="shared" ref="E179:E187" si="178">C179*D179</f>
        <v>2080281</v>
      </c>
      <c r="F179" s="620"/>
      <c r="G179" s="474">
        <v>140502.48</v>
      </c>
      <c r="I179" s="470">
        <f t="shared" ref="I179:I187" si="179">E179-F179-G179-H179</f>
        <v>1939778.52</v>
      </c>
      <c r="J179" s="470">
        <v>200000</v>
      </c>
      <c r="K179" s="470">
        <v>0.2</v>
      </c>
      <c r="L179" s="470">
        <f t="shared" ref="L179:L187" si="180">I179*K179</f>
        <v>387955.704</v>
      </c>
      <c r="M179" s="470">
        <f t="shared" ref="M179:M187" si="181">J179+L179</f>
        <v>587955.704</v>
      </c>
      <c r="N179" s="470">
        <f t="shared" si="165"/>
        <v>728458.184</v>
      </c>
      <c r="O179" s="470">
        <f t="shared" si="166"/>
        <v>1351822.816</v>
      </c>
      <c r="P179" s="470">
        <f t="shared" si="167"/>
        <v>21000</v>
      </c>
      <c r="Q179" s="470">
        <f t="shared" si="168"/>
        <v>33000</v>
      </c>
      <c r="R179" s="470">
        <f t="shared" si="169"/>
        <v>75000</v>
      </c>
      <c r="S179" s="470">
        <f t="shared" si="170"/>
        <v>47846.33504</v>
      </c>
      <c r="T179" s="470">
        <f t="shared" si="171"/>
        <v>0</v>
      </c>
      <c r="V179" s="470">
        <f t="shared" si="173"/>
        <v>176846.33504</v>
      </c>
      <c r="W179" s="471">
        <v>12</v>
      </c>
      <c r="X179" s="470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2">Z179-AA179</f>
        <v>6884.77538666667</v>
      </c>
    </row>
    <row r="180" ht="15.5" spans="1:28">
      <c r="A180" s="467">
        <v>164</v>
      </c>
      <c r="B180" s="351" t="s">
        <v>358</v>
      </c>
      <c r="C180" s="806">
        <v>170495.666666667</v>
      </c>
      <c r="D180" s="469">
        <v>12</v>
      </c>
      <c r="E180" s="470">
        <f t="shared" si="178"/>
        <v>2045948</v>
      </c>
      <c r="F180" s="620"/>
      <c r="G180" s="474">
        <v>137755.84</v>
      </c>
      <c r="I180" s="470">
        <f t="shared" si="179"/>
        <v>1908192.16</v>
      </c>
      <c r="J180" s="470">
        <v>200000</v>
      </c>
      <c r="K180" s="470">
        <v>0.2</v>
      </c>
      <c r="L180" s="470">
        <f t="shared" si="180"/>
        <v>381638.432000001</v>
      </c>
      <c r="M180" s="470">
        <f t="shared" si="181"/>
        <v>581638.432000001</v>
      </c>
      <c r="N180" s="470">
        <f t="shared" si="165"/>
        <v>719394.272000001</v>
      </c>
      <c r="O180" s="470">
        <f t="shared" si="166"/>
        <v>1326553.728</v>
      </c>
      <c r="P180" s="470">
        <f t="shared" si="167"/>
        <v>21000</v>
      </c>
      <c r="Q180" s="470">
        <f t="shared" si="168"/>
        <v>33000</v>
      </c>
      <c r="R180" s="470">
        <f t="shared" si="169"/>
        <v>75000</v>
      </c>
      <c r="S180" s="470">
        <f t="shared" si="170"/>
        <v>43045.2083200006</v>
      </c>
      <c r="T180" s="470">
        <f t="shared" si="171"/>
        <v>0</v>
      </c>
      <c r="V180" s="470">
        <f t="shared" si="173"/>
        <v>172045.208320001</v>
      </c>
      <c r="W180" s="471">
        <v>12</v>
      </c>
      <c r="X180" s="470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2"/>
        <v>6765.95309333339</v>
      </c>
    </row>
    <row r="181" ht="15.5" spans="1:28">
      <c r="A181" s="467">
        <v>165</v>
      </c>
      <c r="B181" s="351" t="s">
        <v>389</v>
      </c>
      <c r="C181" s="806">
        <v>164773.5</v>
      </c>
      <c r="D181" s="469">
        <v>12</v>
      </c>
      <c r="E181" s="470">
        <f t="shared" si="178"/>
        <v>1977282</v>
      </c>
      <c r="F181" s="620"/>
      <c r="G181" s="474">
        <v>132262.56</v>
      </c>
      <c r="I181" s="470">
        <f t="shared" si="179"/>
        <v>1845019.44</v>
      </c>
      <c r="J181" s="470">
        <v>200000</v>
      </c>
      <c r="K181" s="470">
        <v>0.2</v>
      </c>
      <c r="L181" s="470">
        <f t="shared" si="180"/>
        <v>369003.888</v>
      </c>
      <c r="M181" s="470">
        <f t="shared" si="181"/>
        <v>569003.888</v>
      </c>
      <c r="N181" s="470">
        <f t="shared" si="165"/>
        <v>701266.448</v>
      </c>
      <c r="O181" s="470">
        <f t="shared" si="166"/>
        <v>1276015.552</v>
      </c>
      <c r="P181" s="470">
        <f t="shared" si="167"/>
        <v>21000</v>
      </c>
      <c r="Q181" s="470">
        <f t="shared" si="168"/>
        <v>33000</v>
      </c>
      <c r="R181" s="470">
        <f t="shared" si="169"/>
        <v>75000</v>
      </c>
      <c r="S181" s="470">
        <f t="shared" si="170"/>
        <v>33442.95488</v>
      </c>
      <c r="T181" s="470">
        <f t="shared" si="171"/>
        <v>0</v>
      </c>
      <c r="V181" s="470">
        <f t="shared" si="173"/>
        <v>162442.95488</v>
      </c>
      <c r="W181" s="471">
        <v>12</v>
      </c>
      <c r="X181" s="470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2"/>
        <v>9851.85290666667</v>
      </c>
    </row>
    <row r="182" ht="15.5" spans="1:28">
      <c r="A182" s="467">
        <v>166</v>
      </c>
      <c r="B182" s="351" t="s">
        <v>392</v>
      </c>
      <c r="C182" s="806">
        <v>156912.666666667</v>
      </c>
      <c r="D182" s="469">
        <v>12</v>
      </c>
      <c r="E182" s="470">
        <f t="shared" si="178"/>
        <v>1882952</v>
      </c>
      <c r="F182" s="620"/>
      <c r="G182" s="474">
        <v>129516.16</v>
      </c>
      <c r="I182" s="470">
        <f t="shared" si="179"/>
        <v>1753435.84</v>
      </c>
      <c r="J182" s="470">
        <v>200000</v>
      </c>
      <c r="K182" s="470">
        <v>0.2</v>
      </c>
      <c r="L182" s="470">
        <f t="shared" si="180"/>
        <v>350687.168000001</v>
      </c>
      <c r="M182" s="470">
        <f t="shared" si="181"/>
        <v>550687.168000001</v>
      </c>
      <c r="N182" s="470">
        <f t="shared" si="165"/>
        <v>680203.328000001</v>
      </c>
      <c r="O182" s="470">
        <f t="shared" si="166"/>
        <v>1202748.672</v>
      </c>
      <c r="P182" s="470">
        <f t="shared" si="167"/>
        <v>21000</v>
      </c>
      <c r="Q182" s="470">
        <f t="shared" si="168"/>
        <v>33000</v>
      </c>
      <c r="R182" s="470">
        <f t="shared" si="169"/>
        <v>75000</v>
      </c>
      <c r="S182" s="470">
        <f t="shared" si="170"/>
        <v>19522.2476800006</v>
      </c>
      <c r="T182" s="470">
        <f t="shared" si="171"/>
        <v>0</v>
      </c>
      <c r="V182" s="470">
        <f t="shared" si="173"/>
        <v>148522.247680001</v>
      </c>
      <c r="W182" s="471">
        <v>12</v>
      </c>
      <c r="X182" s="470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2"/>
        <v>5941.79237333338</v>
      </c>
    </row>
    <row r="183" ht="15.5" spans="1:28">
      <c r="A183" s="467">
        <v>167</v>
      </c>
      <c r="B183" s="351" t="s">
        <v>396</v>
      </c>
      <c r="C183" s="806">
        <v>157279.033333333</v>
      </c>
      <c r="D183" s="469">
        <v>12</v>
      </c>
      <c r="E183" s="470">
        <f t="shared" si="178"/>
        <v>1887348.4</v>
      </c>
      <c r="F183" s="620"/>
      <c r="G183" s="474">
        <v>123887.44</v>
      </c>
      <c r="I183" s="470">
        <f t="shared" si="179"/>
        <v>1763460.96</v>
      </c>
      <c r="J183" s="470">
        <v>200000</v>
      </c>
      <c r="K183" s="470">
        <v>0.2</v>
      </c>
      <c r="L183" s="470">
        <f t="shared" si="180"/>
        <v>352692.191999999</v>
      </c>
      <c r="M183" s="470">
        <f t="shared" si="181"/>
        <v>552692.191999999</v>
      </c>
      <c r="N183" s="470">
        <f t="shared" si="165"/>
        <v>676579.631999999</v>
      </c>
      <c r="O183" s="470">
        <f t="shared" si="166"/>
        <v>1210768.768</v>
      </c>
      <c r="P183" s="470">
        <f t="shared" si="167"/>
        <v>21000</v>
      </c>
      <c r="Q183" s="470">
        <f t="shared" si="168"/>
        <v>33000</v>
      </c>
      <c r="R183" s="470">
        <f t="shared" si="169"/>
        <v>75000</v>
      </c>
      <c r="S183" s="470">
        <f t="shared" si="170"/>
        <v>21046.0659199994</v>
      </c>
      <c r="T183" s="470">
        <f t="shared" si="171"/>
        <v>0</v>
      </c>
      <c r="V183" s="470">
        <f t="shared" si="173"/>
        <v>150046.065919999</v>
      </c>
      <c r="W183" s="471">
        <v>12</v>
      </c>
      <c r="X183" s="470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2"/>
        <v>7273.74002666662</v>
      </c>
    </row>
    <row r="184" ht="15.5" spans="1:28">
      <c r="A184" s="467">
        <v>168</v>
      </c>
      <c r="B184" s="351" t="s">
        <v>399</v>
      </c>
      <c r="C184" s="806">
        <v>148049.416666667</v>
      </c>
      <c r="D184" s="469">
        <v>12</v>
      </c>
      <c r="E184" s="470">
        <f t="shared" si="178"/>
        <v>1776593</v>
      </c>
      <c r="F184" s="620"/>
      <c r="G184" s="474">
        <v>123887.44</v>
      </c>
      <c r="I184" s="470">
        <f t="shared" si="179"/>
        <v>1652705.56</v>
      </c>
      <c r="J184" s="470">
        <v>200000</v>
      </c>
      <c r="K184" s="470">
        <v>0.2</v>
      </c>
      <c r="L184" s="470">
        <f t="shared" si="180"/>
        <v>330541.112000001</v>
      </c>
      <c r="M184" s="470">
        <f t="shared" si="181"/>
        <v>530541.112000001</v>
      </c>
      <c r="N184" s="470">
        <f t="shared" si="165"/>
        <v>654428.552000001</v>
      </c>
      <c r="O184" s="470">
        <f t="shared" si="166"/>
        <v>1122164.448</v>
      </c>
      <c r="P184" s="470">
        <f t="shared" si="167"/>
        <v>21000</v>
      </c>
      <c r="Q184" s="470">
        <f t="shared" si="168"/>
        <v>33000</v>
      </c>
      <c r="R184" s="470">
        <f t="shared" si="169"/>
        <v>75000</v>
      </c>
      <c r="S184" s="470">
        <f t="shared" si="170"/>
        <v>4211.24512000064</v>
      </c>
      <c r="T184" s="470">
        <f t="shared" si="171"/>
        <v>0</v>
      </c>
      <c r="V184" s="470">
        <f t="shared" si="173"/>
        <v>133211.245120001</v>
      </c>
      <c r="W184" s="471">
        <v>12</v>
      </c>
      <c r="X184" s="470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2"/>
        <v>5870.83829333339</v>
      </c>
    </row>
    <row r="185" ht="15.5" spans="1:28">
      <c r="A185" s="467">
        <v>169</v>
      </c>
      <c r="B185" s="351" t="s">
        <v>400</v>
      </c>
      <c r="C185" s="806">
        <v>148049.416666667</v>
      </c>
      <c r="D185" s="469">
        <v>12</v>
      </c>
      <c r="E185" s="470">
        <f t="shared" si="178"/>
        <v>1776593</v>
      </c>
      <c r="F185" s="620"/>
      <c r="G185" s="487">
        <v>123887.44</v>
      </c>
      <c r="I185" s="486">
        <f t="shared" si="179"/>
        <v>1652705.56</v>
      </c>
      <c r="J185" s="470">
        <v>200000</v>
      </c>
      <c r="K185" s="470">
        <v>0.2</v>
      </c>
      <c r="L185" s="470">
        <f t="shared" si="180"/>
        <v>330541.112000001</v>
      </c>
      <c r="M185" s="470">
        <f t="shared" si="181"/>
        <v>530541.112000001</v>
      </c>
      <c r="N185" s="470">
        <f t="shared" si="165"/>
        <v>654428.552000001</v>
      </c>
      <c r="O185" s="470">
        <f t="shared" si="166"/>
        <v>1122164.448</v>
      </c>
      <c r="P185" s="470">
        <f t="shared" si="167"/>
        <v>21000</v>
      </c>
      <c r="Q185" s="470">
        <f t="shared" si="168"/>
        <v>33000</v>
      </c>
      <c r="R185" s="470">
        <f t="shared" si="169"/>
        <v>75000</v>
      </c>
      <c r="S185" s="470">
        <f t="shared" si="170"/>
        <v>4211.24512000064</v>
      </c>
      <c r="T185" s="470">
        <f t="shared" si="171"/>
        <v>0</v>
      </c>
      <c r="V185" s="470">
        <f t="shared" si="173"/>
        <v>133211.245120001</v>
      </c>
      <c r="W185" s="471">
        <v>12</v>
      </c>
      <c r="X185" s="470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2"/>
        <v>5870.83829333339</v>
      </c>
    </row>
    <row r="186" ht="15.5" spans="1:28">
      <c r="A186" s="467">
        <v>170</v>
      </c>
      <c r="B186" s="351" t="s">
        <v>401</v>
      </c>
      <c r="C186" s="806">
        <v>162634.666666667</v>
      </c>
      <c r="D186" s="469">
        <v>12</v>
      </c>
      <c r="E186" s="470">
        <f t="shared" si="178"/>
        <v>1951616</v>
      </c>
      <c r="F186" s="620"/>
      <c r="G186" s="487">
        <v>135009.28</v>
      </c>
      <c r="H186" s="489"/>
      <c r="I186" s="486">
        <f t="shared" si="179"/>
        <v>1816606.72</v>
      </c>
      <c r="J186" s="486">
        <v>200000</v>
      </c>
      <c r="K186" s="486">
        <v>0.2</v>
      </c>
      <c r="L186" s="486">
        <f t="shared" si="180"/>
        <v>363321.344000001</v>
      </c>
      <c r="M186" s="486">
        <f t="shared" si="181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70">
        <f t="shared" si="171"/>
        <v>0</v>
      </c>
      <c r="V186" s="486">
        <f t="shared" si="173"/>
        <v>158124.221440001</v>
      </c>
      <c r="W186" s="490">
        <v>12</v>
      </c>
      <c r="X186" s="486">
        <f t="shared" si="174"/>
        <v>13177.0184533334</v>
      </c>
      <c r="Z186" s="932">
        <f t="shared" si="175"/>
        <v>13177.0184533334</v>
      </c>
      <c r="AA186" s="806">
        <v>6689.876</v>
      </c>
      <c r="AB186" s="806">
        <f t="shared" si="182"/>
        <v>6487.14245333339</v>
      </c>
    </row>
    <row r="187" ht="22" customHeight="1" spans="1:28">
      <c r="A187" s="467">
        <v>171</v>
      </c>
      <c r="B187" s="351" t="s">
        <v>404</v>
      </c>
      <c r="C187" s="806">
        <v>162634.666666667</v>
      </c>
      <c r="D187" s="469">
        <v>12</v>
      </c>
      <c r="E187" s="470">
        <f t="shared" si="178"/>
        <v>1951616</v>
      </c>
      <c r="F187" s="620"/>
      <c r="G187" s="487">
        <v>135009.28</v>
      </c>
      <c r="H187" s="489"/>
      <c r="I187" s="486">
        <f t="shared" si="179"/>
        <v>1816606.72</v>
      </c>
      <c r="J187" s="486">
        <v>200000</v>
      </c>
      <c r="K187" s="486">
        <v>0.2</v>
      </c>
      <c r="L187" s="486">
        <f t="shared" si="180"/>
        <v>363321.344000001</v>
      </c>
      <c r="M187" s="486">
        <f t="shared" si="181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70">
        <f t="shared" si="171"/>
        <v>0</v>
      </c>
      <c r="V187" s="486">
        <f t="shared" si="173"/>
        <v>158124.221440001</v>
      </c>
      <c r="W187" s="490">
        <v>12</v>
      </c>
      <c r="X187" s="486">
        <f t="shared" si="174"/>
        <v>13177.0184533334</v>
      </c>
      <c r="Z187" s="932">
        <f t="shared" si="175"/>
        <v>13177.0184533334</v>
      </c>
      <c r="AA187" s="806">
        <v>6689.876</v>
      </c>
      <c r="AB187" s="806">
        <f t="shared" si="182"/>
        <v>6487.14245333339</v>
      </c>
    </row>
    <row r="188" ht="26.25" customHeight="1" spans="1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 t="shared" ref="X188:AB188" si="183">SUM(X6:X187)</f>
        <v>14473354.7676727</v>
      </c>
      <c r="Y188" s="934"/>
      <c r="Z188" s="935">
        <f t="shared" si="183"/>
        <v>14473354.7676727</v>
      </c>
      <c r="AA188" s="935">
        <f t="shared" si="183"/>
        <v>10905235.8361748</v>
      </c>
      <c r="AB188" s="936">
        <f t="shared" si="183"/>
        <v>3568118.93149789</v>
      </c>
    </row>
    <row r="189" ht="17.5" spans="1:28">
      <c r="B189" s="33"/>
      <c r="C189" s="473"/>
      <c r="F189" s="500"/>
      <c r="Z189" s="296"/>
    </row>
    <row r="190" spans="1:28">
      <c r="F190" s="501"/>
      <c r="Z190" s="619"/>
    </row>
    <row r="191" spans="1:28">
      <c r="Z191" s="296"/>
    </row>
    <row r="192" spans="1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opLeftCell="A22" workbookViewId="0">
      <selection activeCell="B8" sqref="B8:K25"/>
    </sheetView>
  </sheetViews>
  <sheetFormatPr defaultColWidth="8.72727272727273" defaultRowHeight="12.5"/>
  <cols>
    <col min="1" max="1" width="5" customWidth="1"/>
    <col min="2" max="2" width="19" customWidth="1"/>
    <col min="3" max="3" width="15.3636363636364" customWidth="1"/>
    <col min="4" max="4" width="10.4545454545455" customWidth="1"/>
    <col min="5" max="5" width="14.3636363636364" customWidth="1"/>
    <col min="6" max="6" width="13.3636363636364" customWidth="1"/>
    <col min="7" max="7" width="8.81818181818182" customWidth="1"/>
    <col min="8" max="8" width="12.0909090909091" customWidth="1"/>
    <col min="9" max="9" width="13.7272727272727" customWidth="1"/>
    <col min="10" max="10" width="13.1818181818182" customWidth="1"/>
    <col min="11" max="11" width="12.0909090909091" customWidth="1"/>
    <col min="12" max="13" width="13.3636363636364" customWidth="1"/>
    <col min="14" max="14" width="12.5454545454545" customWidth="1"/>
  </cols>
  <sheetData>
    <row r="1" s="952" customFormat="1" ht="22.5" spans="1:14">
      <c r="A1" s="953" t="s">
        <v>0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="952" customFormat="1" ht="23" spans="1:14">
      <c r="A2" s="953" t="s">
        <v>829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="952" customFormat="1" ht="20" spans="1:14">
      <c r="A3" s="955" t="s">
        <v>830</v>
      </c>
      <c r="B3" s="956"/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</row>
    <row r="4" s="952" customFormat="1" ht="30" spans="1:14">
      <c r="A4" s="957" t="s">
        <v>22</v>
      </c>
      <c r="B4" s="958" t="s">
        <v>2</v>
      </c>
      <c r="C4" s="958"/>
      <c r="D4" s="959" t="s">
        <v>4</v>
      </c>
      <c r="E4" s="958" t="s">
        <v>831</v>
      </c>
      <c r="F4" s="959" t="s">
        <v>832</v>
      </c>
      <c r="G4" s="959" t="s">
        <v>833</v>
      </c>
      <c r="H4" s="959" t="s">
        <v>9</v>
      </c>
      <c r="I4" s="960" t="s">
        <v>427</v>
      </c>
      <c r="J4" s="960"/>
      <c r="K4" s="960"/>
      <c r="L4" s="960"/>
      <c r="M4" s="960"/>
      <c r="N4" s="961" t="s">
        <v>834</v>
      </c>
    </row>
    <row r="5" s="952" customFormat="1" ht="71" customHeight="1" spans="1:14">
      <c r="A5" s="957"/>
      <c r="B5" s="958"/>
      <c r="C5" s="958"/>
      <c r="D5" s="958"/>
      <c r="E5" s="958"/>
      <c r="F5" s="959"/>
      <c r="G5" s="959"/>
      <c r="H5" s="958"/>
      <c r="I5" s="962" t="s">
        <v>835</v>
      </c>
      <c r="J5" s="962" t="s">
        <v>836</v>
      </c>
      <c r="K5" s="962" t="s">
        <v>837</v>
      </c>
      <c r="L5" s="962" t="s">
        <v>838</v>
      </c>
      <c r="M5" s="962" t="s">
        <v>18</v>
      </c>
      <c r="N5" s="961"/>
    </row>
    <row r="6" s="952" customFormat="1" ht="9" customHeight="1" spans="1:14">
      <c r="A6" s="963"/>
      <c r="B6" s="964"/>
      <c r="C6" s="964"/>
      <c r="D6" s="964"/>
      <c r="E6" s="964"/>
      <c r="F6" s="965"/>
      <c r="G6" s="965"/>
      <c r="H6" s="964"/>
      <c r="I6" s="965"/>
      <c r="J6" s="965"/>
      <c r="K6" s="965"/>
      <c r="L6" s="965"/>
      <c r="M6" s="965"/>
      <c r="N6" s="966"/>
    </row>
    <row r="7" s="952" customFormat="1" ht="18" spans="1:14">
      <c r="A7" s="967"/>
      <c r="B7" s="967"/>
      <c r="C7" s="967"/>
      <c r="D7" s="967"/>
      <c r="E7" s="968" t="s">
        <v>21</v>
      </c>
      <c r="F7" s="968" t="s">
        <v>21</v>
      </c>
      <c r="G7" s="968" t="s">
        <v>21</v>
      </c>
      <c r="H7" s="968" t="s">
        <v>21</v>
      </c>
      <c r="I7" s="968" t="s">
        <v>21</v>
      </c>
      <c r="J7" s="968" t="s">
        <v>21</v>
      </c>
      <c r="K7" s="968" t="s">
        <v>21</v>
      </c>
      <c r="L7" s="968" t="s">
        <v>21</v>
      </c>
      <c r="M7" s="968" t="s">
        <v>21</v>
      </c>
      <c r="N7" s="969" t="s">
        <v>21</v>
      </c>
    </row>
    <row r="8" s="952" customFormat="1" ht="30" customHeight="1" spans="1:14">
      <c r="A8" s="967">
        <v>1</v>
      </c>
      <c r="B8" s="970" t="s">
        <v>839</v>
      </c>
      <c r="C8" s="971" t="s">
        <v>493</v>
      </c>
      <c r="D8" s="971" t="s">
        <v>275</v>
      </c>
      <c r="E8" s="972">
        <v>218287.583333333</v>
      </c>
      <c r="F8" s="973">
        <v>50000</v>
      </c>
      <c r="G8" s="973"/>
      <c r="H8" s="974">
        <f t="shared" ref="H8:H39" si="0">E8+F8+G8</f>
        <v>268287.583333333</v>
      </c>
      <c r="I8" s="975"/>
      <c r="J8" s="975"/>
      <c r="K8" s="975"/>
      <c r="L8" s="976">
        <v>29305.1955466667</v>
      </c>
      <c r="M8" s="974">
        <f t="shared" ref="M8:M46" si="1">I8+J8+K8+L8</f>
        <v>29305.1955466667</v>
      </c>
      <c r="N8" s="977">
        <f t="shared" ref="N8:N46" si="2">H8-M8</f>
        <v>238982.387786666</v>
      </c>
    </row>
    <row r="9" s="952" customFormat="1" ht="30" customHeight="1" spans="1:14">
      <c r="A9" s="967">
        <v>2</v>
      </c>
      <c r="B9" s="970" t="s">
        <v>840</v>
      </c>
      <c r="C9" s="971" t="s">
        <v>493</v>
      </c>
      <c r="D9" s="971" t="s">
        <v>275</v>
      </c>
      <c r="E9" s="972">
        <v>218287.583333333</v>
      </c>
      <c r="F9" s="973">
        <v>50000</v>
      </c>
      <c r="G9" s="973"/>
      <c r="H9" s="974">
        <f t="shared" si="0"/>
        <v>268287.583333333</v>
      </c>
      <c r="I9" s="975"/>
      <c r="J9" s="975"/>
      <c r="K9" s="975">
        <v>70000</v>
      </c>
      <c r="L9" s="976">
        <v>29305.1955466667</v>
      </c>
      <c r="M9" s="974">
        <f t="shared" si="1"/>
        <v>99305.1955466667</v>
      </c>
      <c r="N9" s="977">
        <f t="shared" si="2"/>
        <v>168982.387786666</v>
      </c>
    </row>
    <row r="10" s="952" customFormat="1" ht="30" customHeight="1" spans="1:14">
      <c r="A10" s="967">
        <v>3</v>
      </c>
      <c r="B10" s="970" t="s">
        <v>841</v>
      </c>
      <c r="C10" s="967" t="s">
        <v>842</v>
      </c>
      <c r="D10" s="967" t="s">
        <v>81</v>
      </c>
      <c r="E10" s="978">
        <v>293029.666666667</v>
      </c>
      <c r="F10" s="979">
        <v>110000</v>
      </c>
      <c r="G10" s="973"/>
      <c r="H10" s="974">
        <f t="shared" si="0"/>
        <v>403029.666666667</v>
      </c>
      <c r="I10" s="975">
        <v>50000</v>
      </c>
      <c r="J10" s="975"/>
      <c r="K10" s="975"/>
      <c r="L10" s="975">
        <v>56048.36</v>
      </c>
      <c r="M10" s="974">
        <f t="shared" si="1"/>
        <v>106048.36</v>
      </c>
      <c r="N10" s="977">
        <f t="shared" si="2"/>
        <v>296981.306666667</v>
      </c>
    </row>
    <row r="11" s="952" customFormat="1" ht="30" customHeight="1" spans="1:14">
      <c r="A11" s="967">
        <v>4</v>
      </c>
      <c r="B11" s="970" t="s">
        <v>843</v>
      </c>
      <c r="C11" s="971" t="s">
        <v>493</v>
      </c>
      <c r="D11" s="971" t="s">
        <v>275</v>
      </c>
      <c r="E11" s="972">
        <v>218287.583333333</v>
      </c>
      <c r="F11" s="973">
        <v>50000</v>
      </c>
      <c r="G11" s="973"/>
      <c r="H11" s="974">
        <f t="shared" si="0"/>
        <v>268287.583333333</v>
      </c>
      <c r="I11" s="975">
        <v>20000</v>
      </c>
      <c r="J11" s="975"/>
      <c r="K11" s="975"/>
      <c r="L11" s="976">
        <v>29305.1955466667</v>
      </c>
      <c r="M11" s="974">
        <f t="shared" si="1"/>
        <v>49305.1955466667</v>
      </c>
      <c r="N11" s="977">
        <f t="shared" si="2"/>
        <v>218982.387786666</v>
      </c>
    </row>
    <row r="12" s="952" customFormat="1" ht="30" customHeight="1" spans="1:14">
      <c r="A12" s="967">
        <v>5</v>
      </c>
      <c r="B12" s="970" t="s">
        <v>844</v>
      </c>
      <c r="C12" s="971" t="s">
        <v>493</v>
      </c>
      <c r="D12" s="971" t="s">
        <v>225</v>
      </c>
      <c r="E12" s="972">
        <f>255849</f>
        <v>255849</v>
      </c>
      <c r="F12" s="973">
        <f>60000</f>
        <v>60000</v>
      </c>
      <c r="G12" s="973"/>
      <c r="H12" s="974">
        <f t="shared" si="0"/>
        <v>315849</v>
      </c>
      <c r="I12" s="975"/>
      <c r="J12" s="975"/>
      <c r="K12" s="975"/>
      <c r="L12" s="976">
        <v>40229.2986666667</v>
      </c>
      <c r="M12" s="974">
        <f t="shared" si="1"/>
        <v>40229.2986666667</v>
      </c>
      <c r="N12" s="977">
        <f t="shared" si="2"/>
        <v>275619.701333333</v>
      </c>
    </row>
    <row r="13" s="952" customFormat="1" ht="30" customHeight="1" spans="1:14">
      <c r="A13" s="967">
        <v>6</v>
      </c>
      <c r="B13" s="970" t="s">
        <v>845</v>
      </c>
      <c r="C13" s="971" t="s">
        <v>493</v>
      </c>
      <c r="D13" s="971" t="s">
        <v>275</v>
      </c>
      <c r="E13" s="972">
        <f t="shared" ref="E13:E16" si="3">218287.583333333</f>
        <v>218287.583333333</v>
      </c>
      <c r="F13" s="973">
        <f t="shared" ref="F13:F16" si="4">50000</f>
        <v>50000</v>
      </c>
      <c r="G13" s="973"/>
      <c r="H13" s="974">
        <f t="shared" si="0"/>
        <v>268287.583333333</v>
      </c>
      <c r="I13" s="975"/>
      <c r="J13" s="975"/>
      <c r="K13" s="975"/>
      <c r="L13" s="976">
        <v>29305.1955466667</v>
      </c>
      <c r="M13" s="974">
        <f t="shared" si="1"/>
        <v>29305.1955466667</v>
      </c>
      <c r="N13" s="977">
        <f t="shared" si="2"/>
        <v>238982.387786666</v>
      </c>
    </row>
    <row r="14" s="952" customFormat="1" ht="30" customHeight="1" spans="1:14">
      <c r="A14" s="967">
        <v>7</v>
      </c>
      <c r="B14" s="970" t="s">
        <v>846</v>
      </c>
      <c r="C14" s="971" t="s">
        <v>493</v>
      </c>
      <c r="D14" s="971" t="s">
        <v>275</v>
      </c>
      <c r="E14" s="972">
        <f t="shared" si="3"/>
        <v>218287.583333333</v>
      </c>
      <c r="F14" s="973">
        <f t="shared" si="4"/>
        <v>50000</v>
      </c>
      <c r="G14" s="973"/>
      <c r="H14" s="974">
        <f t="shared" si="0"/>
        <v>268287.583333333</v>
      </c>
      <c r="I14" s="975">
        <v>20000</v>
      </c>
      <c r="J14" s="975"/>
      <c r="K14" s="975"/>
      <c r="L14" s="976">
        <v>29305.1955466667</v>
      </c>
      <c r="M14" s="974">
        <f t="shared" si="1"/>
        <v>49305.1955466667</v>
      </c>
      <c r="N14" s="977">
        <f t="shared" si="2"/>
        <v>218982.387786666</v>
      </c>
    </row>
    <row r="15" s="952" customFormat="1" ht="30" customHeight="1" spans="1:14">
      <c r="A15" s="967">
        <v>8</v>
      </c>
      <c r="B15" s="970" t="s">
        <v>847</v>
      </c>
      <c r="C15" s="971" t="s">
        <v>493</v>
      </c>
      <c r="D15" s="971" t="s">
        <v>275</v>
      </c>
      <c r="E15" s="972">
        <f t="shared" si="3"/>
        <v>218287.583333333</v>
      </c>
      <c r="F15" s="973">
        <f t="shared" si="4"/>
        <v>50000</v>
      </c>
      <c r="G15" s="973"/>
      <c r="H15" s="974">
        <f t="shared" si="0"/>
        <v>268287.583333333</v>
      </c>
      <c r="I15" s="975">
        <v>20000</v>
      </c>
      <c r="J15" s="975">
        <v>80000</v>
      </c>
      <c r="K15" s="975"/>
      <c r="L15" s="976">
        <v>29305.1955466667</v>
      </c>
      <c r="M15" s="974">
        <f t="shared" si="1"/>
        <v>129305.195546667</v>
      </c>
      <c r="N15" s="977">
        <f t="shared" si="2"/>
        <v>138982.387786666</v>
      </c>
    </row>
    <row r="16" s="952" customFormat="1" ht="30" customHeight="1" spans="1:14">
      <c r="A16" s="967">
        <v>9</v>
      </c>
      <c r="B16" s="970" t="s">
        <v>848</v>
      </c>
      <c r="C16" s="971" t="s">
        <v>493</v>
      </c>
      <c r="D16" s="971" t="s">
        <v>275</v>
      </c>
      <c r="E16" s="972">
        <f t="shared" si="3"/>
        <v>218287.583333333</v>
      </c>
      <c r="F16" s="973">
        <f t="shared" si="4"/>
        <v>50000</v>
      </c>
      <c r="G16" s="973"/>
      <c r="H16" s="974">
        <f t="shared" si="0"/>
        <v>268287.583333333</v>
      </c>
      <c r="I16" s="975"/>
      <c r="J16" s="975"/>
      <c r="K16" s="975"/>
      <c r="L16" s="976">
        <v>29305.1955466667</v>
      </c>
      <c r="M16" s="974">
        <f t="shared" si="1"/>
        <v>29305.1955466667</v>
      </c>
      <c r="N16" s="977">
        <f t="shared" si="2"/>
        <v>238982.387786666</v>
      </c>
    </row>
    <row r="17" s="952" customFormat="1" ht="30" customHeight="1" spans="1:14">
      <c r="A17" s="967">
        <v>10</v>
      </c>
      <c r="B17" s="980" t="s">
        <v>849</v>
      </c>
      <c r="C17" s="971" t="s">
        <v>493</v>
      </c>
      <c r="D17" s="967" t="s">
        <v>143</v>
      </c>
      <c r="E17" s="978">
        <v>716034</v>
      </c>
      <c r="F17" s="981">
        <v>90000</v>
      </c>
      <c r="G17" s="982"/>
      <c r="H17" s="974">
        <f t="shared" si="0"/>
        <v>806034</v>
      </c>
      <c r="I17" s="975">
        <v>100000</v>
      </c>
      <c r="J17" s="975">
        <v>140000</v>
      </c>
      <c r="K17" s="975">
        <v>100000</v>
      </c>
      <c r="L17" s="975">
        <v>133425.19</v>
      </c>
      <c r="M17" s="974">
        <f t="shared" si="1"/>
        <v>473425.19</v>
      </c>
      <c r="N17" s="977">
        <f t="shared" si="2"/>
        <v>332608.81</v>
      </c>
    </row>
    <row r="18" s="952" customFormat="1" ht="30" customHeight="1" spans="1:14">
      <c r="A18" s="967">
        <v>11</v>
      </c>
      <c r="B18" s="970" t="s">
        <v>850</v>
      </c>
      <c r="C18" s="967" t="s">
        <v>842</v>
      </c>
      <c r="D18" s="971" t="s">
        <v>225</v>
      </c>
      <c r="E18" s="972">
        <f t="shared" ref="E18:E25" si="5">255849</f>
        <v>255849</v>
      </c>
      <c r="F18" s="973">
        <f>100000</f>
        <v>100000</v>
      </c>
      <c r="G18" s="973"/>
      <c r="H18" s="974">
        <f t="shared" si="0"/>
        <v>355849</v>
      </c>
      <c r="I18" s="975"/>
      <c r="J18" s="975"/>
      <c r="K18" s="975"/>
      <c r="L18" s="976">
        <v>46989.67</v>
      </c>
      <c r="M18" s="974">
        <f t="shared" si="1"/>
        <v>46989.67</v>
      </c>
      <c r="N18" s="977">
        <f t="shared" si="2"/>
        <v>308859.33</v>
      </c>
    </row>
    <row r="19" s="952" customFormat="1" ht="30" customHeight="1" spans="1:14">
      <c r="A19" s="967">
        <v>12</v>
      </c>
      <c r="B19" s="970" t="s">
        <v>851</v>
      </c>
      <c r="C19" s="971" t="s">
        <v>493</v>
      </c>
      <c r="D19" s="967" t="s">
        <v>42</v>
      </c>
      <c r="E19" s="976">
        <v>582118.083333333</v>
      </c>
      <c r="F19" s="981">
        <v>80000</v>
      </c>
      <c r="G19" s="967"/>
      <c r="H19" s="974">
        <f t="shared" si="0"/>
        <v>662118.083333333</v>
      </c>
      <c r="I19" s="976">
        <v>50000</v>
      </c>
      <c r="J19" s="976"/>
      <c r="K19" s="976"/>
      <c r="L19" s="976">
        <v>105793.338666667</v>
      </c>
      <c r="M19" s="974">
        <f t="shared" si="1"/>
        <v>155793.338666667</v>
      </c>
      <c r="N19" s="977">
        <f t="shared" si="2"/>
        <v>506324.744666666</v>
      </c>
    </row>
    <row r="20" s="952" customFormat="1" ht="30" customHeight="1" spans="1:14">
      <c r="A20" s="967">
        <v>13</v>
      </c>
      <c r="B20" s="970" t="s">
        <v>852</v>
      </c>
      <c r="C20" s="971" t="s">
        <v>853</v>
      </c>
      <c r="D20" s="971" t="s">
        <v>225</v>
      </c>
      <c r="E20" s="972">
        <f t="shared" si="5"/>
        <v>255849</v>
      </c>
      <c r="F20" s="973">
        <f>100000+200000</f>
        <v>300000</v>
      </c>
      <c r="G20" s="973"/>
      <c r="H20" s="974">
        <f t="shared" si="0"/>
        <v>555849</v>
      </c>
      <c r="I20" s="975"/>
      <c r="J20" s="975"/>
      <c r="K20" s="975"/>
      <c r="L20" s="976">
        <v>80860</v>
      </c>
      <c r="M20" s="974">
        <f t="shared" si="1"/>
        <v>80860</v>
      </c>
      <c r="N20" s="977">
        <f t="shared" si="2"/>
        <v>474989</v>
      </c>
    </row>
    <row r="21" s="952" customFormat="1" ht="30" customHeight="1" spans="1:14">
      <c r="A21" s="967">
        <v>14</v>
      </c>
      <c r="B21" s="970" t="s">
        <v>854</v>
      </c>
      <c r="C21" s="971" t="s">
        <v>493</v>
      </c>
      <c r="D21" s="971" t="s">
        <v>600</v>
      </c>
      <c r="E21" s="972">
        <f>428870.75</f>
        <v>428870.75</v>
      </c>
      <c r="F21" s="973">
        <f>70000</f>
        <v>70000</v>
      </c>
      <c r="G21" s="973"/>
      <c r="H21" s="974">
        <f t="shared" si="0"/>
        <v>498870.75</v>
      </c>
      <c r="I21" s="975"/>
      <c r="J21" s="975"/>
      <c r="K21" s="975">
        <v>25000</v>
      </c>
      <c r="L21" s="975">
        <v>74449.85</v>
      </c>
      <c r="M21" s="974">
        <f t="shared" si="1"/>
        <v>99449.85</v>
      </c>
      <c r="N21" s="977">
        <f t="shared" si="2"/>
        <v>399420.9</v>
      </c>
    </row>
    <row r="22" s="952" customFormat="1" ht="30" customHeight="1" spans="1:14">
      <c r="A22" s="967">
        <v>15</v>
      </c>
      <c r="B22" s="970" t="s">
        <v>855</v>
      </c>
      <c r="C22" s="971" t="s">
        <v>493</v>
      </c>
      <c r="D22" s="971" t="s">
        <v>225</v>
      </c>
      <c r="E22" s="972">
        <f t="shared" si="5"/>
        <v>255849</v>
      </c>
      <c r="F22" s="973">
        <v>100000</v>
      </c>
      <c r="G22" s="973"/>
      <c r="H22" s="974">
        <f t="shared" si="0"/>
        <v>355849</v>
      </c>
      <c r="I22" s="975"/>
      <c r="J22" s="975"/>
      <c r="K22" s="975"/>
      <c r="L22" s="976">
        <v>46989.67</v>
      </c>
      <c r="M22" s="974">
        <f t="shared" si="1"/>
        <v>46989.67</v>
      </c>
      <c r="N22" s="977">
        <f t="shared" si="2"/>
        <v>308859.33</v>
      </c>
    </row>
    <row r="23" s="952" customFormat="1" ht="30" customHeight="1" spans="1:14">
      <c r="A23" s="967">
        <v>16</v>
      </c>
      <c r="B23" s="970" t="s">
        <v>856</v>
      </c>
      <c r="C23" s="971" t="s">
        <v>493</v>
      </c>
      <c r="D23" s="971" t="s">
        <v>225</v>
      </c>
      <c r="E23" s="972">
        <f t="shared" si="5"/>
        <v>255849</v>
      </c>
      <c r="F23" s="973">
        <v>100000</v>
      </c>
      <c r="G23" s="973"/>
      <c r="H23" s="974">
        <f t="shared" si="0"/>
        <v>355849</v>
      </c>
      <c r="I23" s="975"/>
      <c r="J23" s="975"/>
      <c r="K23" s="975">
        <v>30000</v>
      </c>
      <c r="L23" s="976">
        <v>46989.67</v>
      </c>
      <c r="M23" s="974">
        <f t="shared" si="1"/>
        <v>76989.67</v>
      </c>
      <c r="N23" s="977">
        <f t="shared" si="2"/>
        <v>278859.33</v>
      </c>
    </row>
    <row r="24" s="952" customFormat="1" ht="30" customHeight="1" spans="1:14">
      <c r="A24" s="967">
        <v>17</v>
      </c>
      <c r="B24" s="970" t="s">
        <v>857</v>
      </c>
      <c r="C24" s="971" t="s">
        <v>493</v>
      </c>
      <c r="D24" s="971" t="s">
        <v>225</v>
      </c>
      <c r="E24" s="972">
        <f t="shared" si="5"/>
        <v>255849</v>
      </c>
      <c r="F24" s="973">
        <v>100000</v>
      </c>
      <c r="G24" s="973"/>
      <c r="H24" s="974">
        <f t="shared" si="0"/>
        <v>355849</v>
      </c>
      <c r="I24" s="975"/>
      <c r="J24" s="975"/>
      <c r="K24" s="975"/>
      <c r="L24" s="976">
        <v>46989.67</v>
      </c>
      <c r="M24" s="974">
        <f t="shared" si="1"/>
        <v>46989.67</v>
      </c>
      <c r="N24" s="977">
        <f t="shared" si="2"/>
        <v>308859.33</v>
      </c>
    </row>
    <row r="25" s="952" customFormat="1" ht="30" customHeight="1" spans="1:14">
      <c r="A25" s="967">
        <v>18</v>
      </c>
      <c r="B25" s="970" t="s">
        <v>858</v>
      </c>
      <c r="C25" s="971" t="s">
        <v>493</v>
      </c>
      <c r="D25" s="971" t="s">
        <v>225</v>
      </c>
      <c r="E25" s="972">
        <f t="shared" si="5"/>
        <v>255849</v>
      </c>
      <c r="F25" s="973">
        <v>100000</v>
      </c>
      <c r="G25" s="973"/>
      <c r="H25" s="974">
        <f t="shared" si="0"/>
        <v>355849</v>
      </c>
      <c r="I25" s="975"/>
      <c r="J25" s="975"/>
      <c r="K25" s="975">
        <v>32000</v>
      </c>
      <c r="L25" s="976">
        <v>46989.67</v>
      </c>
      <c r="M25" s="974">
        <f t="shared" si="1"/>
        <v>78989.67</v>
      </c>
      <c r="N25" s="977">
        <f t="shared" si="2"/>
        <v>276859.33</v>
      </c>
    </row>
    <row r="26" s="952" customFormat="1" ht="30" customHeight="1" spans="1:14">
      <c r="A26" s="967">
        <v>19</v>
      </c>
      <c r="B26" s="970" t="s">
        <v>788</v>
      </c>
      <c r="C26" s="971" t="s">
        <v>842</v>
      </c>
      <c r="D26" s="971" t="s">
        <v>180</v>
      </c>
      <c r="E26" s="972">
        <f>353512.5+39820.12</f>
        <v>393332.62</v>
      </c>
      <c r="F26" s="973">
        <f>110000</f>
        <v>110000</v>
      </c>
      <c r="G26" s="973"/>
      <c r="H26" s="974">
        <f t="shared" si="0"/>
        <v>503332.62</v>
      </c>
      <c r="I26" s="975"/>
      <c r="J26" s="975"/>
      <c r="K26" s="975"/>
      <c r="L26" s="981">
        <f>75306.53</f>
        <v>75306.53</v>
      </c>
      <c r="M26" s="974">
        <f t="shared" si="1"/>
        <v>75306.53</v>
      </c>
      <c r="N26" s="977">
        <f t="shared" si="2"/>
        <v>428026.09</v>
      </c>
    </row>
    <row r="27" s="952" customFormat="1" ht="30" customHeight="1" spans="1:14">
      <c r="A27" s="967">
        <v>20</v>
      </c>
      <c r="B27" s="970" t="s">
        <v>859</v>
      </c>
      <c r="C27" s="971" t="s">
        <v>493</v>
      </c>
      <c r="D27" s="971" t="s">
        <v>42</v>
      </c>
      <c r="E27" s="972">
        <v>582118.083333333</v>
      </c>
      <c r="F27" s="973">
        <v>160000</v>
      </c>
      <c r="G27" s="973"/>
      <c r="H27" s="974">
        <f t="shared" si="0"/>
        <v>742118.083333333</v>
      </c>
      <c r="I27" s="975"/>
      <c r="J27" s="975"/>
      <c r="K27" s="975"/>
      <c r="L27" s="981">
        <v>121153.34</v>
      </c>
      <c r="M27" s="974">
        <f t="shared" si="1"/>
        <v>121153.34</v>
      </c>
      <c r="N27" s="977">
        <f t="shared" si="2"/>
        <v>620964.743333333</v>
      </c>
    </row>
    <row r="28" s="952" customFormat="1" ht="30" customHeight="1" spans="1:14">
      <c r="A28" s="983">
        <v>21</v>
      </c>
      <c r="B28" s="970" t="s">
        <v>860</v>
      </c>
      <c r="C28" s="967" t="s">
        <v>842</v>
      </c>
      <c r="D28" s="967" t="s">
        <v>81</v>
      </c>
      <c r="E28" s="978">
        <f>293029.666666667</f>
        <v>293029.666666667</v>
      </c>
      <c r="F28" s="979">
        <v>60000</v>
      </c>
      <c r="G28" s="973"/>
      <c r="H28" s="974">
        <f t="shared" si="0"/>
        <v>353029.666666667</v>
      </c>
      <c r="I28" s="975"/>
      <c r="J28" s="975"/>
      <c r="K28" s="975"/>
      <c r="L28" s="975">
        <v>42537.3319466667</v>
      </c>
      <c r="M28" s="974">
        <f t="shared" si="1"/>
        <v>42537.3319466667</v>
      </c>
      <c r="N28" s="977">
        <f t="shared" si="2"/>
        <v>310492.33472</v>
      </c>
    </row>
    <row r="29" s="952" customFormat="1" ht="30" customHeight="1" spans="1:14">
      <c r="A29" s="967">
        <v>22</v>
      </c>
      <c r="B29" s="970" t="s">
        <v>861</v>
      </c>
      <c r="C29" s="967" t="s">
        <v>842</v>
      </c>
      <c r="D29" s="971" t="s">
        <v>42</v>
      </c>
      <c r="E29" s="972">
        <f>582118.083333333</f>
        <v>582118.083333333</v>
      </c>
      <c r="F29" s="973">
        <f>160000</f>
        <v>160000</v>
      </c>
      <c r="G29" s="973"/>
      <c r="H29" s="974">
        <f t="shared" si="0"/>
        <v>742118.083333333</v>
      </c>
      <c r="I29" s="975"/>
      <c r="J29" s="975"/>
      <c r="K29" s="975"/>
      <c r="L29" s="981">
        <f>121153.34</f>
        <v>121153.34</v>
      </c>
      <c r="M29" s="974">
        <f t="shared" si="1"/>
        <v>121153.34</v>
      </c>
      <c r="N29" s="977">
        <f t="shared" si="2"/>
        <v>620964.743333333</v>
      </c>
    </row>
    <row r="30" s="952" customFormat="1" ht="30" customHeight="1" spans="1:14">
      <c r="A30" s="967">
        <v>23</v>
      </c>
      <c r="B30" s="980" t="s">
        <v>862</v>
      </c>
      <c r="C30" s="967" t="s">
        <v>842</v>
      </c>
      <c r="D30" s="971" t="s">
        <v>275</v>
      </c>
      <c r="E30" s="972">
        <f t="shared" ref="E30:E32" si="6">218287.583333333</f>
        <v>218287.583333333</v>
      </c>
      <c r="F30" s="973">
        <f t="shared" ref="F30:F32" si="7">50000</f>
        <v>50000</v>
      </c>
      <c r="G30" s="973"/>
      <c r="H30" s="974">
        <f t="shared" si="0"/>
        <v>268287.583333333</v>
      </c>
      <c r="I30" s="975"/>
      <c r="J30" s="975"/>
      <c r="K30" s="975"/>
      <c r="L30" s="976">
        <v>29305.1955466667</v>
      </c>
      <c r="M30" s="974">
        <f t="shared" si="1"/>
        <v>29305.1955466667</v>
      </c>
      <c r="N30" s="977">
        <f t="shared" si="2"/>
        <v>238982.387786666</v>
      </c>
    </row>
    <row r="31" s="952" customFormat="1" ht="30" customHeight="1" spans="1:14">
      <c r="A31" s="967">
        <v>24</v>
      </c>
      <c r="B31" s="980" t="s">
        <v>863</v>
      </c>
      <c r="C31" s="967" t="s">
        <v>842</v>
      </c>
      <c r="D31" s="971" t="s">
        <v>275</v>
      </c>
      <c r="E31" s="972">
        <f t="shared" si="6"/>
        <v>218287.583333333</v>
      </c>
      <c r="F31" s="973">
        <f t="shared" si="7"/>
        <v>50000</v>
      </c>
      <c r="G31" s="973"/>
      <c r="H31" s="974">
        <f t="shared" si="0"/>
        <v>268287.583333333</v>
      </c>
      <c r="I31" s="975"/>
      <c r="J31" s="975"/>
      <c r="K31" s="975"/>
      <c r="L31" s="976">
        <v>29305.1955466667</v>
      </c>
      <c r="M31" s="974">
        <f t="shared" si="1"/>
        <v>29305.1955466667</v>
      </c>
      <c r="N31" s="977">
        <f t="shared" si="2"/>
        <v>238982.387786666</v>
      </c>
    </row>
    <row r="32" s="952" customFormat="1" ht="30" customHeight="1" spans="1:14">
      <c r="A32" s="967">
        <v>25</v>
      </c>
      <c r="B32" s="980" t="s">
        <v>864</v>
      </c>
      <c r="C32" s="967" t="s">
        <v>842</v>
      </c>
      <c r="D32" s="971" t="s">
        <v>275</v>
      </c>
      <c r="E32" s="972">
        <f t="shared" si="6"/>
        <v>218287.583333333</v>
      </c>
      <c r="F32" s="973">
        <f t="shared" si="7"/>
        <v>50000</v>
      </c>
      <c r="G32" s="973"/>
      <c r="H32" s="974">
        <f t="shared" si="0"/>
        <v>268287.583333333</v>
      </c>
      <c r="I32" s="975"/>
      <c r="J32" s="975"/>
      <c r="K32" s="975"/>
      <c r="L32" s="976">
        <v>29305.1955466667</v>
      </c>
      <c r="M32" s="974">
        <f t="shared" si="1"/>
        <v>29305.1955466667</v>
      </c>
      <c r="N32" s="977">
        <f t="shared" si="2"/>
        <v>238982.387786666</v>
      </c>
    </row>
    <row r="33" s="952" customFormat="1" ht="30" customHeight="1" spans="1:14">
      <c r="A33" s="967">
        <v>26</v>
      </c>
      <c r="B33" s="980" t="s">
        <v>865</v>
      </c>
      <c r="C33" s="967" t="s">
        <v>842</v>
      </c>
      <c r="D33" s="971" t="s">
        <v>225</v>
      </c>
      <c r="E33" s="972">
        <f t="shared" ref="E33:E36" si="8">255849</f>
        <v>255849</v>
      </c>
      <c r="F33" s="973">
        <f t="shared" ref="F33:F36" si="9">60000</f>
        <v>60000</v>
      </c>
      <c r="G33" s="973"/>
      <c r="H33" s="974">
        <f t="shared" si="0"/>
        <v>315849</v>
      </c>
      <c r="I33" s="975"/>
      <c r="J33" s="975"/>
      <c r="K33" s="975"/>
      <c r="L33" s="976">
        <v>40229.2986666667</v>
      </c>
      <c r="M33" s="974">
        <f t="shared" si="1"/>
        <v>40229.2986666667</v>
      </c>
      <c r="N33" s="977">
        <f t="shared" si="2"/>
        <v>275619.701333333</v>
      </c>
    </row>
    <row r="34" s="952" customFormat="1" ht="30" customHeight="1" spans="1:14">
      <c r="A34" s="967">
        <v>27</v>
      </c>
      <c r="B34" s="980" t="s">
        <v>866</v>
      </c>
      <c r="C34" s="967" t="s">
        <v>842</v>
      </c>
      <c r="D34" s="971" t="s">
        <v>225</v>
      </c>
      <c r="E34" s="972">
        <f t="shared" si="8"/>
        <v>255849</v>
      </c>
      <c r="F34" s="973">
        <f t="shared" si="9"/>
        <v>60000</v>
      </c>
      <c r="G34" s="973"/>
      <c r="H34" s="974">
        <f t="shared" si="0"/>
        <v>315849</v>
      </c>
      <c r="I34" s="975"/>
      <c r="J34" s="975"/>
      <c r="K34" s="975"/>
      <c r="L34" s="976">
        <v>40229.2986666667</v>
      </c>
      <c r="M34" s="974">
        <f t="shared" si="1"/>
        <v>40229.2986666667</v>
      </c>
      <c r="N34" s="977">
        <f t="shared" si="2"/>
        <v>275619.701333333</v>
      </c>
    </row>
    <row r="35" s="952" customFormat="1" ht="30" customHeight="1" spans="1:14">
      <c r="A35" s="967">
        <v>28</v>
      </c>
      <c r="B35" s="980" t="s">
        <v>867</v>
      </c>
      <c r="C35" s="967" t="s">
        <v>842</v>
      </c>
      <c r="D35" s="971" t="s">
        <v>225</v>
      </c>
      <c r="E35" s="972">
        <f t="shared" si="8"/>
        <v>255849</v>
      </c>
      <c r="F35" s="973">
        <f t="shared" si="9"/>
        <v>60000</v>
      </c>
      <c r="G35" s="973"/>
      <c r="H35" s="974">
        <f t="shared" si="0"/>
        <v>315849</v>
      </c>
      <c r="I35" s="975"/>
      <c r="J35" s="975"/>
      <c r="K35" s="975"/>
      <c r="L35" s="976">
        <v>40229.2986666667</v>
      </c>
      <c r="M35" s="974">
        <f t="shared" si="1"/>
        <v>40229.2986666667</v>
      </c>
      <c r="N35" s="977">
        <f t="shared" si="2"/>
        <v>275619.701333333</v>
      </c>
    </row>
    <row r="36" s="952" customFormat="1" ht="30" customHeight="1" spans="1:14">
      <c r="A36" s="967">
        <v>29</v>
      </c>
      <c r="B36" s="980" t="s">
        <v>868</v>
      </c>
      <c r="C36" s="967" t="s">
        <v>842</v>
      </c>
      <c r="D36" s="971" t="s">
        <v>225</v>
      </c>
      <c r="E36" s="972">
        <f t="shared" si="8"/>
        <v>255849</v>
      </c>
      <c r="F36" s="973">
        <f t="shared" si="9"/>
        <v>60000</v>
      </c>
      <c r="G36" s="973"/>
      <c r="H36" s="974">
        <f t="shared" si="0"/>
        <v>315849</v>
      </c>
      <c r="I36" s="975"/>
      <c r="J36" s="975"/>
      <c r="K36" s="975"/>
      <c r="L36" s="976">
        <v>40229.2986666667</v>
      </c>
      <c r="M36" s="974">
        <f t="shared" si="1"/>
        <v>40229.2986666667</v>
      </c>
      <c r="N36" s="977">
        <f t="shared" si="2"/>
        <v>275619.701333333</v>
      </c>
    </row>
    <row r="37" s="952" customFormat="1" ht="30" customHeight="1" spans="1:14">
      <c r="A37" s="967">
        <v>30</v>
      </c>
      <c r="B37" s="980" t="s">
        <v>869</v>
      </c>
      <c r="C37" s="967" t="s">
        <v>842</v>
      </c>
      <c r="D37" s="967" t="s">
        <v>81</v>
      </c>
      <c r="E37" s="978">
        <f>293029.666666667</f>
        <v>293029.666666667</v>
      </c>
      <c r="F37" s="979">
        <v>60000</v>
      </c>
      <c r="G37" s="973"/>
      <c r="H37" s="974">
        <f t="shared" si="0"/>
        <v>353029.666666667</v>
      </c>
      <c r="I37" s="975"/>
      <c r="J37" s="975"/>
      <c r="K37" s="975">
        <v>12000</v>
      </c>
      <c r="L37" s="975">
        <v>42537.3319466667</v>
      </c>
      <c r="M37" s="974">
        <f t="shared" si="1"/>
        <v>54537.3319466667</v>
      </c>
      <c r="N37" s="977">
        <f t="shared" si="2"/>
        <v>298492.33472</v>
      </c>
    </row>
    <row r="38" s="952" customFormat="1" ht="30" customHeight="1" spans="1:14">
      <c r="A38" s="967">
        <v>31</v>
      </c>
      <c r="B38" s="980" t="s">
        <v>870</v>
      </c>
      <c r="C38" s="967" t="s">
        <v>842</v>
      </c>
      <c r="D38" s="971" t="s">
        <v>180</v>
      </c>
      <c r="E38" s="972">
        <f>353512.5</f>
        <v>353512.5</v>
      </c>
      <c r="F38" s="973">
        <f>60000</f>
        <v>60000</v>
      </c>
      <c r="G38" s="973"/>
      <c r="H38" s="974">
        <f t="shared" si="0"/>
        <v>413512.5</v>
      </c>
      <c r="I38" s="975"/>
      <c r="J38" s="975"/>
      <c r="K38" s="975"/>
      <c r="L38" s="981">
        <v>58061.0666666667</v>
      </c>
      <c r="M38" s="974">
        <f t="shared" si="1"/>
        <v>58061.0666666667</v>
      </c>
      <c r="N38" s="977">
        <f t="shared" si="2"/>
        <v>355451.433333333</v>
      </c>
    </row>
    <row r="39" s="952" customFormat="1" ht="30" customHeight="1" spans="1:14">
      <c r="A39" s="967">
        <v>32</v>
      </c>
      <c r="B39" s="980" t="s">
        <v>871</v>
      </c>
      <c r="C39" s="967" t="s">
        <v>842</v>
      </c>
      <c r="D39" s="971" t="s">
        <v>180</v>
      </c>
      <c r="E39" s="972">
        <f>353512.5</f>
        <v>353512.5</v>
      </c>
      <c r="F39" s="973">
        <f>60000</f>
        <v>60000</v>
      </c>
      <c r="G39" s="973"/>
      <c r="H39" s="974">
        <f t="shared" si="0"/>
        <v>413512.5</v>
      </c>
      <c r="I39" s="975"/>
      <c r="J39" s="975"/>
      <c r="K39" s="975"/>
      <c r="L39" s="981">
        <v>58061.0666666667</v>
      </c>
      <c r="M39" s="974">
        <f t="shared" si="1"/>
        <v>58061.0666666667</v>
      </c>
      <c r="N39" s="977">
        <f t="shared" si="2"/>
        <v>355451.433333333</v>
      </c>
    </row>
    <row r="40" s="952" customFormat="1" ht="30" customHeight="1" spans="1:14">
      <c r="A40" s="967">
        <v>33</v>
      </c>
      <c r="B40" s="980" t="s">
        <v>872</v>
      </c>
      <c r="C40" s="971" t="s">
        <v>493</v>
      </c>
      <c r="D40" s="971" t="s">
        <v>275</v>
      </c>
      <c r="E40" s="972">
        <f>218287.583333333</f>
        <v>218287.583333333</v>
      </c>
      <c r="F40" s="973">
        <f>50000</f>
        <v>50000</v>
      </c>
      <c r="G40" s="973"/>
      <c r="H40" s="974">
        <f>(E40+F40+G40)</f>
        <v>268287.583333333</v>
      </c>
      <c r="I40" s="975"/>
      <c r="J40" s="975"/>
      <c r="K40" s="975"/>
      <c r="L40" s="976">
        <v>29305.1955466667</v>
      </c>
      <c r="M40" s="974">
        <f t="shared" si="1"/>
        <v>29305.1955466667</v>
      </c>
      <c r="N40" s="977">
        <f t="shared" si="2"/>
        <v>238982.387786666</v>
      </c>
    </row>
    <row r="41" s="952" customFormat="1" ht="30" customHeight="1" spans="1:14">
      <c r="A41" s="967">
        <v>34</v>
      </c>
      <c r="B41" s="980" t="s">
        <v>873</v>
      </c>
      <c r="C41" s="971" t="s">
        <v>842</v>
      </c>
      <c r="D41" s="971" t="s">
        <v>225</v>
      </c>
      <c r="E41" s="972">
        <f>255849</f>
        <v>255849</v>
      </c>
      <c r="F41" s="973">
        <f>100000</f>
        <v>100000</v>
      </c>
      <c r="G41" s="973"/>
      <c r="H41" s="974">
        <f t="shared" ref="H41:H46" si="10">E41+F41+G41</f>
        <v>355849</v>
      </c>
      <c r="I41" s="975"/>
      <c r="J41" s="975"/>
      <c r="K41" s="975">
        <v>50000</v>
      </c>
      <c r="L41" s="975">
        <v>46989.67</v>
      </c>
      <c r="M41" s="974">
        <f t="shared" si="1"/>
        <v>96989.67</v>
      </c>
      <c r="N41" s="977">
        <f t="shared" si="2"/>
        <v>258859.33</v>
      </c>
    </row>
    <row r="42" s="952" customFormat="1" ht="30" customHeight="1" spans="1:14">
      <c r="A42" s="967">
        <v>35</v>
      </c>
      <c r="B42" s="984" t="s">
        <v>874</v>
      </c>
      <c r="C42" s="971" t="s">
        <v>842</v>
      </c>
      <c r="D42" s="985" t="s">
        <v>67</v>
      </c>
      <c r="E42" s="986">
        <f>390248.916666667</f>
        <v>390248.916666667</v>
      </c>
      <c r="F42" s="986">
        <f>70000</f>
        <v>70000</v>
      </c>
      <c r="G42" s="986"/>
      <c r="H42" s="974">
        <f t="shared" si="10"/>
        <v>460248.916666667</v>
      </c>
      <c r="I42" s="974"/>
      <c r="J42" s="974"/>
      <c r="K42" s="974"/>
      <c r="L42" s="974">
        <v>67034.46</v>
      </c>
      <c r="M42" s="974">
        <f t="shared" si="1"/>
        <v>67034.46</v>
      </c>
      <c r="N42" s="977">
        <f t="shared" si="2"/>
        <v>393214.456666667</v>
      </c>
    </row>
    <row r="43" s="952" customFormat="1" ht="37" customHeight="1" spans="1:14">
      <c r="A43" s="967">
        <v>32</v>
      </c>
      <c r="B43" s="980" t="s">
        <v>875</v>
      </c>
      <c r="C43" s="967" t="s">
        <v>876</v>
      </c>
      <c r="D43" s="971" t="s">
        <v>180</v>
      </c>
      <c r="E43" s="972">
        <f>353512.5+203512.5</f>
        <v>557025</v>
      </c>
      <c r="F43" s="973">
        <f>60000+60000</f>
        <v>120000</v>
      </c>
      <c r="G43" s="973"/>
      <c r="H43" s="974">
        <f t="shared" si="10"/>
        <v>677025</v>
      </c>
      <c r="I43" s="975"/>
      <c r="J43" s="975"/>
      <c r="K43" s="975"/>
      <c r="L43" s="981">
        <v>99840.19</v>
      </c>
      <c r="M43" s="974">
        <f t="shared" si="1"/>
        <v>99840.19</v>
      </c>
      <c r="N43" s="977">
        <f t="shared" si="2"/>
        <v>577184.81</v>
      </c>
    </row>
    <row r="44" s="952" customFormat="1" ht="30" customHeight="1" spans="1:14">
      <c r="A44" s="967">
        <v>23</v>
      </c>
      <c r="B44" s="980" t="s">
        <v>877</v>
      </c>
      <c r="C44" s="967" t="s">
        <v>842</v>
      </c>
      <c r="D44" s="971" t="s">
        <v>372</v>
      </c>
      <c r="E44" s="972">
        <v>173860</v>
      </c>
      <c r="F44" s="973">
        <v>30000</v>
      </c>
      <c r="G44" s="973"/>
      <c r="H44" s="974">
        <f t="shared" si="10"/>
        <v>203860</v>
      </c>
      <c r="I44" s="976">
        <f>5000</f>
        <v>5000</v>
      </c>
      <c r="J44" s="976">
        <v>8750</v>
      </c>
      <c r="K44" s="975"/>
      <c r="L44" s="976">
        <v>18553.77</v>
      </c>
      <c r="M44" s="974">
        <f t="shared" si="1"/>
        <v>32303.77</v>
      </c>
      <c r="N44" s="977">
        <f t="shared" si="2"/>
        <v>171556.23</v>
      </c>
    </row>
    <row r="45" s="952" customFormat="1" ht="30" customHeight="1" spans="1:14">
      <c r="A45" s="967">
        <v>23</v>
      </c>
      <c r="B45" s="980" t="s">
        <v>878</v>
      </c>
      <c r="C45" s="967" t="s">
        <v>842</v>
      </c>
      <c r="D45" s="971" t="s">
        <v>372</v>
      </c>
      <c r="E45" s="972">
        <v>173860</v>
      </c>
      <c r="F45" s="973">
        <v>30000</v>
      </c>
      <c r="G45" s="973"/>
      <c r="H45" s="974">
        <f t="shared" si="10"/>
        <v>203860</v>
      </c>
      <c r="I45" s="975"/>
      <c r="J45" s="975"/>
      <c r="K45" s="975"/>
      <c r="L45" s="976">
        <v>18553.77</v>
      </c>
      <c r="M45" s="974">
        <f t="shared" si="1"/>
        <v>18553.77</v>
      </c>
      <c r="N45" s="977">
        <f t="shared" si="2"/>
        <v>185306.23</v>
      </c>
    </row>
    <row r="46" s="952" customFormat="1" ht="30" customHeight="1" spans="1:14">
      <c r="A46" s="967">
        <v>34</v>
      </c>
      <c r="B46" s="980" t="s">
        <v>879</v>
      </c>
      <c r="C46" s="971" t="s">
        <v>880</v>
      </c>
      <c r="D46" s="971" t="s">
        <v>225</v>
      </c>
      <c r="E46" s="972">
        <f>255849*(16/31)</f>
        <v>132051.096774194</v>
      </c>
      <c r="F46" s="973">
        <f>100000*(16/31)</f>
        <v>51612.9032258064</v>
      </c>
      <c r="G46" s="973"/>
      <c r="H46" s="974">
        <f t="shared" si="10"/>
        <v>183664</v>
      </c>
      <c r="I46" s="975"/>
      <c r="J46" s="975"/>
      <c r="K46" s="975"/>
      <c r="L46" s="975">
        <v>16303.9</v>
      </c>
      <c r="M46" s="974">
        <f t="shared" si="1"/>
        <v>16303.9</v>
      </c>
      <c r="N46" s="977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K6" sqref="K6"/>
    </sheetView>
  </sheetViews>
  <sheetFormatPr defaultColWidth="8.72727272727273" defaultRowHeight="12.5" outlineLevelRow="5"/>
  <cols>
    <col min="1" max="1" width="18.9090909090909" customWidth="1"/>
    <col min="2" max="2" width="26.4545454545455" customWidth="1"/>
    <col min="3" max="3" width="14" customWidth="1"/>
    <col min="4" max="4" width="15.4545454545455" customWidth="1"/>
    <col min="6" max="6" width="15.0909090909091"/>
    <col min="8" max="8" width="13.6363636363636"/>
    <col min="9" max="9" width="15.0909090909091"/>
    <col min="10" max="10" width="11.7272727272727"/>
    <col min="11" max="11" width="15.0909090909091"/>
    <col min="12" max="12" width="13.6363636363636"/>
    <col min="13" max="14" width="15.0909090909091"/>
    <col min="15" max="15" width="15.7272727272727" customWidth="1"/>
    <col min="16" max="16" width="11.6363636363636" customWidth="1"/>
  </cols>
  <sheetData>
    <row r="1" s="769" customFormat="1" ht="49.5" customHeight="1" spans="1:15">
      <c r="A1" s="691" t="s">
        <v>2</v>
      </c>
      <c r="B1" s="692" t="s">
        <v>3</v>
      </c>
      <c r="C1" s="693" t="s">
        <v>4</v>
      </c>
      <c r="D1" s="674" t="s">
        <v>5</v>
      </c>
      <c r="E1" s="674" t="s">
        <v>6</v>
      </c>
      <c r="F1" s="674" t="s">
        <v>7</v>
      </c>
      <c r="G1" s="674" t="s">
        <v>7</v>
      </c>
      <c r="H1" s="674" t="s">
        <v>8</v>
      </c>
      <c r="I1" s="694" t="s">
        <v>9</v>
      </c>
      <c r="J1" s="674" t="s">
        <v>15</v>
      </c>
      <c r="K1" s="941" t="s">
        <v>16</v>
      </c>
      <c r="L1" s="674" t="s">
        <v>17</v>
      </c>
      <c r="M1" s="695"/>
      <c r="N1" s="694" t="s">
        <v>776</v>
      </c>
      <c r="O1" s="696" t="s">
        <v>881</v>
      </c>
    </row>
    <row r="2" s="1" customFormat="1" ht="17.25" customHeight="1" spans="1:15">
      <c r="B2" s="8"/>
      <c r="C2" s="8"/>
      <c r="D2" s="82" t="s">
        <v>21</v>
      </c>
      <c r="E2" s="82" t="s">
        <v>21</v>
      </c>
      <c r="F2" s="82" t="s">
        <v>21</v>
      </c>
      <c r="G2" s="82" t="s">
        <v>21</v>
      </c>
      <c r="H2" s="82" t="s">
        <v>21</v>
      </c>
      <c r="I2" s="507" t="s">
        <v>21</v>
      </c>
      <c r="J2" s="82" t="s">
        <v>21</v>
      </c>
      <c r="K2" s="82" t="s">
        <v>21</v>
      </c>
      <c r="L2" s="82" t="s">
        <v>21</v>
      </c>
      <c r="M2" s="508"/>
      <c r="N2" s="82"/>
      <c r="O2" s="507"/>
    </row>
    <row r="3" s="769" customFormat="1" ht="37" customHeight="1" spans="1:15">
      <c r="A3" s="777" t="s">
        <v>244</v>
      </c>
      <c r="B3" s="778" t="s">
        <v>653</v>
      </c>
      <c r="C3" s="745" t="s">
        <v>56</v>
      </c>
      <c r="D3" s="747">
        <v>541351.333333333</v>
      </c>
      <c r="E3" s="747"/>
      <c r="F3" s="748">
        <f>120000</f>
        <v>120000</v>
      </c>
      <c r="G3" s="748"/>
      <c r="H3" s="747">
        <v>59548.6466666666</v>
      </c>
      <c r="I3" s="749">
        <f>SUM(D3:H3)</f>
        <v>720899.98</v>
      </c>
      <c r="J3" s="747">
        <v>8443.27083333333</v>
      </c>
      <c r="K3" s="747">
        <v>107143.198346667</v>
      </c>
      <c r="L3" s="747">
        <v>43308.1066666666</v>
      </c>
      <c r="M3" s="750">
        <f>SUM(J3:L3)</f>
        <v>158894.575846667</v>
      </c>
      <c r="N3" s="747">
        <f>I3-M3</f>
        <v>562005.404153333</v>
      </c>
      <c r="O3" s="749"/>
    </row>
    <row r="4" s="1" customFormat="1" ht="41" customHeight="1" spans="1:15">
      <c r="A4" s="777" t="s">
        <v>244</v>
      </c>
      <c r="B4" s="778" t="s">
        <v>882</v>
      </c>
      <c r="C4" s="745" t="s">
        <v>600</v>
      </c>
      <c r="D4" s="747">
        <v>542419.5</v>
      </c>
      <c r="E4" s="747"/>
      <c r="F4" s="748">
        <f>140000</f>
        <v>140000</v>
      </c>
      <c r="G4" s="748"/>
      <c r="H4" s="747">
        <v>59666.145</v>
      </c>
      <c r="I4" s="749">
        <f>SUM(D4:H4)</f>
        <v>742085.645</v>
      </c>
      <c r="J4" s="213">
        <f>338365.25*0.025</f>
        <v>8459.13125</v>
      </c>
      <c r="K4" s="747">
        <v>112831.954026667</v>
      </c>
      <c r="L4" s="747">
        <f>D4*0.08</f>
        <v>43393.56</v>
      </c>
      <c r="M4" s="750">
        <f>SUM(J4:L4)</f>
        <v>164684.645276667</v>
      </c>
      <c r="N4" s="747">
        <f>I4-M4</f>
        <v>577400.999723333</v>
      </c>
      <c r="O4" s="749"/>
    </row>
    <row r="5" ht="18" customHeight="1" spans="1:15">
      <c r="A5" t="s">
        <v>883</v>
      </c>
      <c r="D5" s="402">
        <f t="shared" ref="D5:L5" si="0">D4-D3</f>
        <v>1068.16666666698</v>
      </c>
      <c r="E5" s="402">
        <f t="shared" si="0"/>
        <v>0</v>
      </c>
      <c r="F5" s="402">
        <f t="shared" si="0"/>
        <v>20000</v>
      </c>
      <c r="G5" s="402">
        <f t="shared" si="0"/>
        <v>0</v>
      </c>
      <c r="H5" s="402">
        <f t="shared" si="0"/>
        <v>117.498333333395</v>
      </c>
      <c r="I5" s="402">
        <f t="shared" si="0"/>
        <v>21185.6650000004</v>
      </c>
      <c r="J5" s="402">
        <f t="shared" si="0"/>
        <v>15.8604166666701</v>
      </c>
      <c r="K5" s="402">
        <f t="shared" si="0"/>
        <v>5688.75567999999</v>
      </c>
      <c r="L5" s="402">
        <f t="shared" si="0"/>
        <v>85.4533333333966</v>
      </c>
      <c r="M5" s="750">
        <f>SUM(J5:L5)</f>
        <v>5790.06943000005</v>
      </c>
      <c r="N5" s="747">
        <f>I5-M5</f>
        <v>15395.5955700003</v>
      </c>
      <c r="O5" s="402">
        <f>I5*2</f>
        <v>42371.3300000008</v>
      </c>
    </row>
    <row r="6" spans="1:15">
      <c r="I6" s="402">
        <f>I5*2</f>
        <v>42371.3300000008</v>
      </c>
      <c r="K6" s="402">
        <f>K5*2</f>
        <v>11377.51136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4" sqref="F4:F8"/>
    </sheetView>
  </sheetViews>
  <sheetFormatPr defaultColWidth="8.72727272727273" defaultRowHeight="12.5" outlineLevelCol="7"/>
  <cols>
    <col min="1" max="1" width="4.90909090909091" customWidth="1"/>
    <col min="2" max="2" width="21.6363636363636" customWidth="1"/>
    <col min="4" max="4" width="11.3636363636364" customWidth="1"/>
    <col min="5" max="6" width="16.8181818181818" customWidth="1"/>
    <col min="7" max="7" width="19" customWidth="1"/>
    <col min="8" max="8" width="15.1818181818182" customWidth="1"/>
  </cols>
  <sheetData>
    <row r="1" s="1" customFormat="1" ht="60" customHeight="1" spans="1:8">
      <c r="A1" s="4"/>
      <c r="B1" s="5" t="s">
        <v>2</v>
      </c>
      <c r="C1" s="6" t="s">
        <v>3</v>
      </c>
      <c r="D1" s="7" t="s">
        <v>4</v>
      </c>
      <c r="E1" s="218" t="s">
        <v>884</v>
      </c>
      <c r="F1" s="218" t="s">
        <v>885</v>
      </c>
      <c r="G1" s="218" t="s">
        <v>886</v>
      </c>
      <c r="H1" s="218" t="s">
        <v>887</v>
      </c>
    </row>
    <row r="2" s="1" customFormat="1" ht="17.25" customHeight="1" spans="1:8">
      <c r="C2" s="8"/>
      <c r="D2" s="8"/>
      <c r="E2" s="82" t="s">
        <v>21</v>
      </c>
      <c r="F2" s="82" t="s">
        <v>21</v>
      </c>
      <c r="G2" s="82" t="s">
        <v>21</v>
      </c>
      <c r="H2" s="82" t="s">
        <v>21</v>
      </c>
    </row>
    <row r="4" s="1" customFormat="1" ht="20.1" customHeight="1" spans="1:8">
      <c r="A4" s="4">
        <v>1</v>
      </c>
      <c r="B4" s="11" t="s">
        <v>244</v>
      </c>
      <c r="C4" s="4" t="s">
        <v>653</v>
      </c>
      <c r="D4" s="10" t="s">
        <v>56</v>
      </c>
      <c r="E4" s="85">
        <v>541351.333333333</v>
      </c>
      <c r="F4" s="85">
        <f>E4*0.11</f>
        <v>59548.6466666666</v>
      </c>
      <c r="G4" s="85">
        <v>41432.938525</v>
      </c>
      <c r="H4" s="85">
        <f>F4-G4</f>
        <v>18115.7081416666</v>
      </c>
    </row>
    <row r="5" s="1" customFormat="1" ht="20.1" customHeight="1" spans="1:8">
      <c r="A5" s="4">
        <v>2</v>
      </c>
      <c r="B5" s="11" t="s">
        <v>246</v>
      </c>
      <c r="C5" s="4" t="s">
        <v>653</v>
      </c>
      <c r="D5" s="10" t="s">
        <v>600</v>
      </c>
      <c r="E5" s="85">
        <v>542419.5</v>
      </c>
      <c r="F5" s="85">
        <f>E5*0.11</f>
        <v>59666.145</v>
      </c>
      <c r="G5" s="85">
        <v>42433.938525</v>
      </c>
      <c r="H5" s="85">
        <f>F5-G5</f>
        <v>17232.206475</v>
      </c>
    </row>
    <row r="6" s="1" customFormat="1" ht="20.1" customHeight="1" spans="1:8">
      <c r="A6" s="4">
        <v>3</v>
      </c>
      <c r="B6" s="11" t="s">
        <v>249</v>
      </c>
      <c r="C6" s="4" t="s">
        <v>250</v>
      </c>
      <c r="D6" s="15" t="s">
        <v>603</v>
      </c>
      <c r="E6" s="220">
        <v>329950.416666667</v>
      </c>
      <c r="F6" s="85">
        <f>E6*0.11</f>
        <v>36294.5458333334</v>
      </c>
      <c r="G6" s="85">
        <v>25333.44748</v>
      </c>
      <c r="H6" s="85">
        <f>F6-G6</f>
        <v>10961.0983533334</v>
      </c>
    </row>
    <row r="7" s="1" customFormat="1" ht="20.1" customHeight="1" spans="1:8">
      <c r="A7" s="4">
        <v>4</v>
      </c>
      <c r="B7" s="18" t="s">
        <v>252</v>
      </c>
      <c r="C7" s="4" t="s">
        <v>250</v>
      </c>
      <c r="D7" s="10" t="s">
        <v>225</v>
      </c>
      <c r="E7" s="220">
        <v>330407.083333333</v>
      </c>
      <c r="F7" s="85">
        <f>E7*0.11</f>
        <v>36344.7791666666</v>
      </c>
      <c r="G7" s="85">
        <v>26334.44748</v>
      </c>
      <c r="H7" s="85">
        <f>F7-G7</f>
        <v>10010.3316866666</v>
      </c>
    </row>
    <row r="8" s="1" customFormat="1" ht="20.1" customHeight="1" spans="1:8">
      <c r="A8" s="4">
        <v>5</v>
      </c>
      <c r="B8" s="18" t="s">
        <v>253</v>
      </c>
      <c r="C8" s="4" t="s">
        <v>250</v>
      </c>
      <c r="D8" s="15" t="s">
        <v>105</v>
      </c>
      <c r="E8" s="220">
        <v>308920.666666667</v>
      </c>
      <c r="F8" s="85">
        <f>E8*0.11</f>
        <v>33981.2733333334</v>
      </c>
      <c r="G8" s="85">
        <v>24566.195445</v>
      </c>
      <c r="H8" s="85">
        <f>F8-G8</f>
        <v>9415.07788833337</v>
      </c>
    </row>
    <row r="9" ht="22" customHeight="1" spans="1:8">
      <c r="B9" s="951" t="s">
        <v>120</v>
      </c>
      <c r="C9" s="951"/>
      <c r="D9" s="951"/>
      <c r="E9" s="951"/>
      <c r="F9" s="951"/>
      <c r="G9" s="951"/>
      <c r="H9" s="951">
        <f>SUM(H4:H8)</f>
        <v>65734.422545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7" workbookViewId="0">
      <selection activeCell="P16" sqref="P16"/>
    </sheetView>
  </sheetViews>
  <sheetFormatPr defaultColWidth="8.72727272727273" defaultRowHeight="12.5"/>
  <cols>
    <col min="1" max="1" width="4.09090909090909" customWidth="1"/>
    <col min="2" max="2" width="17.5454545454545" customWidth="1"/>
    <col min="3" max="3" width="18.2727272727273" customWidth="1"/>
    <col min="5" max="5" width="14.6363636363636"/>
    <col min="7" max="7" width="12.8181818181818"/>
    <col min="8" max="8" width="11.5454545454545"/>
    <col min="9" max="9" width="12.8181818181818"/>
    <col min="10" max="10" width="14.6363636363636"/>
    <col min="12" max="13" width="12.8181818181818"/>
    <col min="14" max="14" width="11.5454545454545"/>
    <col min="15" max="17" width="12.8181818181818"/>
    <col min="18" max="18" width="14.6363636363636"/>
    <col min="19" max="19" width="12.8181818181818"/>
  </cols>
  <sheetData>
    <row r="1" s="1" customFormat="1" ht="49.5" customHeight="1" spans="1:18">
      <c r="A1" s="778"/>
      <c r="B1" s="691" t="s">
        <v>2</v>
      </c>
      <c r="C1" s="692" t="s">
        <v>3</v>
      </c>
      <c r="D1" s="693" t="s">
        <v>4</v>
      </c>
      <c r="E1" s="674" t="s">
        <v>5</v>
      </c>
      <c r="F1" s="674" t="s">
        <v>6</v>
      </c>
      <c r="G1" s="674" t="s">
        <v>7</v>
      </c>
      <c r="H1" s="674" t="s">
        <v>7</v>
      </c>
      <c r="I1" s="674" t="s">
        <v>8</v>
      </c>
      <c r="J1" s="694" t="s">
        <v>9</v>
      </c>
      <c r="K1" s="674" t="s">
        <v>10</v>
      </c>
      <c r="L1" s="674" t="s">
        <v>888</v>
      </c>
      <c r="M1" s="674" t="s">
        <v>889</v>
      </c>
      <c r="N1" s="674" t="s">
        <v>15</v>
      </c>
      <c r="O1" s="941" t="s">
        <v>16</v>
      </c>
      <c r="P1" s="674" t="s">
        <v>17</v>
      </c>
      <c r="Q1" s="695" t="s">
        <v>18</v>
      </c>
      <c r="R1" s="696" t="s">
        <v>890</v>
      </c>
    </row>
    <row r="2" s="1" customFormat="1" ht="17.25" customHeight="1" spans="1:18">
      <c r="A2" s="769"/>
      <c r="B2" s="769"/>
      <c r="C2" s="744"/>
      <c r="D2" s="744"/>
      <c r="E2" s="942" t="s">
        <v>21</v>
      </c>
      <c r="F2" s="942" t="s">
        <v>21</v>
      </c>
      <c r="G2" s="942" t="s">
        <v>21</v>
      </c>
      <c r="H2" s="942" t="s">
        <v>21</v>
      </c>
      <c r="I2" s="942" t="s">
        <v>21</v>
      </c>
      <c r="J2" s="943" t="s">
        <v>21</v>
      </c>
      <c r="K2" s="942" t="s">
        <v>21</v>
      </c>
      <c r="L2" s="942" t="s">
        <v>21</v>
      </c>
      <c r="M2" s="942" t="s">
        <v>21</v>
      </c>
      <c r="N2" s="942" t="s">
        <v>21</v>
      </c>
      <c r="O2" s="942" t="s">
        <v>21</v>
      </c>
      <c r="P2" s="942" t="s">
        <v>21</v>
      </c>
      <c r="Q2" s="944" t="s">
        <v>21</v>
      </c>
      <c r="R2" s="943" t="s">
        <v>21</v>
      </c>
    </row>
    <row r="3" s="769" customFormat="1" ht="39" customHeight="1" spans="1:18">
      <c r="A3" s="745">
        <v>1</v>
      </c>
      <c r="B3" s="777" t="s">
        <v>138</v>
      </c>
      <c r="C3" s="778" t="s">
        <v>891</v>
      </c>
      <c r="D3" s="745" t="s">
        <v>304</v>
      </c>
      <c r="E3" s="747">
        <v>1647612</v>
      </c>
      <c r="F3" s="747"/>
      <c r="G3" s="748">
        <f>200000</f>
        <v>200000</v>
      </c>
      <c r="H3" s="748"/>
      <c r="I3" s="747"/>
      <c r="J3" s="749">
        <f>SUM(E3:I3)</f>
        <v>1847612</v>
      </c>
      <c r="K3" s="747"/>
      <c r="L3" s="747"/>
      <c r="M3" s="747"/>
      <c r="N3" s="747"/>
      <c r="O3" s="747">
        <v>303177.162346667</v>
      </c>
      <c r="P3" s="747">
        <v>131808.96</v>
      </c>
      <c r="Q3" s="750">
        <f>O3+N3+M3+L3+K3+P3</f>
        <v>434986.122346667</v>
      </c>
      <c r="R3" s="749">
        <f>J3-Q3</f>
        <v>1412625.87765333</v>
      </c>
    </row>
    <row r="4" s="1" customFormat="1" ht="37" customHeight="1" spans="1:18">
      <c r="A4" s="745">
        <v>1</v>
      </c>
      <c r="B4" s="777" t="s">
        <v>138</v>
      </c>
      <c r="C4" s="778" t="s">
        <v>648</v>
      </c>
      <c r="D4" s="745" t="s">
        <v>36</v>
      </c>
      <c r="E4" s="747">
        <v>905306.75</v>
      </c>
      <c r="F4" s="747"/>
      <c r="G4" s="748">
        <f>180000</f>
        <v>180000</v>
      </c>
      <c r="H4" s="748"/>
      <c r="I4" s="747">
        <v>100000</v>
      </c>
      <c r="J4" s="749">
        <f>SUM(E4:I4)</f>
        <v>1185306.75</v>
      </c>
      <c r="K4" s="747"/>
      <c r="L4" s="747"/>
      <c r="M4" s="747"/>
      <c r="N4" s="747"/>
      <c r="O4" s="747">
        <v>192340.050986667</v>
      </c>
      <c r="P4" s="747">
        <v>72424.54</v>
      </c>
      <c r="Q4" s="750">
        <f>O4+N4+M4+L4+K4+P4</f>
        <v>264764.590986667</v>
      </c>
      <c r="R4" s="749">
        <f>J4-Q4</f>
        <v>920542.159013333</v>
      </c>
    </row>
    <row r="5" ht="24" customHeight="1" spans="1:18">
      <c r="A5" s="263"/>
      <c r="B5" s="273" t="s">
        <v>892</v>
      </c>
      <c r="C5" s="273"/>
      <c r="D5" s="273"/>
      <c r="E5" s="273"/>
      <c r="F5" s="273"/>
      <c r="G5" s="273"/>
      <c r="H5" s="273"/>
      <c r="I5" s="273"/>
      <c r="J5" s="945">
        <f>J3-J4</f>
        <v>662305.25</v>
      </c>
      <c r="K5" s="945"/>
      <c r="L5" s="945"/>
      <c r="M5" s="945"/>
      <c r="N5" s="945"/>
      <c r="O5" s="945">
        <f>O3-O4</f>
        <v>110837.11136</v>
      </c>
      <c r="P5" s="945">
        <f>P3-P4</f>
        <v>59384.42</v>
      </c>
      <c r="Q5" s="945">
        <f>Q3-Q4</f>
        <v>170221.53136</v>
      </c>
      <c r="R5" s="945">
        <f>R3-R4</f>
        <v>492083.71864</v>
      </c>
    </row>
    <row r="6" ht="18" customHeight="1" spans="1:18">
      <c r="A6" s="263"/>
      <c r="B6" s="273" t="s">
        <v>893</v>
      </c>
      <c r="C6" s="273"/>
      <c r="D6" s="273"/>
      <c r="E6" s="273"/>
      <c r="F6" s="273"/>
      <c r="G6" s="273"/>
      <c r="H6" s="273"/>
      <c r="I6" s="273"/>
      <c r="J6" s="945">
        <f>J5*3.65</f>
        <v>2417414.1625</v>
      </c>
      <c r="K6" s="273"/>
      <c r="L6" s="273"/>
      <c r="M6" s="273"/>
      <c r="N6" s="273"/>
      <c r="O6" s="945">
        <f>O5*3.65</f>
        <v>404555.456464</v>
      </c>
      <c r="P6" s="273"/>
      <c r="Q6" s="945">
        <f>O6</f>
        <v>404555.456464</v>
      </c>
      <c r="R6" s="945">
        <f>J6-Q6</f>
        <v>2012858.706036</v>
      </c>
    </row>
    <row r="7" ht="13" spans="1:18">
      <c r="R7" s="214">
        <f>SUM(R5:R6)</f>
        <v>2504942.424676</v>
      </c>
    </row>
    <row r="9" s="769" customFormat="1" ht="43" customHeight="1" spans="1:18">
      <c r="A9" s="745" t="s">
        <v>894</v>
      </c>
      <c r="B9" s="946" t="s">
        <v>895</v>
      </c>
      <c r="C9" s="947" t="s">
        <v>318</v>
      </c>
      <c r="D9" s="745" t="s">
        <v>180</v>
      </c>
      <c r="E9" s="747">
        <f>353512.5</f>
        <v>353512.5</v>
      </c>
      <c r="F9" s="747"/>
      <c r="G9" s="748"/>
      <c r="H9" s="748">
        <v>60000</v>
      </c>
      <c r="I9" s="747"/>
      <c r="J9" s="750">
        <f>E9+F9+G9+H9+I9</f>
        <v>413512.5</v>
      </c>
      <c r="K9" s="747"/>
      <c r="L9" s="747"/>
      <c r="M9" s="747"/>
      <c r="N9" s="747"/>
      <c r="O9" s="747">
        <v>52068.58</v>
      </c>
      <c r="P9" s="747">
        <v>28281</v>
      </c>
      <c r="Q9" s="750">
        <f>O9+N9+M9+L9+K9+P9</f>
        <v>80349.58</v>
      </c>
      <c r="R9" s="750">
        <f>J9-Q9</f>
        <v>333162.92</v>
      </c>
    </row>
    <row r="10" ht="28" spans="1:18">
      <c r="A10" t="s">
        <v>896</v>
      </c>
      <c r="B10" s="946" t="s">
        <v>895</v>
      </c>
      <c r="C10" s="947" t="s">
        <v>318</v>
      </c>
      <c r="D10" s="781" t="s">
        <v>180</v>
      </c>
      <c r="E10" s="748">
        <v>441159</v>
      </c>
      <c r="F10" s="747"/>
      <c r="G10" s="748"/>
      <c r="H10" s="748">
        <f>60000</f>
        <v>60000</v>
      </c>
      <c r="I10" s="747"/>
      <c r="J10" s="749">
        <f>SUM(E10:I10)</f>
        <v>501159</v>
      </c>
      <c r="K10" s="747"/>
      <c r="L10" s="747"/>
      <c r="M10" s="747"/>
      <c r="N10" s="747"/>
      <c r="O10" s="747">
        <v>68112.9924266667</v>
      </c>
      <c r="P10" s="645">
        <v>35292.72</v>
      </c>
      <c r="Q10" s="750">
        <f>O10+N10+M10+L10+K10+P10</f>
        <v>103405.712426667</v>
      </c>
      <c r="R10" s="749">
        <f>J10-Q10</f>
        <v>397753.287573333</v>
      </c>
    </row>
    <row r="11" ht="21" customHeight="1" spans="1:18">
      <c r="B11" s="946" t="s">
        <v>897</v>
      </c>
      <c r="C11" s="384"/>
      <c r="D11" s="384"/>
      <c r="E11" s="948">
        <f>E10-E9</f>
        <v>87646.5</v>
      </c>
      <c r="F11" s="948"/>
      <c r="G11" s="948"/>
      <c r="H11" s="948"/>
      <c r="I11" s="948"/>
      <c r="J11" s="948">
        <f>J10-J9</f>
        <v>87646.5</v>
      </c>
      <c r="K11" s="948"/>
      <c r="L11" s="948"/>
      <c r="M11" s="948"/>
      <c r="N11" s="948"/>
      <c r="O11" s="948">
        <f>O10-O9</f>
        <v>16044.4124266667</v>
      </c>
      <c r="P11" s="948"/>
      <c r="Q11" s="948">
        <f>Q10-Q9</f>
        <v>23056.1324266667</v>
      </c>
      <c r="R11" s="949">
        <f>R10-R9</f>
        <v>64590.3675733333</v>
      </c>
    </row>
    <row r="12" ht="29" customHeight="1" spans="1:18">
      <c r="B12" s="946" t="s">
        <v>898</v>
      </c>
      <c r="C12" s="384"/>
      <c r="D12" s="384"/>
      <c r="E12" s="948">
        <f>J12</f>
        <v>350586</v>
      </c>
      <c r="F12" s="948"/>
      <c r="G12" s="948"/>
      <c r="H12" s="948"/>
      <c r="I12" s="948"/>
      <c r="J12" s="948">
        <f>J11*4</f>
        <v>350586</v>
      </c>
      <c r="K12" s="948"/>
      <c r="L12" s="948"/>
      <c r="M12" s="948"/>
      <c r="N12" s="948"/>
      <c r="O12" s="948">
        <f>O11*4</f>
        <v>64177.6497066668</v>
      </c>
      <c r="P12" s="948"/>
      <c r="Q12" s="948">
        <f>O12</f>
        <v>64177.6497066668</v>
      </c>
      <c r="R12" s="949">
        <f>J12-Q12</f>
        <v>286408.350293333</v>
      </c>
    </row>
    <row r="13" ht="17" customHeight="1" spans="1:18">
      <c r="R13" s="402">
        <f>R10+R12</f>
        <v>684161.637866667</v>
      </c>
    </row>
    <row r="15" s="769" customFormat="1" ht="28" customHeight="1" spans="1:18">
      <c r="A15" s="950" t="s">
        <v>896</v>
      </c>
      <c r="B15" s="779" t="s">
        <v>269</v>
      </c>
      <c r="C15" s="778" t="s">
        <v>270</v>
      </c>
      <c r="D15" s="745" t="s">
        <v>225</v>
      </c>
      <c r="E15" s="747">
        <v>330407.083333333</v>
      </c>
      <c r="F15" s="747"/>
      <c r="G15" s="748"/>
      <c r="H15" s="748">
        <f>60000</f>
        <v>60000</v>
      </c>
      <c r="I15" s="747"/>
      <c r="J15" s="750">
        <f>E15+F15+G15+H15+I15</f>
        <v>390407.083333333</v>
      </c>
      <c r="K15" s="747"/>
      <c r="L15" s="747"/>
      <c r="M15" s="747"/>
      <c r="N15" s="747"/>
      <c r="O15" s="747">
        <v>48549.7738666667</v>
      </c>
      <c r="P15" s="747">
        <v>26432.5666666667</v>
      </c>
      <c r="Q15" s="750">
        <f>O15+N15+M15+L15+K15+P15</f>
        <v>74982.3405333334</v>
      </c>
      <c r="R15" s="750">
        <f>J15-Q15</f>
        <v>315424.7428</v>
      </c>
    </row>
    <row r="16" s="769" customFormat="1" ht="35" customHeight="1" spans="1:18">
      <c r="A16" s="745" t="s">
        <v>894</v>
      </c>
      <c r="B16" s="779" t="s">
        <v>269</v>
      </c>
      <c r="C16" s="778" t="s">
        <v>270</v>
      </c>
      <c r="D16" s="745" t="s">
        <v>225</v>
      </c>
      <c r="E16" s="747">
        <f>255849</f>
        <v>255849</v>
      </c>
      <c r="F16" s="747"/>
      <c r="G16" s="748"/>
      <c r="H16" s="748">
        <v>60000</v>
      </c>
      <c r="I16" s="747"/>
      <c r="J16" s="750">
        <f>E16+F16+G16+H16+I16</f>
        <v>315849</v>
      </c>
      <c r="K16" s="747"/>
      <c r="L16" s="747"/>
      <c r="M16" s="747"/>
      <c r="N16" s="747"/>
      <c r="O16" s="747">
        <v>36790.6881066667</v>
      </c>
      <c r="P16" s="747"/>
      <c r="Q16" s="750">
        <f>O16+N16+M16+L16+K16+P16</f>
        <v>36790.6881066667</v>
      </c>
      <c r="R16" s="750">
        <f>J16-Q16</f>
        <v>279058.311893333</v>
      </c>
    </row>
    <row r="17" ht="21" customHeight="1" spans="2:18">
      <c r="E17" s="402">
        <f>E15-E16</f>
        <v>74558.083333333</v>
      </c>
      <c r="F17" s="402"/>
      <c r="G17" s="402"/>
      <c r="H17" s="402"/>
      <c r="I17" s="402"/>
      <c r="J17" s="402">
        <f>J15-J16</f>
        <v>74558.083333333</v>
      </c>
      <c r="K17" s="402"/>
      <c r="L17" s="402"/>
      <c r="M17" s="402"/>
      <c r="N17" s="402"/>
      <c r="O17" s="402">
        <f>O15-O16</f>
        <v>11759.08576</v>
      </c>
      <c r="P17" s="402"/>
      <c r="Q17" s="402">
        <f>Q15-Q16</f>
        <v>38191.6524266667</v>
      </c>
      <c r="R17" s="402">
        <f>R15-R16</f>
        <v>36366.4309066663</v>
      </c>
    </row>
    <row r="18" spans="2:18">
      <c r="B18" t="s">
        <v>899</v>
      </c>
      <c r="E18" s="402">
        <f>E17*9</f>
        <v>671022.749999997</v>
      </c>
      <c r="F18" s="402"/>
      <c r="G18" s="402"/>
      <c r="H18" s="402"/>
      <c r="I18" s="402"/>
      <c r="J18" s="402">
        <f>J17*9</f>
        <v>671022.749999997</v>
      </c>
      <c r="K18" s="402"/>
      <c r="L18" s="402"/>
      <c r="M18" s="402"/>
      <c r="N18" s="402"/>
      <c r="O18" s="402">
        <f>O17*9</f>
        <v>105831.77184</v>
      </c>
      <c r="P18" s="402">
        <f>P17*9</f>
        <v>0</v>
      </c>
      <c r="Q18" s="402">
        <f>O18</f>
        <v>105831.77184</v>
      </c>
      <c r="R18" s="402">
        <f>R17*9</f>
        <v>327297.878159997</v>
      </c>
    </row>
    <row r="19" spans="2:18">
      <c r="R19" s="402">
        <f>R15+R18</f>
        <v>642722.620959997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zoomScale="90" zoomScaleNormal="90" zoomScaleSheetLayoutView="50" workbookViewId="0">
      <pane xSplit="3" ySplit="7" topLeftCell="D166" activePane="bottomRight" state="frozen"/>
      <selection/>
      <selection pane="topRight"/>
      <selection pane="bottomLeft"/>
      <selection pane="bottomRight" activeCell="G168" sqref="G168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3.6363636363636" style="1"/>
    <col min="7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5">
      <c r="A2" s="76" t="s">
        <v>900</v>
      </c>
      <c r="B2" s="77"/>
      <c r="C2" s="76"/>
      <c r="D2" s="76"/>
      <c r="E2" s="216"/>
    </row>
    <row r="3" ht="9.75" customHeight="1" spans="1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218" t="s">
        <v>5</v>
      </c>
    </row>
    <row r="5" ht="17.25" customHeight="1" spans="1:5">
      <c r="C5" s="8"/>
      <c r="D5" s="8"/>
      <c r="E5" s="82" t="s">
        <v>21</v>
      </c>
    </row>
    <row r="6" customHeight="1" spans="1:5">
      <c r="A6" s="9" t="s">
        <v>22</v>
      </c>
      <c r="B6" s="8" t="s">
        <v>23</v>
      </c>
      <c r="C6" s="8"/>
      <c r="D6" s="8"/>
      <c r="E6" s="82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5">
        <v>1971137.08333333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5">
        <v>905306.75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5">
        <v>905306.75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5">
        <v>905306.75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210</v>
      </c>
      <c r="E11" s="85">
        <v>879008.916666667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50</v>
      </c>
      <c r="E12" s="85">
        <v>722595.5</v>
      </c>
    </row>
    <row r="13" customHeight="1" spans="1:5">
      <c r="A13" s="10">
        <v>7</v>
      </c>
      <c r="B13" s="11" t="s">
        <v>40</v>
      </c>
      <c r="C13" s="4" t="s">
        <v>643</v>
      </c>
      <c r="D13" s="15" t="s">
        <v>192</v>
      </c>
      <c r="E13" s="85">
        <v>589657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50</v>
      </c>
      <c r="E14" s="85">
        <v>722595.5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214</v>
      </c>
      <c r="E15" s="85">
        <v>558165.25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42</v>
      </c>
      <c r="E16" s="85">
        <v>700713.916666666</v>
      </c>
    </row>
    <row r="17" customHeight="1" spans="1:5">
      <c r="A17" s="10">
        <v>11</v>
      </c>
      <c r="B17" s="11" t="s">
        <v>51</v>
      </c>
      <c r="C17" s="12" t="s">
        <v>61</v>
      </c>
      <c r="D17" s="15" t="s">
        <v>56</v>
      </c>
      <c r="E17" s="85">
        <v>541351.333333333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601</v>
      </c>
      <c r="E18" s="85">
        <v>526725.083333334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602</v>
      </c>
      <c r="E19" s="680">
        <v>497472.75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602</v>
      </c>
      <c r="E20" s="680">
        <v>497472.75</v>
      </c>
    </row>
    <row r="21" customHeight="1" spans="1:5">
      <c r="A21" s="10">
        <v>15</v>
      </c>
      <c r="B21" s="11" t="s">
        <v>62</v>
      </c>
      <c r="C21" s="12" t="s">
        <v>645</v>
      </c>
      <c r="D21" s="15" t="s">
        <v>261</v>
      </c>
      <c r="E21" s="85">
        <v>496497.166666667</v>
      </c>
    </row>
    <row r="22" ht="18.75" customHeight="1" spans="1:5">
      <c r="A22" s="10">
        <v>16</v>
      </c>
      <c r="B22" s="11" t="s">
        <v>65</v>
      </c>
      <c r="C22" s="12" t="s">
        <v>178</v>
      </c>
      <c r="D22" s="15" t="s">
        <v>173</v>
      </c>
      <c r="E22" s="85">
        <v>482662.666666667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131</v>
      </c>
      <c r="E23" s="85">
        <v>454993.583333333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131</v>
      </c>
      <c r="E24" s="85">
        <v>454993.583333333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85">
        <v>381140.666666666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75</v>
      </c>
      <c r="E26" s="85">
        <v>381140.666666666</v>
      </c>
    </row>
    <row r="27" ht="18.75" customHeight="1" spans="1:5">
      <c r="A27" s="10">
        <v>21</v>
      </c>
      <c r="B27" s="4" t="s">
        <v>478</v>
      </c>
      <c r="C27" s="4" t="s">
        <v>94</v>
      </c>
      <c r="D27" s="10" t="s">
        <v>156</v>
      </c>
      <c r="E27" s="85">
        <v>355320.666666667</v>
      </c>
    </row>
    <row r="28" ht="18.75" customHeight="1" spans="1:5">
      <c r="A28" s="10">
        <v>22</v>
      </c>
      <c r="B28" s="18" t="s">
        <v>79</v>
      </c>
      <c r="C28" s="12" t="s">
        <v>94</v>
      </c>
      <c r="D28" s="15" t="s">
        <v>156</v>
      </c>
      <c r="E28" s="85">
        <v>355320.666666667</v>
      </c>
    </row>
    <row r="29" customHeight="1" spans="1:5">
      <c r="A29" s="10">
        <v>23</v>
      </c>
      <c r="B29" s="11" t="s">
        <v>82</v>
      </c>
      <c r="C29" s="17" t="s">
        <v>69</v>
      </c>
      <c r="D29" s="10" t="s">
        <v>156</v>
      </c>
      <c r="E29" s="85">
        <v>355320.666666667</v>
      </c>
    </row>
    <row r="30" ht="18.75" customHeight="1" spans="1:5">
      <c r="A30" s="10">
        <v>24</v>
      </c>
      <c r="B30" s="18" t="s">
        <v>84</v>
      </c>
      <c r="C30" s="12" t="s">
        <v>85</v>
      </c>
      <c r="D30" s="15" t="s">
        <v>86</v>
      </c>
      <c r="E30" s="85">
        <v>347016.166666666</v>
      </c>
    </row>
    <row r="31" ht="18.75" customHeight="1" spans="1:5">
      <c r="A31" s="10">
        <v>25</v>
      </c>
      <c r="B31" s="18" t="s">
        <v>87</v>
      </c>
      <c r="C31" s="4" t="s">
        <v>88</v>
      </c>
      <c r="D31" s="10" t="s">
        <v>99</v>
      </c>
      <c r="E31" s="85">
        <v>338711.666666667</v>
      </c>
    </row>
    <row r="32" ht="18.75" customHeight="1" spans="1:5">
      <c r="A32" s="10">
        <v>26</v>
      </c>
      <c r="B32" s="18" t="s">
        <v>89</v>
      </c>
      <c r="C32" s="4" t="s">
        <v>88</v>
      </c>
      <c r="D32" s="10" t="s">
        <v>99</v>
      </c>
      <c r="E32" s="85">
        <v>338711.666666667</v>
      </c>
    </row>
    <row r="33" ht="18.75" customHeight="1" spans="1:5">
      <c r="A33" s="10">
        <v>27</v>
      </c>
      <c r="B33" s="18" t="s">
        <v>91</v>
      </c>
      <c r="C33" s="17" t="s">
        <v>646</v>
      </c>
      <c r="D33" s="15" t="s">
        <v>156</v>
      </c>
      <c r="E33" s="85">
        <v>355320.666666667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99</v>
      </c>
      <c r="E34" s="85">
        <v>338711.666666667</v>
      </c>
    </row>
    <row r="35" ht="18.75" customHeight="1" spans="1:5">
      <c r="A35" s="10">
        <v>29</v>
      </c>
      <c r="B35" s="18" t="s">
        <v>95</v>
      </c>
      <c r="C35" s="4" t="s">
        <v>647</v>
      </c>
      <c r="D35" s="10" t="s">
        <v>99</v>
      </c>
      <c r="E35" s="85">
        <v>338711.666666667</v>
      </c>
    </row>
    <row r="36" s="1" customFormat="1" ht="18.75" customHeight="1" spans="1:5">
      <c r="A36" s="10">
        <v>30</v>
      </c>
      <c r="B36" s="18" t="s">
        <v>97</v>
      </c>
      <c r="C36" s="4" t="s">
        <v>98</v>
      </c>
      <c r="D36" s="10" t="s">
        <v>225</v>
      </c>
      <c r="E36" s="85">
        <v>330407.083333333</v>
      </c>
    </row>
    <row r="37" s="1" customFormat="1" ht="18.75" customHeight="1" spans="1:5">
      <c r="A37" s="10">
        <v>31</v>
      </c>
      <c r="B37" s="18" t="s">
        <v>100</v>
      </c>
      <c r="C37" s="4" t="s">
        <v>98</v>
      </c>
      <c r="D37" s="10" t="s">
        <v>225</v>
      </c>
      <c r="E37" s="85">
        <v>330408.083333333</v>
      </c>
    </row>
    <row r="38" s="1" customFormat="1" ht="18.75" customHeight="1" spans="1:5">
      <c r="A38" s="10">
        <v>32</v>
      </c>
      <c r="B38" s="18" t="s">
        <v>101</v>
      </c>
      <c r="C38" s="4" t="s">
        <v>85</v>
      </c>
      <c r="D38" s="10" t="s">
        <v>225</v>
      </c>
      <c r="E38" s="85">
        <v>330409.083333333</v>
      </c>
    </row>
    <row r="39" s="1" customFormat="1" ht="18.75" customHeight="1" spans="1:5">
      <c r="A39" s="10">
        <v>33</v>
      </c>
      <c r="B39" s="18" t="s">
        <v>102</v>
      </c>
      <c r="C39" s="4" t="s">
        <v>94</v>
      </c>
      <c r="D39" s="10" t="s">
        <v>225</v>
      </c>
      <c r="E39" s="85">
        <v>330409.083333333</v>
      </c>
    </row>
    <row r="40" ht="18.75" customHeight="1" spans="1:5">
      <c r="A40" s="10">
        <v>34</v>
      </c>
      <c r="B40" s="18" t="s">
        <v>103</v>
      </c>
      <c r="C40" s="12" t="s">
        <v>104</v>
      </c>
      <c r="D40" s="15" t="s">
        <v>108</v>
      </c>
      <c r="E40" s="85">
        <v>301910.75</v>
      </c>
    </row>
    <row r="41" ht="18.75" customHeight="1" spans="1:5">
      <c r="A41" s="10">
        <v>35</v>
      </c>
      <c r="B41" s="18" t="s">
        <v>106</v>
      </c>
      <c r="C41" s="12" t="s">
        <v>107</v>
      </c>
      <c r="D41" s="15" t="s">
        <v>111</v>
      </c>
      <c r="E41" s="680">
        <v>294900.833333334</v>
      </c>
    </row>
    <row r="42" s="1" customFormat="1" customHeight="1" spans="1:5">
      <c r="A42" s="10">
        <v>36</v>
      </c>
      <c r="B42" s="18" t="s">
        <v>109</v>
      </c>
      <c r="C42" s="12" t="s">
        <v>110</v>
      </c>
      <c r="D42" s="15" t="s">
        <v>275</v>
      </c>
      <c r="E42" s="85">
        <v>287890.916666667</v>
      </c>
    </row>
    <row r="43" s="1" customFormat="1" customHeight="1" spans="1:5">
      <c r="A43" s="10">
        <v>37</v>
      </c>
      <c r="B43" s="18" t="s">
        <v>118</v>
      </c>
      <c r="C43" s="12" t="s">
        <v>119</v>
      </c>
      <c r="D43" s="15" t="s">
        <v>275</v>
      </c>
      <c r="E43" s="85">
        <v>287891.916666667</v>
      </c>
    </row>
    <row r="44" ht="26.25" customHeight="1" spans="1:5">
      <c r="A44" s="10"/>
      <c r="B44" s="20" t="s">
        <v>120</v>
      </c>
      <c r="C44" s="21">
        <v>37</v>
      </c>
      <c r="D44" s="15"/>
      <c r="E44" s="221">
        <f>SUM(E7:E43)</f>
        <v>19191616.9166667</v>
      </c>
    </row>
    <row r="45" ht="18.75" customHeight="1" spans="1:5">
      <c r="A45" s="10"/>
      <c r="B45" s="22"/>
      <c r="C45" s="4"/>
      <c r="D45" s="15"/>
      <c r="E45" s="221"/>
    </row>
    <row r="46" ht="18.75" customHeight="1" spans="1:5">
      <c r="A46" s="10"/>
      <c r="B46" s="20" t="s">
        <v>121</v>
      </c>
      <c r="C46" s="4"/>
      <c r="D46" s="15"/>
      <c r="E46" s="85"/>
    </row>
    <row r="47" ht="18.75" customHeight="1" spans="1:5">
      <c r="A47" s="10">
        <v>1</v>
      </c>
      <c r="B47" s="18" t="s">
        <v>122</v>
      </c>
      <c r="C47" s="4" t="s">
        <v>123</v>
      </c>
      <c r="D47" s="10" t="s">
        <v>124</v>
      </c>
      <c r="E47" s="85">
        <v>1747106.41666666</v>
      </c>
    </row>
    <row r="48" ht="18.75" customHeight="1" spans="1:5">
      <c r="A48" s="10">
        <v>2</v>
      </c>
      <c r="B48" s="18" t="s">
        <v>127</v>
      </c>
      <c r="C48" s="4" t="s">
        <v>128</v>
      </c>
      <c r="D48" s="10" t="s">
        <v>75</v>
      </c>
      <c r="E48" s="85">
        <v>381140.666666666</v>
      </c>
    </row>
    <row r="49" ht="18.75" customHeight="1" spans="1:5">
      <c r="A49" s="10">
        <v>3</v>
      </c>
      <c r="B49" s="11" t="s">
        <v>129</v>
      </c>
      <c r="C49" s="4" t="s">
        <v>128</v>
      </c>
      <c r="D49" s="15" t="s">
        <v>78</v>
      </c>
      <c r="E49" s="85">
        <v>390135.833333334</v>
      </c>
    </row>
    <row r="50" s="1" customFormat="1" customHeight="1" spans="1:5">
      <c r="A50" s="10">
        <v>4</v>
      </c>
      <c r="B50" s="18" t="s">
        <v>132</v>
      </c>
      <c r="C50" s="4" t="s">
        <v>128</v>
      </c>
      <c r="D50" s="15" t="s">
        <v>81</v>
      </c>
      <c r="E50" s="85">
        <v>372145.333333333</v>
      </c>
    </row>
    <row r="51" ht="18.75" customHeight="1" spans="1:5">
      <c r="A51" s="10">
        <v>5</v>
      </c>
      <c r="B51" s="11" t="s">
        <v>133</v>
      </c>
      <c r="C51" s="4" t="s">
        <v>134</v>
      </c>
      <c r="D51" s="15" t="s">
        <v>99</v>
      </c>
      <c r="E51" s="680">
        <v>338711.666666667</v>
      </c>
    </row>
    <row r="52" s="1" customFormat="1" customHeight="1" spans="1:5">
      <c r="A52" s="10">
        <v>6</v>
      </c>
      <c r="B52" s="18" t="s">
        <v>135</v>
      </c>
      <c r="C52" s="12" t="s">
        <v>136</v>
      </c>
      <c r="D52" s="15" t="s">
        <v>275</v>
      </c>
      <c r="E52" s="85">
        <v>287890.916666667</v>
      </c>
    </row>
    <row r="53" ht="19.5" customHeight="1" spans="1:5">
      <c r="A53" s="10"/>
      <c r="B53" s="14"/>
      <c r="C53" s="21">
        <v>6</v>
      </c>
      <c r="D53" s="10"/>
      <c r="E53" s="221">
        <f>SUM(E47:E52)</f>
        <v>3517130.83333333</v>
      </c>
    </row>
    <row r="54" customHeight="1" spans="1:5">
      <c r="A54" s="10"/>
      <c r="B54" s="14"/>
      <c r="C54" s="4"/>
      <c r="D54" s="10"/>
      <c r="E54" s="221"/>
    </row>
    <row r="55" customHeight="1" spans="1:5">
      <c r="A55" s="10"/>
      <c r="B55" s="23" t="s">
        <v>137</v>
      </c>
      <c r="C55" s="5"/>
      <c r="D55" s="24"/>
      <c r="E55" s="221"/>
    </row>
    <row r="56" customHeight="1" spans="1:5">
      <c r="A56" s="10">
        <v>1</v>
      </c>
      <c r="B56" s="11" t="s">
        <v>138</v>
      </c>
      <c r="C56" s="4" t="s">
        <v>648</v>
      </c>
      <c r="D56" s="10" t="s">
        <v>304</v>
      </c>
      <c r="E56" s="85">
        <v>1647612</v>
      </c>
    </row>
    <row r="57" customHeight="1" spans="1:5">
      <c r="A57" s="10">
        <v>2</v>
      </c>
      <c r="B57" s="11" t="s">
        <v>141</v>
      </c>
      <c r="C57" s="4" t="s">
        <v>145</v>
      </c>
      <c r="D57" s="10" t="s">
        <v>39</v>
      </c>
      <c r="E57" s="85">
        <v>744477</v>
      </c>
    </row>
    <row r="58" customHeight="1" spans="1:5">
      <c r="A58" s="10">
        <v>3</v>
      </c>
      <c r="B58" s="11" t="s">
        <v>144</v>
      </c>
      <c r="C58" s="4" t="s">
        <v>145</v>
      </c>
      <c r="D58" s="10" t="s">
        <v>39</v>
      </c>
      <c r="E58" s="85">
        <v>744477</v>
      </c>
    </row>
    <row r="59" customHeight="1" spans="1:5">
      <c r="A59" s="10">
        <v>4</v>
      </c>
      <c r="B59" s="11" t="s">
        <v>146</v>
      </c>
      <c r="C59" s="4" t="s">
        <v>145</v>
      </c>
      <c r="D59" s="10" t="s">
        <v>50</v>
      </c>
      <c r="E59" s="85">
        <v>722595.5</v>
      </c>
    </row>
    <row r="60" customHeight="1" spans="1:5">
      <c r="A60" s="10">
        <v>5</v>
      </c>
      <c r="B60" s="14" t="s">
        <v>147</v>
      </c>
      <c r="C60" s="4" t="s">
        <v>145</v>
      </c>
      <c r="D60" s="10" t="s">
        <v>42</v>
      </c>
      <c r="E60" s="85">
        <v>700713.916666666</v>
      </c>
    </row>
    <row r="61" s="1" customFormat="1" customHeight="1" spans="1:5">
      <c r="A61" s="10">
        <v>6</v>
      </c>
      <c r="B61" s="18" t="s">
        <v>149</v>
      </c>
      <c r="C61" s="4" t="s">
        <v>150</v>
      </c>
      <c r="D61" s="15" t="s">
        <v>180</v>
      </c>
      <c r="E61" s="220">
        <v>441159</v>
      </c>
    </row>
    <row r="62" customHeight="1" spans="1:5">
      <c r="A62" s="10">
        <v>7</v>
      </c>
      <c r="B62" s="11" t="s">
        <v>151</v>
      </c>
      <c r="C62" s="4" t="s">
        <v>152</v>
      </c>
      <c r="D62" s="10" t="s">
        <v>78</v>
      </c>
      <c r="E62" s="85">
        <v>390135.833333334</v>
      </c>
    </row>
    <row r="63" s="1" customFormat="1" customHeight="1" spans="1:5">
      <c r="A63" s="10">
        <v>8</v>
      </c>
      <c r="B63" s="11" t="s">
        <v>154</v>
      </c>
      <c r="C63" s="4" t="s">
        <v>83</v>
      </c>
      <c r="D63" s="10" t="s">
        <v>81</v>
      </c>
      <c r="E63" s="85">
        <v>372145.333333333</v>
      </c>
    </row>
    <row r="64" customHeight="1" spans="1:5">
      <c r="A64" s="10">
        <v>9</v>
      </c>
      <c r="B64" s="11" t="s">
        <v>155</v>
      </c>
      <c r="C64" s="4" t="s">
        <v>152</v>
      </c>
      <c r="D64" s="10" t="s">
        <v>86</v>
      </c>
      <c r="E64" s="85">
        <v>347016.166666666</v>
      </c>
    </row>
    <row r="65" customHeight="1" spans="1:5">
      <c r="A65" s="10">
        <v>10</v>
      </c>
      <c r="B65" s="11" t="s">
        <v>157</v>
      </c>
      <c r="C65" s="4" t="s">
        <v>152</v>
      </c>
      <c r="D65" s="10" t="s">
        <v>86</v>
      </c>
      <c r="E65" s="85">
        <v>347016.166666666</v>
      </c>
    </row>
    <row r="66" s="1" customFormat="1" ht="18.75" customHeight="1" spans="1:5">
      <c r="A66" s="10">
        <v>11</v>
      </c>
      <c r="B66" s="18" t="s">
        <v>158</v>
      </c>
      <c r="C66" s="4" t="s">
        <v>152</v>
      </c>
      <c r="D66" s="10" t="s">
        <v>225</v>
      </c>
      <c r="E66" s="85">
        <v>330407.083333333</v>
      </c>
    </row>
    <row r="67" ht="25.5" customHeight="1" spans="1:5">
      <c r="A67" s="10"/>
      <c r="B67" s="20" t="s">
        <v>120</v>
      </c>
      <c r="C67" s="21">
        <v>11</v>
      </c>
      <c r="D67" s="21"/>
      <c r="E67" s="93">
        <f>SUM(E56:E66)</f>
        <v>6787755</v>
      </c>
    </row>
    <row r="68" customHeight="1" spans="1:5">
      <c r="A68" s="10"/>
      <c r="B68" s="22"/>
      <c r="C68" s="21"/>
      <c r="D68" s="21"/>
      <c r="E68" s="156"/>
    </row>
    <row r="69" customHeight="1" spans="1:5">
      <c r="A69" s="10"/>
      <c r="B69" s="20" t="s">
        <v>159</v>
      </c>
      <c r="C69" s="21"/>
      <c r="D69" s="21"/>
      <c r="E69" s="156"/>
    </row>
    <row r="70" customHeight="1" spans="1:5">
      <c r="A70" s="10">
        <v>1</v>
      </c>
      <c r="B70" s="11" t="s">
        <v>160</v>
      </c>
      <c r="C70" s="12" t="s">
        <v>161</v>
      </c>
      <c r="D70" s="15" t="s">
        <v>124</v>
      </c>
      <c r="E70" s="85">
        <v>1747106.41666666</v>
      </c>
    </row>
    <row r="71" customHeight="1" spans="1:5">
      <c r="A71" s="10">
        <v>2</v>
      </c>
      <c r="B71" s="11" t="s">
        <v>162</v>
      </c>
      <c r="C71" s="12" t="s">
        <v>485</v>
      </c>
      <c r="D71" s="15" t="s">
        <v>486</v>
      </c>
      <c r="E71" s="85">
        <v>744477</v>
      </c>
    </row>
    <row r="72" customHeight="1" spans="1:5">
      <c r="A72" s="10"/>
      <c r="B72" s="20" t="s">
        <v>120</v>
      </c>
      <c r="C72" s="21">
        <v>2</v>
      </c>
      <c r="D72" s="21"/>
      <c r="E72" s="93">
        <f>SUM(E70:E71)</f>
        <v>2491583.41666666</v>
      </c>
    </row>
    <row r="73" customHeight="1" spans="1:5">
      <c r="A73" s="10"/>
      <c r="B73" s="20"/>
      <c r="C73" s="21"/>
      <c r="D73" s="21"/>
      <c r="E73" s="156"/>
    </row>
    <row r="74" customHeight="1" spans="1:5">
      <c r="A74" s="10"/>
      <c r="B74" s="20" t="s">
        <v>164</v>
      </c>
      <c r="C74" s="21"/>
      <c r="D74" s="21"/>
      <c r="E74" s="156"/>
    </row>
    <row r="75" customHeight="1" spans="1:5">
      <c r="A75" s="10">
        <v>1</v>
      </c>
      <c r="B75" s="14" t="s">
        <v>165</v>
      </c>
      <c r="C75" s="4" t="s">
        <v>166</v>
      </c>
      <c r="D75" s="10" t="s">
        <v>36</v>
      </c>
      <c r="E75" s="85">
        <v>905306.75</v>
      </c>
    </row>
    <row r="76" customHeight="1" spans="1:5">
      <c r="A76" s="10">
        <v>2</v>
      </c>
      <c r="B76" s="11" t="s">
        <v>167</v>
      </c>
      <c r="C76" s="4" t="s">
        <v>52</v>
      </c>
      <c r="D76" s="10" t="s">
        <v>214</v>
      </c>
      <c r="E76" s="85">
        <v>558165.25</v>
      </c>
    </row>
    <row r="77" s="1" customFormat="1" customHeight="1" spans="1:5">
      <c r="A77" s="10">
        <v>3</v>
      </c>
      <c r="B77" s="18" t="s">
        <v>168</v>
      </c>
      <c r="C77" s="17" t="s">
        <v>217</v>
      </c>
      <c r="D77" s="15" t="s">
        <v>67</v>
      </c>
      <c r="E77" s="85">
        <v>482846.583333333</v>
      </c>
    </row>
    <row r="78" s="1" customFormat="1" customHeight="1" spans="1:5">
      <c r="A78" s="10">
        <v>4</v>
      </c>
      <c r="B78" s="18" t="s">
        <v>170</v>
      </c>
      <c r="C78" s="17" t="s">
        <v>217</v>
      </c>
      <c r="D78" s="15" t="s">
        <v>67</v>
      </c>
      <c r="E78" s="85">
        <v>482846.583333333</v>
      </c>
    </row>
    <row r="79" customHeight="1" spans="1:5">
      <c r="A79" s="10">
        <v>5</v>
      </c>
      <c r="B79" s="11" t="s">
        <v>171</v>
      </c>
      <c r="C79" s="4" t="s">
        <v>152</v>
      </c>
      <c r="D79" s="10" t="s">
        <v>70</v>
      </c>
      <c r="E79" s="85">
        <v>468828.166666667</v>
      </c>
    </row>
    <row r="80" customHeight="1" spans="1:5">
      <c r="A80" s="10">
        <v>6</v>
      </c>
      <c r="B80" s="11" t="s">
        <v>172</v>
      </c>
      <c r="C80" s="17" t="s">
        <v>72</v>
      </c>
      <c r="D80" s="10" t="s">
        <v>70</v>
      </c>
      <c r="E80" s="85">
        <v>468828.166666667</v>
      </c>
    </row>
    <row r="81" customHeight="1" spans="1:5">
      <c r="A81" s="10">
        <v>7</v>
      </c>
      <c r="B81" s="11" t="s">
        <v>174</v>
      </c>
      <c r="C81" s="17" t="s">
        <v>72</v>
      </c>
      <c r="D81" s="10" t="s">
        <v>70</v>
      </c>
      <c r="E81" s="85">
        <v>468828.166666667</v>
      </c>
    </row>
    <row r="82" customHeight="1" spans="1:5">
      <c r="A82" s="10">
        <v>8</v>
      </c>
      <c r="B82" s="11" t="s">
        <v>175</v>
      </c>
      <c r="C82" s="4" t="s">
        <v>649</v>
      </c>
      <c r="D82" s="10" t="s">
        <v>173</v>
      </c>
      <c r="E82" s="457">
        <v>482662.666666667</v>
      </c>
    </row>
    <row r="83" s="1" customFormat="1" customHeight="1" spans="1:5">
      <c r="A83" s="10">
        <v>9</v>
      </c>
      <c r="B83" s="14" t="s">
        <v>177</v>
      </c>
      <c r="C83" s="17" t="s">
        <v>178</v>
      </c>
      <c r="D83" s="10" t="s">
        <v>180</v>
      </c>
      <c r="E83" s="85">
        <v>441159</v>
      </c>
    </row>
    <row r="84" ht="21.6" customHeight="1" spans="1:5">
      <c r="A84" s="10">
        <v>10</v>
      </c>
      <c r="B84" s="11" t="s">
        <v>179</v>
      </c>
      <c r="C84" s="4" t="s">
        <v>152</v>
      </c>
      <c r="D84" s="10" t="s">
        <v>78</v>
      </c>
      <c r="E84" s="220">
        <v>390135.833333334</v>
      </c>
    </row>
    <row r="85" ht="27" customHeight="1" spans="1:5">
      <c r="A85" s="10"/>
      <c r="B85" s="20" t="s">
        <v>120</v>
      </c>
      <c r="C85" s="21">
        <v>10</v>
      </c>
      <c r="D85" s="21"/>
      <c r="E85" s="93">
        <f>SUM(E75:E84)</f>
        <v>5149607.16666667</v>
      </c>
    </row>
    <row r="86" customHeight="1" spans="1:5">
      <c r="A86" s="10"/>
      <c r="B86" s="22"/>
      <c r="C86" s="21"/>
      <c r="D86" s="21"/>
      <c r="E86" s="156"/>
    </row>
    <row r="87" customHeight="1" spans="1:5">
      <c r="A87" s="10"/>
      <c r="B87" s="20" t="s">
        <v>183</v>
      </c>
      <c r="C87" s="21"/>
      <c r="D87" s="21"/>
      <c r="E87" s="156"/>
    </row>
    <row r="88" customHeight="1" spans="1:5">
      <c r="A88" s="10">
        <v>1</v>
      </c>
      <c r="B88" s="11" t="s">
        <v>184</v>
      </c>
      <c r="C88" s="4" t="s">
        <v>185</v>
      </c>
      <c r="D88" s="10" t="s">
        <v>124</v>
      </c>
      <c r="E88" s="85">
        <v>1747106.41666666</v>
      </c>
    </row>
    <row r="89" customHeight="1" spans="1:5">
      <c r="A89" s="10">
        <v>2</v>
      </c>
      <c r="B89" s="11" t="s">
        <v>188</v>
      </c>
      <c r="C89" s="4" t="s">
        <v>189</v>
      </c>
      <c r="D89" s="10" t="s">
        <v>42</v>
      </c>
      <c r="E89" s="85">
        <v>722595.5</v>
      </c>
    </row>
    <row r="90" customHeight="1" spans="1:5">
      <c r="A90" s="10">
        <v>3</v>
      </c>
      <c r="B90" s="11" t="s">
        <v>190</v>
      </c>
      <c r="C90" s="4" t="s">
        <v>191</v>
      </c>
      <c r="D90" s="15" t="s">
        <v>47</v>
      </c>
      <c r="E90" s="85">
        <v>573911.083333334</v>
      </c>
    </row>
    <row r="91" customHeight="1" spans="1:5">
      <c r="A91" s="10">
        <v>3</v>
      </c>
      <c r="B91" s="11" t="s">
        <v>193</v>
      </c>
      <c r="C91" s="12" t="s">
        <v>194</v>
      </c>
      <c r="D91" s="15" t="s">
        <v>67</v>
      </c>
      <c r="E91" s="85">
        <v>482846.583333334</v>
      </c>
    </row>
    <row r="92" s="1" customFormat="1" customHeight="1" spans="1:5">
      <c r="A92" s="10">
        <v>4</v>
      </c>
      <c r="B92" s="11" t="s">
        <v>195</v>
      </c>
      <c r="C92" s="4" t="s">
        <v>196</v>
      </c>
      <c r="D92" s="15" t="s">
        <v>67</v>
      </c>
      <c r="E92" s="85">
        <v>482846.583333333</v>
      </c>
    </row>
    <row r="93" customHeight="1" spans="1:5">
      <c r="A93" s="10">
        <v>5</v>
      </c>
      <c r="B93" s="11" t="s">
        <v>197</v>
      </c>
      <c r="C93" s="4" t="s">
        <v>198</v>
      </c>
      <c r="D93" s="10" t="s">
        <v>131</v>
      </c>
      <c r="E93" s="85">
        <v>454993.583333333</v>
      </c>
    </row>
    <row r="94" customHeight="1" spans="1:5">
      <c r="A94" s="10">
        <v>6</v>
      </c>
      <c r="B94" s="11" t="s">
        <v>201</v>
      </c>
      <c r="C94" s="4" t="s">
        <v>182</v>
      </c>
      <c r="D94" s="10" t="s">
        <v>99</v>
      </c>
      <c r="E94" s="85">
        <v>347016.166666666</v>
      </c>
    </row>
    <row r="95" customHeight="1" spans="1:5">
      <c r="A95" s="10">
        <v>7</v>
      </c>
      <c r="B95" s="11" t="s">
        <v>203</v>
      </c>
      <c r="C95" s="4" t="s">
        <v>204</v>
      </c>
      <c r="D95" s="10" t="s">
        <v>108</v>
      </c>
      <c r="E95" s="85">
        <v>301910.75</v>
      </c>
    </row>
    <row r="96" customHeight="1" spans="1:5">
      <c r="A96" s="10"/>
      <c r="B96" s="20" t="s">
        <v>120</v>
      </c>
      <c r="C96" s="21">
        <v>7</v>
      </c>
      <c r="D96" s="21"/>
      <c r="E96" s="93">
        <f>SUM(E88:E95)</f>
        <v>5113226.66666666</v>
      </c>
    </row>
    <row r="97" customHeight="1" spans="1:5">
      <c r="A97" s="10"/>
      <c r="B97" s="20"/>
      <c r="C97" s="21"/>
      <c r="D97" s="21"/>
      <c r="E97" s="156"/>
    </row>
    <row r="98" customHeight="1" spans="1:5">
      <c r="A98" s="10"/>
      <c r="B98" s="20" t="s">
        <v>205</v>
      </c>
      <c r="C98" s="25"/>
      <c r="D98" s="21"/>
      <c r="E98" s="156"/>
    </row>
    <row r="99" customHeight="1" spans="1:5">
      <c r="A99" s="10">
        <v>1</v>
      </c>
      <c r="B99" s="11" t="s">
        <v>206</v>
      </c>
      <c r="C99" s="4" t="s">
        <v>207</v>
      </c>
      <c r="D99" s="10" t="s">
        <v>304</v>
      </c>
      <c r="E99" s="85">
        <v>1647612</v>
      </c>
    </row>
    <row r="100" customHeight="1" spans="1:5">
      <c r="A100" s="10">
        <v>2</v>
      </c>
      <c r="B100" s="11" t="s">
        <v>208</v>
      </c>
      <c r="C100" s="4" t="s">
        <v>209</v>
      </c>
      <c r="D100" s="10" t="s">
        <v>143</v>
      </c>
      <c r="E100" s="85">
        <v>852711.083333333</v>
      </c>
    </row>
    <row r="101" customHeight="1" spans="1:5">
      <c r="A101" s="10">
        <v>3</v>
      </c>
      <c r="B101" s="11" t="s">
        <v>479</v>
      </c>
      <c r="C101" s="4" t="s">
        <v>145</v>
      </c>
      <c r="D101" s="10" t="s">
        <v>50</v>
      </c>
      <c r="E101" s="85">
        <v>722595.5</v>
      </c>
    </row>
    <row r="102" ht="21.6" customHeight="1" spans="1:5">
      <c r="A102" s="10">
        <v>4</v>
      </c>
      <c r="B102" s="11" t="s">
        <v>211</v>
      </c>
      <c r="C102" s="4" t="s">
        <v>52</v>
      </c>
      <c r="D102" s="15" t="s">
        <v>214</v>
      </c>
      <c r="E102" s="85">
        <v>558165.25</v>
      </c>
    </row>
    <row r="103" ht="21.6" customHeight="1" spans="1:5">
      <c r="A103" s="10">
        <v>5</v>
      </c>
      <c r="B103" s="11" t="s">
        <v>212</v>
      </c>
      <c r="C103" s="4" t="s">
        <v>52</v>
      </c>
      <c r="D103" s="15" t="s">
        <v>214</v>
      </c>
      <c r="E103" s="85">
        <v>558166.25</v>
      </c>
    </row>
    <row r="104" ht="21.6" customHeight="1" spans="1:5">
      <c r="A104" s="10">
        <v>6</v>
      </c>
      <c r="B104" s="11" t="s">
        <v>213</v>
      </c>
      <c r="C104" s="12" t="s">
        <v>52</v>
      </c>
      <c r="D104" s="15" t="s">
        <v>53</v>
      </c>
      <c r="E104" s="85">
        <v>542419.5</v>
      </c>
    </row>
    <row r="105" ht="21.6" customHeight="1" spans="1:5">
      <c r="A105" s="10">
        <v>7</v>
      </c>
      <c r="B105" s="11" t="s">
        <v>215</v>
      </c>
      <c r="C105" s="17" t="s">
        <v>72</v>
      </c>
      <c r="D105" s="15" t="s">
        <v>70</v>
      </c>
      <c r="E105" s="85">
        <v>468828.166666667</v>
      </c>
    </row>
    <row r="106" ht="21.6" customHeight="1" spans="1:5">
      <c r="A106" s="10">
        <v>8</v>
      </c>
      <c r="B106" s="11" t="s">
        <v>216</v>
      </c>
      <c r="C106" s="17" t="s">
        <v>217</v>
      </c>
      <c r="D106" s="15" t="s">
        <v>64</v>
      </c>
      <c r="E106" s="85">
        <v>497472.75</v>
      </c>
    </row>
    <row r="107" s="1" customFormat="1" customHeight="1" spans="1:5">
      <c r="A107" s="10">
        <v>9</v>
      </c>
      <c r="B107" s="18" t="s">
        <v>219</v>
      </c>
      <c r="C107" s="4" t="s">
        <v>150</v>
      </c>
      <c r="D107" s="15" t="s">
        <v>180</v>
      </c>
      <c r="E107" s="220">
        <v>441159</v>
      </c>
    </row>
    <row r="108" ht="21.6" customHeight="1" spans="1:5">
      <c r="A108" s="10">
        <v>10</v>
      </c>
      <c r="B108" s="11" t="s">
        <v>220</v>
      </c>
      <c r="C108" s="4" t="s">
        <v>221</v>
      </c>
      <c r="D108" s="10" t="s">
        <v>78</v>
      </c>
      <c r="E108" s="220">
        <v>390135.833333334</v>
      </c>
    </row>
    <row r="109" ht="21.6" customHeight="1" spans="1:5">
      <c r="A109" s="10">
        <v>11</v>
      </c>
      <c r="B109" s="11" t="s">
        <v>224</v>
      </c>
      <c r="C109" s="17" t="s">
        <v>505</v>
      </c>
      <c r="D109" s="15" t="s">
        <v>105</v>
      </c>
      <c r="E109" s="220">
        <v>308920.666666667</v>
      </c>
    </row>
    <row r="110" customHeight="1" spans="1:5">
      <c r="A110" s="10"/>
      <c r="B110" s="20" t="s">
        <v>120</v>
      </c>
      <c r="C110" s="21">
        <v>11</v>
      </c>
      <c r="D110" s="21"/>
      <c r="E110" s="93">
        <f>SUM(E99:E109)</f>
        <v>6988186</v>
      </c>
    </row>
    <row r="111" customHeight="1" spans="1:5">
      <c r="A111" s="10"/>
      <c r="B111" s="22"/>
      <c r="C111" s="21"/>
      <c r="D111" s="21"/>
      <c r="E111" s="156"/>
    </row>
    <row r="112" customHeight="1" spans="1:5">
      <c r="A112" s="10"/>
      <c r="B112" s="20" t="s">
        <v>226</v>
      </c>
      <c r="C112" s="21"/>
      <c r="D112" s="21"/>
      <c r="E112" s="156"/>
    </row>
    <row r="113" customHeight="1" spans="1:5">
      <c r="A113" s="10">
        <v>1</v>
      </c>
      <c r="B113" s="14" t="s">
        <v>227</v>
      </c>
      <c r="C113" s="4" t="s">
        <v>650</v>
      </c>
      <c r="D113" s="16" t="s">
        <v>140</v>
      </c>
      <c r="E113" s="85">
        <v>1697359.33333333</v>
      </c>
    </row>
    <row r="114" customHeight="1" spans="1:5">
      <c r="A114" s="10">
        <v>2</v>
      </c>
      <c r="B114" s="11" t="s">
        <v>229</v>
      </c>
      <c r="C114" s="4" t="s">
        <v>230</v>
      </c>
      <c r="D114" s="15" t="s">
        <v>47</v>
      </c>
      <c r="E114" s="85">
        <v>573911.083333334</v>
      </c>
    </row>
    <row r="115" customHeight="1" spans="1:5">
      <c r="A115" s="10">
        <v>3</v>
      </c>
      <c r="B115" s="11" t="s">
        <v>231</v>
      </c>
      <c r="C115" s="12" t="s">
        <v>232</v>
      </c>
      <c r="D115" s="15" t="s">
        <v>64</v>
      </c>
      <c r="E115" s="85">
        <v>497472.75</v>
      </c>
    </row>
    <row r="116" s="1" customFormat="1" customHeight="1" spans="1:5">
      <c r="A116" s="10">
        <v>4</v>
      </c>
      <c r="B116" s="11" t="s">
        <v>233</v>
      </c>
      <c r="C116" s="4" t="s">
        <v>234</v>
      </c>
      <c r="D116" s="15" t="s">
        <v>67</v>
      </c>
      <c r="E116" s="65">
        <v>482846.583333333</v>
      </c>
    </row>
    <row r="117" customHeight="1" spans="1:5">
      <c r="A117" s="10">
        <v>5</v>
      </c>
      <c r="B117" s="11" t="s">
        <v>235</v>
      </c>
      <c r="C117" s="4" t="s">
        <v>651</v>
      </c>
      <c r="D117" s="15" t="s">
        <v>173</v>
      </c>
      <c r="E117" s="85">
        <v>482662.666666667</v>
      </c>
    </row>
    <row r="118" customHeight="1" spans="1:5">
      <c r="A118" s="10">
        <v>6</v>
      </c>
      <c r="B118" s="11" t="s">
        <v>236</v>
      </c>
      <c r="C118" s="4" t="s">
        <v>200</v>
      </c>
      <c r="D118" s="15" t="s">
        <v>78</v>
      </c>
      <c r="E118" s="220">
        <v>390135.833333334</v>
      </c>
    </row>
    <row r="119" customHeight="1" spans="1:5">
      <c r="A119" s="4"/>
      <c r="B119" s="20" t="s">
        <v>120</v>
      </c>
      <c r="C119" s="21">
        <v>6</v>
      </c>
      <c r="D119" s="26"/>
      <c r="E119" s="93">
        <f>SUM(E113:E118)</f>
        <v>4124388.25</v>
      </c>
    </row>
    <row r="120" customHeight="1" spans="1:5">
      <c r="A120" s="4"/>
      <c r="B120" s="22"/>
      <c r="C120" s="21"/>
      <c r="D120" s="26"/>
      <c r="E120" s="156"/>
    </row>
    <row r="121" customHeight="1" spans="1:5">
      <c r="A121" s="4"/>
      <c r="B121" s="20" t="s">
        <v>239</v>
      </c>
      <c r="C121" s="4"/>
      <c r="D121" s="4"/>
      <c r="E121" s="4"/>
    </row>
    <row r="122" customHeight="1" spans="1:5">
      <c r="A122" s="4">
        <v>1</v>
      </c>
      <c r="B122" s="11" t="s">
        <v>652</v>
      </c>
      <c r="C122" s="12" t="s">
        <v>241</v>
      </c>
      <c r="D122" s="15" t="s">
        <v>124</v>
      </c>
      <c r="E122" s="85">
        <v>1747106.41666666</v>
      </c>
    </row>
    <row r="123" customHeight="1" spans="1:5">
      <c r="A123" s="4">
        <v>2</v>
      </c>
      <c r="B123" s="11" t="s">
        <v>242</v>
      </c>
      <c r="C123" s="4" t="s">
        <v>243</v>
      </c>
      <c r="D123" s="16" t="s">
        <v>36</v>
      </c>
      <c r="E123" s="85">
        <v>905306.75</v>
      </c>
    </row>
    <row r="124" customHeight="1" spans="1:5">
      <c r="A124" s="4">
        <v>3</v>
      </c>
      <c r="B124" s="11" t="s">
        <v>244</v>
      </c>
      <c r="C124" s="4" t="s">
        <v>653</v>
      </c>
      <c r="D124" s="10" t="s">
        <v>56</v>
      </c>
      <c r="E124" s="85">
        <v>541351.333333333</v>
      </c>
    </row>
    <row r="125" customHeight="1" spans="1:5">
      <c r="A125" s="4">
        <v>4</v>
      </c>
      <c r="B125" s="11" t="s">
        <v>246</v>
      </c>
      <c r="C125" s="4" t="s">
        <v>653</v>
      </c>
      <c r="D125" s="10" t="s">
        <v>600</v>
      </c>
      <c r="E125" s="85">
        <v>542419.5</v>
      </c>
    </row>
    <row r="126" customHeight="1" spans="1:5">
      <c r="A126" s="4">
        <v>5</v>
      </c>
      <c r="B126" s="11" t="s">
        <v>249</v>
      </c>
      <c r="C126" s="4" t="s">
        <v>250</v>
      </c>
      <c r="D126" s="15" t="s">
        <v>603</v>
      </c>
      <c r="E126" s="220">
        <v>329950.416666667</v>
      </c>
    </row>
    <row r="127" customHeight="1" spans="1:5">
      <c r="A127" s="4">
        <v>6</v>
      </c>
      <c r="B127" s="18" t="s">
        <v>252</v>
      </c>
      <c r="C127" s="4" t="s">
        <v>250</v>
      </c>
      <c r="D127" s="10" t="s">
        <v>225</v>
      </c>
      <c r="E127" s="220">
        <v>330407.083333333</v>
      </c>
    </row>
    <row r="128" customHeight="1" spans="1:5">
      <c r="A128" s="4">
        <v>7</v>
      </c>
      <c r="B128" s="18" t="s">
        <v>253</v>
      </c>
      <c r="C128" s="4" t="s">
        <v>250</v>
      </c>
      <c r="D128" s="15" t="s">
        <v>105</v>
      </c>
      <c r="E128" s="220">
        <v>308920.666666667</v>
      </c>
    </row>
    <row r="129" ht="25.5" customHeight="1" spans="1:5">
      <c r="A129" s="4"/>
      <c r="B129" s="20" t="s">
        <v>120</v>
      </c>
      <c r="C129" s="21">
        <v>7</v>
      </c>
      <c r="D129" s="4"/>
      <c r="E129" s="223">
        <f>SUM(E122:E128)</f>
        <v>4705462.16666666</v>
      </c>
    </row>
    <row r="130" customHeight="1" spans="1:5">
      <c r="A130" s="4"/>
      <c r="B130" s="20"/>
      <c r="C130" s="21"/>
      <c r="D130" s="4"/>
      <c r="E130" s="223"/>
    </row>
    <row r="131" customHeight="1" spans="1:5">
      <c r="A131" s="10"/>
      <c r="B131" s="20" t="s">
        <v>257</v>
      </c>
      <c r="C131" s="21"/>
      <c r="D131" s="21"/>
      <c r="E131" s="156"/>
    </row>
    <row r="132" ht="18.75" customHeight="1" spans="1:5">
      <c r="A132" s="10">
        <v>1</v>
      </c>
      <c r="B132" s="11" t="s">
        <v>259</v>
      </c>
      <c r="C132" s="4" t="s">
        <v>260</v>
      </c>
      <c r="D132" s="15" t="s">
        <v>173</v>
      </c>
      <c r="E132" s="85">
        <v>482662.666666667</v>
      </c>
    </row>
    <row r="133" ht="18.75" customHeight="1" spans="1:5">
      <c r="A133" s="10">
        <v>2</v>
      </c>
      <c r="B133" s="11" t="s">
        <v>480</v>
      </c>
      <c r="C133" s="4" t="s">
        <v>72</v>
      </c>
      <c r="D133" s="15" t="s">
        <v>70</v>
      </c>
      <c r="E133" s="85">
        <v>468828.166666667</v>
      </c>
    </row>
    <row r="134" s="1" customFormat="1" ht="18.75" customHeight="1" spans="1:5">
      <c r="A134" s="10">
        <v>4</v>
      </c>
      <c r="B134" s="18" t="s">
        <v>262</v>
      </c>
      <c r="C134" s="4" t="s">
        <v>152</v>
      </c>
      <c r="D134" s="10" t="s">
        <v>225</v>
      </c>
      <c r="E134" s="85">
        <v>330407.083333333</v>
      </c>
    </row>
    <row r="135" s="1" customFormat="1" ht="18.75" customHeight="1" spans="1:5">
      <c r="A135" s="10">
        <v>5</v>
      </c>
      <c r="B135" s="18" t="s">
        <v>263</v>
      </c>
      <c r="C135" s="4" t="s">
        <v>152</v>
      </c>
      <c r="D135" s="10" t="s">
        <v>225</v>
      </c>
      <c r="E135" s="85">
        <v>330407.083333333</v>
      </c>
    </row>
    <row r="136" s="1" customFormat="1" customHeight="1" spans="1:5">
      <c r="A136" s="10">
        <v>6</v>
      </c>
      <c r="B136" s="18" t="s">
        <v>266</v>
      </c>
      <c r="C136" s="12" t="s">
        <v>267</v>
      </c>
      <c r="D136" s="15" t="s">
        <v>275</v>
      </c>
      <c r="E136" s="85">
        <v>287890.916666667</v>
      </c>
    </row>
    <row r="137" ht="24.75" customHeight="1" spans="1:5">
      <c r="A137" s="4"/>
      <c r="B137" s="20" t="s">
        <v>120</v>
      </c>
      <c r="C137" s="21">
        <v>6</v>
      </c>
      <c r="D137" s="26"/>
      <c r="E137" s="93">
        <f>SUM(E132:E136)</f>
        <v>1900195.91666667</v>
      </c>
    </row>
    <row r="138" ht="24.75" customHeight="1" spans="1:5">
      <c r="A138" s="4"/>
      <c r="B138" s="20"/>
      <c r="C138" s="21"/>
      <c r="D138" s="26"/>
      <c r="E138" s="93"/>
    </row>
    <row r="139" ht="24.75" customHeight="1" spans="1:5">
      <c r="A139" s="10"/>
      <c r="B139" s="20" t="s">
        <v>268</v>
      </c>
      <c r="C139" s="21"/>
      <c r="D139" s="21"/>
      <c r="E139" s="156"/>
    </row>
    <row r="140" s="1" customFormat="1" ht="18.75" customHeight="1" spans="1:5">
      <c r="A140" s="27">
        <v>1</v>
      </c>
      <c r="B140" s="18" t="s">
        <v>269</v>
      </c>
      <c r="C140" s="4" t="s">
        <v>270</v>
      </c>
      <c r="D140" s="10" t="s">
        <v>225</v>
      </c>
      <c r="E140" s="85">
        <v>330407.083333333</v>
      </c>
    </row>
    <row r="141" ht="24.75" customHeight="1" spans="1:5">
      <c r="A141" s="10">
        <v>2</v>
      </c>
      <c r="B141" s="11" t="s">
        <v>271</v>
      </c>
      <c r="C141" s="4" t="s">
        <v>272</v>
      </c>
      <c r="D141" s="10" t="s">
        <v>275</v>
      </c>
      <c r="E141" s="85">
        <v>287890.916666667</v>
      </c>
    </row>
    <row r="142" ht="24.75" customHeight="1" spans="1:5">
      <c r="A142" s="10">
        <v>3</v>
      </c>
      <c r="B142" s="11" t="s">
        <v>276</v>
      </c>
      <c r="C142" s="4" t="s">
        <v>277</v>
      </c>
      <c r="D142" s="10" t="s">
        <v>275</v>
      </c>
      <c r="E142" s="85">
        <v>287890.916666667</v>
      </c>
    </row>
    <row r="143" customHeight="1" spans="1:5">
      <c r="A143" s="4"/>
      <c r="B143" s="20" t="s">
        <v>120</v>
      </c>
      <c r="C143" s="21">
        <v>3</v>
      </c>
      <c r="D143" s="26"/>
      <c r="E143" s="93">
        <f>SUM(E140:E142)</f>
        <v>906188.916666667</v>
      </c>
    </row>
    <row r="144" customHeight="1" spans="1:5">
      <c r="A144" s="4"/>
      <c r="B144" s="20"/>
      <c r="C144" s="21"/>
      <c r="D144" s="26"/>
      <c r="E144" s="93"/>
    </row>
    <row r="145" customHeight="1" spans="1:6">
      <c r="A145" s="4"/>
      <c r="B145" s="20" t="s">
        <v>278</v>
      </c>
      <c r="C145" s="21"/>
      <c r="D145" s="21"/>
      <c r="E145" s="156"/>
    </row>
    <row r="146" customHeight="1" spans="1:6">
      <c r="A146" s="4">
        <v>1</v>
      </c>
      <c r="B146" s="11" t="s">
        <v>279</v>
      </c>
      <c r="C146" s="12" t="s">
        <v>280</v>
      </c>
      <c r="D146" s="15" t="s">
        <v>124</v>
      </c>
      <c r="E146" s="85">
        <v>1747106.41666666</v>
      </c>
    </row>
    <row r="147" customHeight="1" spans="1:6">
      <c r="A147" s="4">
        <v>2</v>
      </c>
      <c r="B147" s="11" t="s">
        <v>281</v>
      </c>
      <c r="C147" s="12" t="s">
        <v>654</v>
      </c>
      <c r="D147" s="15" t="s">
        <v>36</v>
      </c>
      <c r="E147" s="85">
        <v>905306.75</v>
      </c>
    </row>
    <row r="148" customHeight="1" spans="1:6">
      <c r="A148" s="4">
        <v>3</v>
      </c>
      <c r="B148" s="14" t="s">
        <v>283</v>
      </c>
      <c r="C148" s="12" t="s">
        <v>655</v>
      </c>
      <c r="D148" s="15" t="s">
        <v>210</v>
      </c>
      <c r="E148" s="85">
        <v>879008.916666667</v>
      </c>
      <c r="F148" s="13"/>
    </row>
    <row r="149" customHeight="1" spans="1:6">
      <c r="A149" s="4">
        <v>4</v>
      </c>
      <c r="B149" s="11" t="s">
        <v>286</v>
      </c>
      <c r="C149" s="12" t="s">
        <v>288</v>
      </c>
      <c r="D149" s="15" t="s">
        <v>192</v>
      </c>
      <c r="E149" s="85">
        <v>589657</v>
      </c>
    </row>
    <row r="150" customHeight="1" spans="1:6">
      <c r="A150" s="4">
        <v>5</v>
      </c>
      <c r="B150" s="11" t="s">
        <v>287</v>
      </c>
      <c r="C150" s="12" t="s">
        <v>288</v>
      </c>
      <c r="D150" s="15" t="s">
        <v>214</v>
      </c>
      <c r="E150" s="85">
        <v>558165.25</v>
      </c>
    </row>
    <row r="151" customHeight="1" spans="1:6">
      <c r="A151" s="4">
        <v>6</v>
      </c>
      <c r="B151" s="11" t="s">
        <v>289</v>
      </c>
      <c r="C151" s="12" t="s">
        <v>288</v>
      </c>
      <c r="D151" s="15" t="s">
        <v>47</v>
      </c>
      <c r="E151" s="85">
        <v>573911.083333334</v>
      </c>
    </row>
    <row r="152" s="1" customFormat="1" customHeight="1" spans="1:6">
      <c r="A152" s="4">
        <v>7</v>
      </c>
      <c r="B152" s="18" t="s">
        <v>290</v>
      </c>
      <c r="C152" s="12" t="s">
        <v>291</v>
      </c>
      <c r="D152" s="15" t="s">
        <v>81</v>
      </c>
      <c r="E152" s="85">
        <v>372145.333333333</v>
      </c>
    </row>
    <row r="153" customHeight="1" spans="1:6">
      <c r="A153" s="4">
        <v>8</v>
      </c>
      <c r="B153" s="11" t="s">
        <v>292</v>
      </c>
      <c r="C153" s="12" t="s">
        <v>657</v>
      </c>
      <c r="D153" s="10" t="s">
        <v>156</v>
      </c>
      <c r="E153" s="85">
        <v>355320.666666667</v>
      </c>
    </row>
    <row r="154" customHeight="1" spans="1:6">
      <c r="A154" s="4">
        <v>9</v>
      </c>
      <c r="B154" s="18" t="s">
        <v>294</v>
      </c>
      <c r="C154" s="12" t="s">
        <v>295</v>
      </c>
      <c r="D154" s="15" t="s">
        <v>108</v>
      </c>
      <c r="E154" s="85">
        <v>301910.75</v>
      </c>
    </row>
    <row r="155" customHeight="1" spans="1:6">
      <c r="A155" s="4">
        <v>10</v>
      </c>
      <c r="B155" s="18" t="s">
        <v>296</v>
      </c>
      <c r="C155" s="12" t="s">
        <v>291</v>
      </c>
      <c r="D155" s="15" t="s">
        <v>108</v>
      </c>
      <c r="E155" s="85">
        <v>301910.75</v>
      </c>
    </row>
    <row r="156" customHeight="1" spans="1:6">
      <c r="A156" s="4">
        <v>11</v>
      </c>
      <c r="B156" s="18" t="s">
        <v>297</v>
      </c>
      <c r="C156" s="12" t="s">
        <v>295</v>
      </c>
      <c r="D156" s="15" t="s">
        <v>111</v>
      </c>
      <c r="E156" s="939">
        <v>294900.833333334</v>
      </c>
    </row>
    <row r="157" ht="28.5" customHeight="1" spans="1:6">
      <c r="A157" s="4"/>
      <c r="B157" s="20" t="s">
        <v>120</v>
      </c>
      <c r="C157" s="26" t="s">
        <v>901</v>
      </c>
      <c r="D157" s="15"/>
      <c r="E157" s="221">
        <f>SUM(E146:E156)</f>
        <v>6879343.74999999</v>
      </c>
    </row>
    <row r="158" customHeight="1" spans="1:6">
      <c r="A158" s="4"/>
      <c r="B158" s="22"/>
      <c r="C158" s="26"/>
      <c r="D158" s="15"/>
      <c r="E158" s="156"/>
    </row>
    <row r="159" customHeight="1" spans="1:6">
      <c r="A159" s="4"/>
      <c r="B159" s="20" t="s">
        <v>299</v>
      </c>
      <c r="C159" s="12"/>
      <c r="D159" s="15"/>
      <c r="E159" s="85"/>
    </row>
    <row r="160" customHeight="1" spans="1:6">
      <c r="A160" s="27">
        <v>1</v>
      </c>
      <c r="B160" s="14" t="s">
        <v>300</v>
      </c>
      <c r="C160" s="4" t="s">
        <v>301</v>
      </c>
      <c r="D160" s="10" t="s">
        <v>511</v>
      </c>
      <c r="E160" s="85">
        <v>1647612</v>
      </c>
    </row>
    <row r="161" customHeight="1" spans="1:5">
      <c r="A161" s="27">
        <v>2</v>
      </c>
      <c r="B161" s="14" t="s">
        <v>302</v>
      </c>
      <c r="C161" s="4" t="s">
        <v>488</v>
      </c>
      <c r="D161" s="16" t="s">
        <v>36</v>
      </c>
      <c r="E161" s="85">
        <v>905306.75</v>
      </c>
    </row>
    <row r="162" customHeight="1" spans="1:5">
      <c r="A162" s="27">
        <v>3</v>
      </c>
      <c r="B162" s="11" t="s">
        <v>305</v>
      </c>
      <c r="C162" s="12" t="s">
        <v>306</v>
      </c>
      <c r="D162" s="15" t="s">
        <v>42</v>
      </c>
      <c r="E162" s="85">
        <v>700713.916666666</v>
      </c>
    </row>
    <row r="163" customHeight="1" spans="1:5">
      <c r="A163" s="27">
        <v>4</v>
      </c>
      <c r="B163" s="11" t="s">
        <v>307</v>
      </c>
      <c r="C163" s="4" t="s">
        <v>489</v>
      </c>
      <c r="D163" s="15" t="s">
        <v>42</v>
      </c>
      <c r="E163" s="85">
        <v>700713.916666666</v>
      </c>
    </row>
    <row r="164" customHeight="1" spans="1:5">
      <c r="A164" s="27">
        <v>5</v>
      </c>
      <c r="B164" s="11" t="s">
        <v>309</v>
      </c>
      <c r="C164" s="4" t="s">
        <v>489</v>
      </c>
      <c r="D164" s="15" t="s">
        <v>42</v>
      </c>
      <c r="E164" s="85">
        <v>700713.916666666</v>
      </c>
    </row>
    <row r="165" customHeight="1" spans="1:5">
      <c r="A165" s="27">
        <v>6</v>
      </c>
      <c r="B165" s="11" t="s">
        <v>312</v>
      </c>
      <c r="C165" s="12" t="s">
        <v>232</v>
      </c>
      <c r="D165" s="15" t="s">
        <v>67</v>
      </c>
      <c r="E165" s="85">
        <v>482846.583333334</v>
      </c>
    </row>
    <row r="166" customHeight="1" spans="1:5">
      <c r="A166" s="27">
        <v>7</v>
      </c>
      <c r="B166" s="11" t="s">
        <v>313</v>
      </c>
      <c r="C166" s="4" t="s">
        <v>314</v>
      </c>
      <c r="D166" s="15" t="s">
        <v>67</v>
      </c>
      <c r="E166" s="85">
        <v>482846.583333334</v>
      </c>
    </row>
    <row r="167" customHeight="1" spans="1:5">
      <c r="A167" s="27">
        <v>8</v>
      </c>
      <c r="B167" s="11" t="s">
        <v>315</v>
      </c>
      <c r="C167" s="12" t="s">
        <v>660</v>
      </c>
      <c r="D167" s="15" t="s">
        <v>173</v>
      </c>
      <c r="E167" s="85">
        <v>482662.666666667</v>
      </c>
    </row>
    <row r="168" customHeight="1" spans="1:5">
      <c r="A168" s="27">
        <v>9</v>
      </c>
      <c r="B168" s="11" t="s">
        <v>317</v>
      </c>
      <c r="C168" s="12" t="s">
        <v>318</v>
      </c>
      <c r="D168" s="15" t="s">
        <v>70</v>
      </c>
      <c r="E168" s="85">
        <v>468828.166666667</v>
      </c>
    </row>
    <row r="169" customHeight="1" spans="1:5">
      <c r="A169" s="27">
        <v>10</v>
      </c>
      <c r="B169" s="18" t="s">
        <v>319</v>
      </c>
      <c r="C169" s="4" t="s">
        <v>320</v>
      </c>
      <c r="D169" s="15" t="s">
        <v>131</v>
      </c>
      <c r="E169" s="220">
        <v>454993.583333333</v>
      </c>
    </row>
    <row r="170" customHeight="1" spans="1:5">
      <c r="A170" s="27">
        <v>11</v>
      </c>
      <c r="B170" s="11" t="s">
        <v>321</v>
      </c>
      <c r="C170" s="4" t="s">
        <v>320</v>
      </c>
      <c r="D170" s="15" t="s">
        <v>180</v>
      </c>
      <c r="E170" s="220">
        <v>441159</v>
      </c>
    </row>
    <row r="171" customHeight="1" spans="1:5">
      <c r="A171" s="27">
        <v>12</v>
      </c>
      <c r="B171" s="11" t="s">
        <v>322</v>
      </c>
      <c r="C171" s="4" t="s">
        <v>320</v>
      </c>
      <c r="D171" s="15" t="s">
        <v>180</v>
      </c>
      <c r="E171" s="220">
        <v>441159</v>
      </c>
    </row>
    <row r="172" customHeight="1" spans="1:5">
      <c r="A172" s="27">
        <v>12</v>
      </c>
      <c r="B172" s="11" t="s">
        <v>323</v>
      </c>
      <c r="C172" s="4" t="s">
        <v>320</v>
      </c>
      <c r="D172" s="15" t="s">
        <v>180</v>
      </c>
      <c r="E172" s="220">
        <v>441159</v>
      </c>
    </row>
    <row r="173" customHeight="1" spans="1:5">
      <c r="A173" s="27">
        <v>13</v>
      </c>
      <c r="B173" s="318" t="s">
        <v>324</v>
      </c>
      <c r="C173" s="4" t="s">
        <v>320</v>
      </c>
      <c r="D173" s="15" t="s">
        <v>131</v>
      </c>
      <c r="E173" s="220">
        <v>454993.583333333</v>
      </c>
    </row>
    <row r="174" customHeight="1" spans="1:5">
      <c r="A174" s="27">
        <v>14</v>
      </c>
      <c r="B174" s="11" t="s">
        <v>325</v>
      </c>
      <c r="C174" s="12" t="s">
        <v>326</v>
      </c>
      <c r="D174" s="15" t="s">
        <v>78</v>
      </c>
      <c r="E174" s="220">
        <v>390135.833333334</v>
      </c>
    </row>
    <row r="175" customHeight="1" spans="1:5">
      <c r="A175" s="27">
        <v>15</v>
      </c>
      <c r="B175" s="11" t="s">
        <v>327</v>
      </c>
      <c r="C175" s="12" t="s">
        <v>328</v>
      </c>
      <c r="D175" s="10" t="s">
        <v>86</v>
      </c>
      <c r="E175" s="85">
        <v>347016.166666666</v>
      </c>
    </row>
    <row r="176" customHeight="1" spans="1:5">
      <c r="A176" s="27">
        <v>16</v>
      </c>
      <c r="B176" s="11" t="s">
        <v>329</v>
      </c>
      <c r="C176" s="12" t="s">
        <v>661</v>
      </c>
      <c r="D176" s="15" t="s">
        <v>153</v>
      </c>
      <c r="E176" s="220">
        <v>399131.166666667</v>
      </c>
    </row>
    <row r="177" customHeight="1" spans="1:5">
      <c r="A177" s="27">
        <v>17</v>
      </c>
      <c r="B177" s="11" t="s">
        <v>331</v>
      </c>
      <c r="C177" s="12" t="s">
        <v>662</v>
      </c>
      <c r="D177" s="15" t="s">
        <v>156</v>
      </c>
      <c r="E177" s="220">
        <v>355320.666666667</v>
      </c>
    </row>
    <row r="178" customHeight="1" spans="1:5">
      <c r="A178" s="27">
        <v>18</v>
      </c>
      <c r="B178" s="11" t="s">
        <v>333</v>
      </c>
      <c r="C178" s="12" t="s">
        <v>663</v>
      </c>
      <c r="D178" s="15" t="s">
        <v>153</v>
      </c>
      <c r="E178" s="220">
        <v>399131.166666667</v>
      </c>
    </row>
    <row r="179" customHeight="1" spans="1:5">
      <c r="A179" s="27">
        <v>19</v>
      </c>
      <c r="B179" s="11" t="s">
        <v>334</v>
      </c>
      <c r="C179" s="12" t="s">
        <v>664</v>
      </c>
      <c r="D179" s="15" t="s">
        <v>156</v>
      </c>
      <c r="E179" s="220">
        <v>355320.666666667</v>
      </c>
    </row>
    <row r="180" customHeight="1" spans="1:5">
      <c r="A180" s="27">
        <v>20</v>
      </c>
      <c r="B180" s="18" t="s">
        <v>336</v>
      </c>
      <c r="C180" s="12" t="s">
        <v>337</v>
      </c>
      <c r="D180" s="15" t="s">
        <v>99</v>
      </c>
      <c r="E180" s="220">
        <v>338711.666666667</v>
      </c>
    </row>
    <row r="181" customHeight="1" spans="1:5">
      <c r="A181" s="27">
        <v>21</v>
      </c>
      <c r="B181" s="18" t="s">
        <v>338</v>
      </c>
      <c r="C181" s="12" t="s">
        <v>337</v>
      </c>
      <c r="D181" s="15" t="s">
        <v>99</v>
      </c>
      <c r="E181" s="220">
        <v>338711.666666667</v>
      </c>
    </row>
    <row r="182" s="1" customFormat="1" ht="18.75" customHeight="1" spans="1:5">
      <c r="A182" s="27">
        <v>22</v>
      </c>
      <c r="B182" s="18" t="s">
        <v>339</v>
      </c>
      <c r="C182" s="4" t="s">
        <v>340</v>
      </c>
      <c r="D182" s="10" t="s">
        <v>225</v>
      </c>
      <c r="E182" s="85">
        <v>330407.083333333</v>
      </c>
    </row>
    <row r="183" customHeight="1" spans="1:5">
      <c r="A183" s="27">
        <v>23</v>
      </c>
      <c r="B183" s="18" t="s">
        <v>343</v>
      </c>
      <c r="C183" s="12" t="s">
        <v>344</v>
      </c>
      <c r="D183" s="15" t="s">
        <v>108</v>
      </c>
      <c r="E183" s="85">
        <v>301910.75</v>
      </c>
    </row>
    <row r="184" customHeight="1" spans="1:5">
      <c r="A184" s="27">
        <v>24</v>
      </c>
      <c r="B184" s="18" t="s">
        <v>345</v>
      </c>
      <c r="C184" s="12" t="s">
        <v>346</v>
      </c>
      <c r="D184" s="15" t="s">
        <v>108</v>
      </c>
      <c r="E184" s="85">
        <v>301910.75</v>
      </c>
    </row>
    <row r="185" customHeight="1" spans="1:5">
      <c r="A185" s="27">
        <v>25</v>
      </c>
      <c r="B185" s="18" t="s">
        <v>347</v>
      </c>
      <c r="C185" s="12" t="s">
        <v>348</v>
      </c>
      <c r="D185" s="15" t="s">
        <v>108</v>
      </c>
      <c r="E185" s="85">
        <v>301910.75</v>
      </c>
    </row>
    <row r="186" customHeight="1" spans="1:5">
      <c r="A186" s="27">
        <v>26</v>
      </c>
      <c r="B186" s="18" t="s">
        <v>349</v>
      </c>
      <c r="C186" s="12" t="s">
        <v>665</v>
      </c>
      <c r="D186" s="15" t="s">
        <v>105</v>
      </c>
      <c r="E186" s="85">
        <v>308920.666666667</v>
      </c>
    </row>
    <row r="187" customHeight="1" spans="1:5">
      <c r="A187" s="27">
        <v>27</v>
      </c>
      <c r="B187" s="18" t="s">
        <v>350</v>
      </c>
      <c r="C187" s="12" t="s">
        <v>346</v>
      </c>
      <c r="D187" s="15" t="s">
        <v>108</v>
      </c>
      <c r="E187" s="85">
        <v>301910.75</v>
      </c>
    </row>
    <row r="188" customHeight="1" spans="1:5">
      <c r="A188" s="27">
        <v>28</v>
      </c>
      <c r="B188" s="18" t="s">
        <v>351</v>
      </c>
      <c r="C188" s="12" t="s">
        <v>352</v>
      </c>
      <c r="D188" s="15" t="s">
        <v>111</v>
      </c>
      <c r="E188" s="680">
        <v>294900.833333334</v>
      </c>
    </row>
    <row r="189" customHeight="1" spans="1:5">
      <c r="A189" s="27">
        <v>29</v>
      </c>
      <c r="B189" s="18" t="s">
        <v>353</v>
      </c>
      <c r="C189" s="12" t="s">
        <v>352</v>
      </c>
      <c r="D189" s="15" t="s">
        <v>111</v>
      </c>
      <c r="E189" s="680">
        <v>294900.833333334</v>
      </c>
    </row>
    <row r="190" s="1" customFormat="1" customHeight="1" spans="1:5">
      <c r="A190" s="27">
        <v>30</v>
      </c>
      <c r="B190" s="18" t="s">
        <v>482</v>
      </c>
      <c r="C190" s="12" t="s">
        <v>605</v>
      </c>
      <c r="D190" s="15" t="s">
        <v>275</v>
      </c>
      <c r="E190" s="85">
        <v>287890.916666667</v>
      </c>
    </row>
    <row r="191" s="1" customFormat="1" customHeight="1" spans="1:5">
      <c r="A191" s="27">
        <v>31</v>
      </c>
      <c r="B191" s="18" t="s">
        <v>354</v>
      </c>
      <c r="C191" s="12" t="s">
        <v>342</v>
      </c>
      <c r="D191" s="15" t="s">
        <v>275</v>
      </c>
      <c r="E191" s="85">
        <v>287890.916666667</v>
      </c>
    </row>
    <row r="192" s="1" customFormat="1" customHeight="1" spans="1:5">
      <c r="A192" s="27">
        <v>32</v>
      </c>
      <c r="B192" s="18" t="s">
        <v>341</v>
      </c>
      <c r="C192" s="12" t="s">
        <v>342</v>
      </c>
      <c r="D192" s="15" t="s">
        <v>275</v>
      </c>
      <c r="E192" s="85">
        <v>287890.916666667</v>
      </c>
    </row>
    <row r="193" customHeight="1" spans="1:5">
      <c r="A193" s="27">
        <v>33</v>
      </c>
      <c r="B193" s="11" t="s">
        <v>359</v>
      </c>
      <c r="C193" s="12" t="s">
        <v>512</v>
      </c>
      <c r="D193" s="15" t="s">
        <v>372</v>
      </c>
      <c r="E193" s="226">
        <v>237717.166666666</v>
      </c>
    </row>
    <row r="194" customHeight="1" spans="1:5">
      <c r="A194" s="27">
        <v>34</v>
      </c>
      <c r="B194" s="11" t="s">
        <v>362</v>
      </c>
      <c r="C194" s="12" t="s">
        <v>512</v>
      </c>
      <c r="D194" s="15" t="s">
        <v>372</v>
      </c>
      <c r="E194" s="226">
        <v>237717.166666666</v>
      </c>
    </row>
    <row r="195" customHeight="1" spans="1:5">
      <c r="A195" s="27">
        <v>35</v>
      </c>
      <c r="B195" s="11" t="s">
        <v>666</v>
      </c>
      <c r="C195" s="12" t="s">
        <v>512</v>
      </c>
      <c r="D195" s="15" t="s">
        <v>372</v>
      </c>
      <c r="E195" s="226">
        <v>237717.166666666</v>
      </c>
    </row>
    <row r="196" customHeight="1" spans="1:5">
      <c r="A196" s="27">
        <v>36</v>
      </c>
      <c r="B196" s="11" t="s">
        <v>363</v>
      </c>
      <c r="C196" s="12" t="s">
        <v>512</v>
      </c>
      <c r="D196" s="15" t="s">
        <v>372</v>
      </c>
      <c r="E196" s="226">
        <v>237717.166666666</v>
      </c>
    </row>
    <row r="197" customHeight="1" spans="1:5">
      <c r="A197" s="27">
        <v>37</v>
      </c>
      <c r="B197" s="11" t="s">
        <v>364</v>
      </c>
      <c r="C197" s="12" t="s">
        <v>512</v>
      </c>
      <c r="D197" s="15" t="s">
        <v>372</v>
      </c>
      <c r="E197" s="226">
        <v>237717.166666666</v>
      </c>
    </row>
    <row r="198" customHeight="1" spans="1:5">
      <c r="A198" s="27">
        <v>38</v>
      </c>
      <c r="B198" s="11" t="s">
        <v>365</v>
      </c>
      <c r="C198" s="12" t="s">
        <v>512</v>
      </c>
      <c r="D198" s="15" t="s">
        <v>384</v>
      </c>
      <c r="E198" s="226">
        <v>231733.833333334</v>
      </c>
    </row>
    <row r="199" customHeight="1" spans="1:5">
      <c r="A199" s="27">
        <v>39</v>
      </c>
      <c r="B199" s="11" t="s">
        <v>367</v>
      </c>
      <c r="C199" s="12" t="s">
        <v>512</v>
      </c>
      <c r="D199" s="15" t="s">
        <v>384</v>
      </c>
      <c r="E199" s="226">
        <v>231733.833333334</v>
      </c>
    </row>
    <row r="200" customHeight="1" spans="1:5">
      <c r="A200" s="27">
        <v>40</v>
      </c>
      <c r="B200" s="14" t="s">
        <v>368</v>
      </c>
      <c r="C200" s="12" t="s">
        <v>512</v>
      </c>
      <c r="D200" s="15" t="s">
        <v>384</v>
      </c>
      <c r="E200" s="226">
        <v>231733.833333334</v>
      </c>
    </row>
    <row r="201" customHeight="1" spans="1:5">
      <c r="A201" s="27">
        <v>41</v>
      </c>
      <c r="B201" s="11" t="s">
        <v>369</v>
      </c>
      <c r="C201" s="12" t="s">
        <v>512</v>
      </c>
      <c r="D201" s="15" t="s">
        <v>384</v>
      </c>
      <c r="E201" s="226">
        <v>231733.833333334</v>
      </c>
    </row>
    <row r="202" customHeight="1" spans="1:5">
      <c r="A202" s="27">
        <v>42</v>
      </c>
      <c r="B202" s="18" t="s">
        <v>370</v>
      </c>
      <c r="C202" s="12" t="s">
        <v>512</v>
      </c>
      <c r="D202" s="15" t="s">
        <v>384</v>
      </c>
      <c r="E202" s="940">
        <v>231733.833333334</v>
      </c>
    </row>
    <row r="203" customHeight="1" spans="1:5">
      <c r="A203" s="27">
        <v>43</v>
      </c>
      <c r="B203" s="18" t="s">
        <v>357</v>
      </c>
      <c r="C203" s="12" t="s">
        <v>512</v>
      </c>
      <c r="D203" s="15" t="s">
        <v>384</v>
      </c>
      <c r="E203" s="226">
        <v>231733.833333334</v>
      </c>
    </row>
    <row r="204" customHeight="1" spans="1:5">
      <c r="A204" s="27">
        <v>44</v>
      </c>
      <c r="B204" s="11" t="s">
        <v>371</v>
      </c>
      <c r="C204" s="12" t="s">
        <v>360</v>
      </c>
      <c r="D204" s="15" t="s">
        <v>606</v>
      </c>
      <c r="E204" s="85">
        <v>219767.333333333</v>
      </c>
    </row>
    <row r="205" customHeight="1" spans="1:5">
      <c r="A205" s="27">
        <v>45</v>
      </c>
      <c r="B205" s="11" t="s">
        <v>373</v>
      </c>
      <c r="C205" s="12" t="s">
        <v>360</v>
      </c>
      <c r="D205" s="15" t="s">
        <v>606</v>
      </c>
      <c r="E205" s="85">
        <v>219767.333333333</v>
      </c>
    </row>
    <row r="206" customHeight="1" spans="1:5">
      <c r="A206" s="27">
        <v>46</v>
      </c>
      <c r="B206" s="18" t="s">
        <v>374</v>
      </c>
      <c r="C206" s="12" t="s">
        <v>360</v>
      </c>
      <c r="D206" s="15" t="s">
        <v>377</v>
      </c>
      <c r="E206" s="85">
        <v>225750.583333333</v>
      </c>
    </row>
    <row r="207" customHeight="1" spans="1:5">
      <c r="A207" s="27">
        <v>47</v>
      </c>
      <c r="B207" s="11" t="s">
        <v>376</v>
      </c>
      <c r="C207" s="12" t="s">
        <v>387</v>
      </c>
      <c r="D207" s="15" t="s">
        <v>607</v>
      </c>
      <c r="E207" s="85">
        <v>213784</v>
      </c>
    </row>
    <row r="208" customHeight="1" spans="1:5">
      <c r="A208" s="27">
        <v>48</v>
      </c>
      <c r="B208" s="11" t="s">
        <v>378</v>
      </c>
      <c r="C208" s="12" t="s">
        <v>514</v>
      </c>
      <c r="D208" s="15" t="s">
        <v>608</v>
      </c>
      <c r="E208" s="85">
        <v>146356.75</v>
      </c>
    </row>
    <row r="209" customHeight="1" spans="1:5">
      <c r="A209" s="27">
        <v>49</v>
      </c>
      <c r="B209" s="11" t="s">
        <v>379</v>
      </c>
      <c r="C209" s="12" t="s">
        <v>514</v>
      </c>
      <c r="D209" s="15" t="s">
        <v>608</v>
      </c>
      <c r="E209" s="85">
        <v>146356.75</v>
      </c>
    </row>
    <row r="210" customHeight="1" spans="1:5">
      <c r="A210" s="27">
        <v>50</v>
      </c>
      <c r="B210" s="11" t="s">
        <v>380</v>
      </c>
      <c r="C210" s="12" t="s">
        <v>514</v>
      </c>
      <c r="D210" s="15" t="s">
        <v>608</v>
      </c>
      <c r="E210" s="85">
        <v>146356.75</v>
      </c>
    </row>
    <row r="211" customHeight="1" spans="1:5">
      <c r="A211" s="27">
        <v>51</v>
      </c>
      <c r="B211" s="11" t="s">
        <v>381</v>
      </c>
      <c r="C211" s="12" t="s">
        <v>514</v>
      </c>
      <c r="D211" s="15" t="s">
        <v>608</v>
      </c>
      <c r="E211" s="85">
        <v>146356.75</v>
      </c>
    </row>
    <row r="212" customHeight="1" spans="1:5">
      <c r="A212" s="27">
        <v>52</v>
      </c>
      <c r="B212" s="11" t="s">
        <v>382</v>
      </c>
      <c r="C212" s="12" t="s">
        <v>514</v>
      </c>
      <c r="D212" s="15" t="s">
        <v>608</v>
      </c>
      <c r="E212" s="85">
        <v>146356.75</v>
      </c>
    </row>
    <row r="213" customHeight="1" spans="1:5">
      <c r="A213" s="27">
        <v>53</v>
      </c>
      <c r="B213" s="18" t="s">
        <v>383</v>
      </c>
      <c r="C213" s="12" t="s">
        <v>514</v>
      </c>
      <c r="D213" s="15" t="s">
        <v>608</v>
      </c>
      <c r="E213" s="85">
        <v>146356.75</v>
      </c>
    </row>
    <row r="214" customHeight="1" spans="1:5">
      <c r="A214" s="27">
        <v>54</v>
      </c>
      <c r="B214" s="18" t="s">
        <v>385</v>
      </c>
      <c r="C214" s="12" t="s">
        <v>514</v>
      </c>
      <c r="D214" s="15" t="s">
        <v>608</v>
      </c>
      <c r="E214" s="85">
        <v>146356.75</v>
      </c>
    </row>
    <row r="215" customHeight="1" spans="1:5">
      <c r="A215" s="27">
        <v>56</v>
      </c>
      <c r="B215" s="11" t="s">
        <v>386</v>
      </c>
      <c r="C215" s="12" t="s">
        <v>387</v>
      </c>
      <c r="D215" s="15" t="s">
        <v>608</v>
      </c>
      <c r="E215" s="85">
        <v>146356.75</v>
      </c>
    </row>
    <row r="216" customHeight="1" spans="1:5">
      <c r="A216" s="27">
        <v>57</v>
      </c>
      <c r="B216" s="18" t="s">
        <v>358</v>
      </c>
      <c r="C216" s="12" t="s">
        <v>390</v>
      </c>
      <c r="D216" s="15" t="s">
        <v>669</v>
      </c>
      <c r="E216" s="85">
        <v>143495.666666667</v>
      </c>
    </row>
    <row r="217" customHeight="1" spans="1:5">
      <c r="A217" s="27">
        <v>58</v>
      </c>
      <c r="B217" s="18" t="s">
        <v>389</v>
      </c>
      <c r="C217" s="12" t="s">
        <v>390</v>
      </c>
      <c r="D217" s="15" t="s">
        <v>393</v>
      </c>
      <c r="E217" s="85">
        <v>137773.5</v>
      </c>
    </row>
    <row r="218" customHeight="1" spans="1:5">
      <c r="A218" s="27">
        <v>59</v>
      </c>
      <c r="B218" s="18" t="s">
        <v>392</v>
      </c>
      <c r="C218" s="12" t="s">
        <v>390</v>
      </c>
      <c r="D218" s="15" t="s">
        <v>395</v>
      </c>
      <c r="E218" s="85">
        <v>134912.666666667</v>
      </c>
    </row>
    <row r="219" customHeight="1" spans="1:5">
      <c r="A219" s="27">
        <v>60</v>
      </c>
      <c r="B219" s="18" t="s">
        <v>396</v>
      </c>
      <c r="C219" s="12" t="s">
        <v>397</v>
      </c>
      <c r="D219" s="15" t="s">
        <v>609</v>
      </c>
      <c r="E219" s="85">
        <v>129049.416666667</v>
      </c>
    </row>
    <row r="220" customHeight="1" spans="1:5">
      <c r="A220" s="27">
        <v>61</v>
      </c>
      <c r="B220" s="18" t="s">
        <v>399</v>
      </c>
      <c r="C220" s="12" t="s">
        <v>397</v>
      </c>
      <c r="D220" s="15" t="s">
        <v>609</v>
      </c>
      <c r="E220" s="85">
        <v>129049.416666667</v>
      </c>
    </row>
    <row r="221" customHeight="1" spans="1:5">
      <c r="A221" s="27">
        <v>62</v>
      </c>
      <c r="B221" s="18" t="s">
        <v>400</v>
      </c>
      <c r="C221" s="12" t="s">
        <v>397</v>
      </c>
      <c r="D221" s="15" t="s">
        <v>609</v>
      </c>
      <c r="E221" s="85">
        <v>129049.416666667</v>
      </c>
    </row>
    <row r="222" customHeight="1" spans="1:5">
      <c r="A222" s="27">
        <v>63</v>
      </c>
      <c r="B222" s="18" t="s">
        <v>401</v>
      </c>
      <c r="C222" s="12" t="s">
        <v>402</v>
      </c>
      <c r="D222" s="15" t="s">
        <v>391</v>
      </c>
      <c r="E222" s="85">
        <v>140634.666666667</v>
      </c>
    </row>
    <row r="223" customHeight="1" spans="1:5">
      <c r="A223" s="27">
        <v>64</v>
      </c>
      <c r="B223" s="18" t="s">
        <v>404</v>
      </c>
      <c r="C223" s="12" t="s">
        <v>402</v>
      </c>
      <c r="D223" s="15" t="s">
        <v>391</v>
      </c>
      <c r="E223" s="85">
        <v>140634.666666667</v>
      </c>
    </row>
    <row r="224" ht="30.75" customHeight="1" spans="1:5">
      <c r="A224" s="27"/>
      <c r="B224" s="8" t="s">
        <v>120</v>
      </c>
      <c r="C224" s="28" t="s">
        <v>902</v>
      </c>
      <c r="D224" s="29"/>
      <c r="E224" s="93">
        <f>SUM(E160:E223)</f>
        <v>20743144.3333334</v>
      </c>
    </row>
    <row r="225" ht="30" customHeight="1" spans="1:5">
      <c r="A225" s="4"/>
      <c r="B225" s="30" t="s">
        <v>406</v>
      </c>
      <c r="C225" s="31">
        <f>C44+C53+C67+C72+C85+C96+C110+C119+C129+C143+C157+C224</f>
        <v>175</v>
      </c>
      <c r="D225" s="32"/>
      <c r="E225" s="227">
        <f>E224+E157+E143+E137+E129+E119+E110+E96+E85+E72+E67+E53+E44</f>
        <v>88497829.3333333</v>
      </c>
    </row>
    <row r="226" ht="38.25" customHeight="1" spans="1:5">
      <c r="B226" s="33"/>
      <c r="D226" s="34"/>
      <c r="E226" s="34"/>
    </row>
    <row r="227" ht="36.75" customHeight="1" spans="1:5">
      <c r="B227" s="33"/>
      <c r="C227" s="34"/>
      <c r="D227" s="34"/>
      <c r="E227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35" activePane="bottomRight" state="frozen"/>
      <selection/>
      <selection pane="topRight"/>
      <selection pane="bottomLeft"/>
      <selection pane="bottomRight" activeCell="K108" sqref="K10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683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612</v>
      </c>
      <c r="F4" s="906" t="s">
        <v>589</v>
      </c>
      <c r="G4" s="218" t="s">
        <v>613</v>
      </c>
      <c r="H4" s="218" t="s">
        <v>614</v>
      </c>
      <c r="I4" s="218" t="s">
        <v>615</v>
      </c>
      <c r="J4" s="907" t="s">
        <v>616</v>
      </c>
      <c r="K4" s="907" t="s">
        <v>617</v>
      </c>
      <c r="L4" s="907" t="s">
        <v>618</v>
      </c>
      <c r="M4" s="907" t="s">
        <v>619</v>
      </c>
      <c r="N4" s="907" t="s">
        <v>620</v>
      </c>
      <c r="O4" s="907" t="s">
        <v>598</v>
      </c>
      <c r="P4" s="907" t="s">
        <v>621</v>
      </c>
      <c r="Q4" s="907" t="s">
        <v>622</v>
      </c>
    </row>
    <row r="5" ht="17.25" customHeight="1" spans="1:17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</row>
    <row r="6" ht="17.25" customHeight="1" spans="1:17">
      <c r="A6" s="4"/>
      <c r="B6" s="4"/>
      <c r="C6" s="8"/>
      <c r="D6" s="8"/>
      <c r="E6" s="10" t="s">
        <v>623</v>
      </c>
      <c r="F6" s="909" t="s">
        <v>624</v>
      </c>
      <c r="G6" s="10" t="s">
        <v>625</v>
      </c>
      <c r="H6" s="10" t="s">
        <v>626</v>
      </c>
      <c r="I6" s="910" t="s">
        <v>627</v>
      </c>
      <c r="J6" s="910" t="s">
        <v>628</v>
      </c>
      <c r="K6" s="910" t="s">
        <v>629</v>
      </c>
      <c r="L6" s="910" t="s">
        <v>630</v>
      </c>
      <c r="M6" s="910" t="s">
        <v>631</v>
      </c>
      <c r="N6" s="910" t="s">
        <v>632</v>
      </c>
      <c r="O6" s="910" t="s">
        <v>633</v>
      </c>
      <c r="P6" s="910" t="s">
        <v>634</v>
      </c>
      <c r="Q6" s="910" t="s">
        <v>635</v>
      </c>
    </row>
    <row r="7" customHeight="1" spans="1:17">
      <c r="A7" s="9" t="s">
        <v>22</v>
      </c>
      <c r="B7" s="8" t="s">
        <v>23</v>
      </c>
      <c r="C7" s="8"/>
      <c r="D7" s="8"/>
      <c r="E7" s="10"/>
      <c r="F7" s="909"/>
      <c r="G7" s="10"/>
      <c r="H7" s="10" t="s">
        <v>636</v>
      </c>
      <c r="I7" s="10" t="s">
        <v>637</v>
      </c>
      <c r="J7" s="910" t="s">
        <v>638</v>
      </c>
      <c r="K7" s="910" t="s">
        <v>639</v>
      </c>
      <c r="L7" s="910" t="s">
        <v>640</v>
      </c>
      <c r="M7" s="910"/>
      <c r="N7" s="910" t="s">
        <v>641</v>
      </c>
      <c r="O7" s="910" t="s">
        <v>642</v>
      </c>
      <c r="P7" s="910" t="s">
        <v>642</v>
      </c>
      <c r="Q7" s="910" t="s">
        <v>642</v>
      </c>
    </row>
    <row r="8" customHeight="1" spans="1:1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2"/>
      <c r="K8" s="912"/>
      <c r="L8" s="912">
        <f t="shared" ref="L8:L39" si="0">K8-J8</f>
        <v>0</v>
      </c>
      <c r="M8" s="912"/>
      <c r="N8" s="912"/>
      <c r="O8" s="912">
        <f>N8-M8</f>
        <v>0</v>
      </c>
      <c r="P8" s="912">
        <f>K8*12</f>
        <v>0</v>
      </c>
      <c r="Q8" s="912">
        <f>N8*12</f>
        <v>0</v>
      </c>
    </row>
    <row r="9" customHeight="1" spans="1:1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2">
        <v>60989.8533333333</v>
      </c>
      <c r="K9" s="912">
        <f t="shared" ref="K9:K40" si="3">H9*0.08</f>
        <v>72424.54</v>
      </c>
      <c r="L9" s="912">
        <f t="shared" si="0"/>
        <v>11434.6866666667</v>
      </c>
      <c r="M9" s="912"/>
      <c r="N9" s="912"/>
      <c r="O9" s="912">
        <f t="shared" ref="O9:O40" si="4">N9-M9</f>
        <v>0</v>
      </c>
      <c r="P9" s="912">
        <f t="shared" ref="P9:P38" si="5">K9*12</f>
        <v>869094.48</v>
      </c>
      <c r="Q9" s="912">
        <f t="shared" ref="Q9:Q38" si="6">N9*12</f>
        <v>0</v>
      </c>
    </row>
    <row r="10" customHeight="1" spans="1:1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2"/>
      <c r="K10" s="912"/>
      <c r="L10" s="912">
        <f t="shared" si="0"/>
        <v>0</v>
      </c>
      <c r="M10" s="912"/>
      <c r="N10" s="912"/>
      <c r="O10" s="912">
        <f t="shared" si="4"/>
        <v>0</v>
      </c>
      <c r="P10" s="912">
        <f t="shared" si="5"/>
        <v>0</v>
      </c>
      <c r="Q10" s="912">
        <f t="shared" si="6"/>
        <v>0</v>
      </c>
    </row>
    <row r="11" customHeight="1" spans="1:1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2">
        <v>60989.8533333333</v>
      </c>
      <c r="K11" s="912">
        <f t="shared" si="3"/>
        <v>72424.54</v>
      </c>
      <c r="L11" s="912">
        <f t="shared" si="0"/>
        <v>11434.6866666667</v>
      </c>
      <c r="M11" s="912">
        <v>10293.3979166667</v>
      </c>
      <c r="N11" s="912">
        <f>0.025*F11</f>
        <v>13866.7375</v>
      </c>
      <c r="O11" s="912">
        <f t="shared" si="4"/>
        <v>3573.3395833333</v>
      </c>
      <c r="P11" s="912">
        <f t="shared" si="5"/>
        <v>869094.48</v>
      </c>
      <c r="Q11" s="912">
        <f t="shared" si="6"/>
        <v>166400.85</v>
      </c>
    </row>
    <row r="12" customHeight="1" spans="1:17">
      <c r="A12" s="10">
        <v>5</v>
      </c>
      <c r="B12" s="11" t="s">
        <v>34</v>
      </c>
      <c r="C12" s="12" t="s">
        <v>35</v>
      </c>
      <c r="D12" s="15" t="s">
        <v>210</v>
      </c>
      <c r="E12" s="85">
        <v>716034</v>
      </c>
      <c r="F12" s="911">
        <f>'[19] FGN 2024 MGT Monthly'!$I$44</f>
        <v>539028</v>
      </c>
      <c r="G12" s="85">
        <f>'[19]Peculiar Allowance'!$I$44</f>
        <v>339980.916666667</v>
      </c>
      <c r="H12" s="220">
        <f t="shared" si="1"/>
        <v>879008.916666667</v>
      </c>
      <c r="I12" s="220">
        <f t="shared" si="2"/>
        <v>162974.916666667</v>
      </c>
      <c r="J12" s="912">
        <v>59136.2866666667</v>
      </c>
      <c r="K12" s="912">
        <f t="shared" si="3"/>
        <v>70320.7133333333</v>
      </c>
      <c r="L12" s="912">
        <f t="shared" si="0"/>
        <v>11184.4266666666</v>
      </c>
      <c r="M12" s="912">
        <v>10293.3979166667</v>
      </c>
      <c r="N12" s="912">
        <f>0.025*F12</f>
        <v>13475.7</v>
      </c>
      <c r="O12" s="912">
        <f t="shared" si="4"/>
        <v>3182.3020833333</v>
      </c>
      <c r="P12" s="912">
        <f t="shared" si="5"/>
        <v>843848.56</v>
      </c>
      <c r="Q12" s="912">
        <f t="shared" si="6"/>
        <v>161708.4</v>
      </c>
    </row>
    <row r="13" customHeight="1" spans="1:17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2">
        <v>46569.4466666667</v>
      </c>
      <c r="K13" s="912">
        <f t="shared" si="3"/>
        <v>57807.64</v>
      </c>
      <c r="L13" s="912">
        <f t="shared" si="0"/>
        <v>11238.1933333333</v>
      </c>
      <c r="M13" s="912">
        <v>7859.63125</v>
      </c>
      <c r="N13" s="912">
        <f>0.025*F13</f>
        <v>11149.8958333333</v>
      </c>
      <c r="O13" s="912">
        <f t="shared" si="4"/>
        <v>3290.2645833333</v>
      </c>
      <c r="P13" s="912">
        <f t="shared" si="5"/>
        <v>693691.68</v>
      </c>
      <c r="Q13" s="912">
        <f t="shared" si="6"/>
        <v>133798.75</v>
      </c>
    </row>
    <row r="14" customHeight="1" spans="1:17">
      <c r="A14" s="10">
        <v>7</v>
      </c>
      <c r="B14" s="11" t="s">
        <v>40</v>
      </c>
      <c r="C14" s="4" t="s">
        <v>643</v>
      </c>
      <c r="D14" s="15" t="s">
        <v>192</v>
      </c>
      <c r="E14" s="85">
        <v>484373.75</v>
      </c>
      <c r="F14" s="911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2">
        <v>38749.9</v>
      </c>
      <c r="K14" s="912">
        <f t="shared" si="3"/>
        <v>47172.56</v>
      </c>
      <c r="L14" s="912">
        <f t="shared" si="0"/>
        <v>8422.66</v>
      </c>
      <c r="M14" s="912"/>
      <c r="N14" s="912"/>
      <c r="O14" s="912">
        <f t="shared" si="4"/>
        <v>0</v>
      </c>
      <c r="P14" s="912">
        <f t="shared" si="5"/>
        <v>566070.72</v>
      </c>
      <c r="Q14" s="912">
        <f t="shared" si="6"/>
        <v>0</v>
      </c>
    </row>
    <row r="15" customHeight="1" spans="1:17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2">
        <v>46569.45</v>
      </c>
      <c r="K15" s="912">
        <f t="shared" si="3"/>
        <v>57807.64</v>
      </c>
      <c r="L15" s="912">
        <f t="shared" si="0"/>
        <v>11238.19</v>
      </c>
      <c r="M15" s="912"/>
      <c r="N15" s="912"/>
      <c r="O15" s="912">
        <f t="shared" si="4"/>
        <v>0</v>
      </c>
      <c r="P15" s="912">
        <f t="shared" si="5"/>
        <v>693691.68</v>
      </c>
      <c r="Q15" s="912">
        <f t="shared" si="6"/>
        <v>0</v>
      </c>
    </row>
    <row r="16" customHeight="1" spans="1:17">
      <c r="A16" s="10">
        <v>9</v>
      </c>
      <c r="B16" s="11" t="s">
        <v>45</v>
      </c>
      <c r="C16" s="4" t="s">
        <v>46</v>
      </c>
      <c r="D16" s="10" t="s">
        <v>214</v>
      </c>
      <c r="E16" s="85">
        <v>456622.25</v>
      </c>
      <c r="F16" s="911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2">
        <v>35419.72</v>
      </c>
      <c r="K16" s="912">
        <f t="shared" si="3"/>
        <v>44653.22</v>
      </c>
      <c r="L16" s="912">
        <f t="shared" si="0"/>
        <v>9233.5</v>
      </c>
      <c r="M16" s="912"/>
      <c r="N16" s="912"/>
      <c r="O16" s="912">
        <f t="shared" si="4"/>
        <v>0</v>
      </c>
      <c r="P16" s="912">
        <f t="shared" si="5"/>
        <v>535838.64</v>
      </c>
      <c r="Q16" s="912">
        <f t="shared" si="6"/>
        <v>0</v>
      </c>
    </row>
    <row r="17" customHeight="1" spans="1:17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2">
        <v>46569.45</v>
      </c>
      <c r="K17" s="912">
        <f t="shared" si="3"/>
        <v>56057.1133333333</v>
      </c>
      <c r="L17" s="912">
        <f t="shared" si="0"/>
        <v>9487.66333333329</v>
      </c>
      <c r="M17" s="912"/>
      <c r="N17" s="912"/>
      <c r="O17" s="912">
        <f t="shared" si="4"/>
        <v>0</v>
      </c>
      <c r="P17" s="912">
        <f t="shared" si="5"/>
        <v>672685.359999999</v>
      </c>
      <c r="Q17" s="912">
        <f t="shared" si="6"/>
        <v>0</v>
      </c>
    </row>
    <row r="18" customHeight="1" spans="1:17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2">
        <v>34313.2733333333</v>
      </c>
      <c r="K18" s="912">
        <f t="shared" si="3"/>
        <v>43308.1066666666</v>
      </c>
      <c r="L18" s="912">
        <f t="shared" si="0"/>
        <v>8994.83333333334</v>
      </c>
      <c r="M18" s="912"/>
      <c r="N18" s="912"/>
      <c r="O18" s="912">
        <f t="shared" si="4"/>
        <v>0</v>
      </c>
      <c r="P18" s="912">
        <f t="shared" si="5"/>
        <v>519697.28</v>
      </c>
      <c r="Q18" s="912">
        <f t="shared" si="6"/>
        <v>0</v>
      </c>
    </row>
    <row r="19" customHeight="1" spans="1:17">
      <c r="A19" s="10">
        <v>12</v>
      </c>
      <c r="B19" s="18" t="s">
        <v>54</v>
      </c>
      <c r="C19" s="4" t="s">
        <v>55</v>
      </c>
      <c r="D19" s="15" t="s">
        <v>644</v>
      </c>
      <c r="E19" s="85">
        <v>428915.916666667</v>
      </c>
      <c r="F19" s="911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2">
        <v>33282.1533333333</v>
      </c>
      <c r="K19" s="912">
        <f t="shared" si="3"/>
        <v>42138.0066666667</v>
      </c>
      <c r="L19" s="912">
        <f t="shared" si="0"/>
        <v>8855.85333333342</v>
      </c>
      <c r="M19" s="912">
        <v>5607.17708333333</v>
      </c>
      <c r="N19" s="912">
        <f t="shared" ref="N19:N23" si="7">0.025*F19</f>
        <v>8226.12291666667</v>
      </c>
      <c r="O19" s="912">
        <f t="shared" si="4"/>
        <v>2618.94583333334</v>
      </c>
      <c r="P19" s="912">
        <f t="shared" si="5"/>
        <v>505656.080000001</v>
      </c>
      <c r="Q19" s="912">
        <f t="shared" si="6"/>
        <v>98713.475</v>
      </c>
    </row>
    <row r="20" customHeight="1" spans="1:17">
      <c r="A20" s="10">
        <v>13</v>
      </c>
      <c r="B20" s="18" t="s">
        <v>57</v>
      </c>
      <c r="C20" s="4" t="s">
        <v>58</v>
      </c>
      <c r="D20" s="15" t="s">
        <v>602</v>
      </c>
      <c r="E20" s="680">
        <v>403138</v>
      </c>
      <c r="F20" s="911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2">
        <v>31219.9133333334</v>
      </c>
      <c r="K20" s="912">
        <f t="shared" si="3"/>
        <v>39797.82</v>
      </c>
      <c r="L20" s="912">
        <f t="shared" si="0"/>
        <v>8577.9066666666</v>
      </c>
      <c r="M20" s="912">
        <v>5967.30625</v>
      </c>
      <c r="N20" s="912">
        <f t="shared" si="7"/>
        <v>7791.83125</v>
      </c>
      <c r="O20" s="912">
        <f t="shared" si="4"/>
        <v>1824.525</v>
      </c>
      <c r="P20" s="912">
        <f t="shared" si="5"/>
        <v>477573.84</v>
      </c>
      <c r="Q20" s="912">
        <f t="shared" si="6"/>
        <v>93501.975</v>
      </c>
    </row>
    <row r="21" customHeight="1" spans="1:17">
      <c r="A21" s="10">
        <v>14</v>
      </c>
      <c r="B21" s="18" t="s">
        <v>60</v>
      </c>
      <c r="C21" s="4" t="s">
        <v>61</v>
      </c>
      <c r="D21" s="15" t="s">
        <v>602</v>
      </c>
      <c r="E21" s="680">
        <v>403138</v>
      </c>
      <c r="F21" s="911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2">
        <v>31219.9133333334</v>
      </c>
      <c r="K21" s="912">
        <f t="shared" si="3"/>
        <v>39797.82</v>
      </c>
      <c r="L21" s="912">
        <f t="shared" si="0"/>
        <v>8577.9066666666</v>
      </c>
      <c r="M21" s="912"/>
      <c r="N21" s="912"/>
      <c r="O21" s="912">
        <f t="shared" si="4"/>
        <v>0</v>
      </c>
      <c r="P21" s="912">
        <f t="shared" si="5"/>
        <v>477573.84</v>
      </c>
      <c r="Q21" s="912">
        <f t="shared" si="6"/>
        <v>0</v>
      </c>
    </row>
    <row r="22" customHeight="1" spans="1:17">
      <c r="A22" s="10">
        <v>15</v>
      </c>
      <c r="B22" s="11" t="s">
        <v>62</v>
      </c>
      <c r="C22" s="12" t="s">
        <v>645</v>
      </c>
      <c r="D22" s="15" t="s">
        <v>261</v>
      </c>
      <c r="E22" s="85">
        <v>402278</v>
      </c>
      <c r="F22" s="911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94219.1666666667</v>
      </c>
      <c r="J22" s="912">
        <v>31206.92</v>
      </c>
      <c r="K22" s="912">
        <f t="shared" si="3"/>
        <v>39719.7733333333</v>
      </c>
      <c r="L22" s="912">
        <f t="shared" si="0"/>
        <v>8512.85333333334</v>
      </c>
      <c r="M22" s="912">
        <v>5257.5625</v>
      </c>
      <c r="N22" s="912">
        <f t="shared" si="7"/>
        <v>7777.36041666667</v>
      </c>
      <c r="O22" s="912">
        <f t="shared" si="4"/>
        <v>2519.79791666667</v>
      </c>
      <c r="P22" s="912">
        <f t="shared" si="5"/>
        <v>476637.28</v>
      </c>
      <c r="Q22" s="912">
        <f t="shared" si="6"/>
        <v>93328.325</v>
      </c>
    </row>
    <row r="23" ht="18.75" customHeight="1" spans="1:17">
      <c r="A23" s="10">
        <v>16</v>
      </c>
      <c r="B23" s="11" t="s">
        <v>65</v>
      </c>
      <c r="C23" s="12" t="s">
        <v>178</v>
      </c>
      <c r="D23" s="15" t="s">
        <v>173</v>
      </c>
      <c r="E23" s="85">
        <v>390086.5</v>
      </c>
      <c r="F23" s="911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2">
        <v>30231.6133333333</v>
      </c>
      <c r="K23" s="912">
        <f t="shared" si="3"/>
        <v>38613.0133333334</v>
      </c>
      <c r="L23" s="912">
        <f t="shared" si="0"/>
        <v>8381.40000000006</v>
      </c>
      <c r="M23" s="912"/>
      <c r="N23" s="912">
        <f t="shared" si="7"/>
        <v>7571.96666666667</v>
      </c>
      <c r="O23" s="912">
        <f t="shared" si="4"/>
        <v>7571.96666666667</v>
      </c>
      <c r="P23" s="912">
        <f t="shared" si="5"/>
        <v>463356.16</v>
      </c>
      <c r="Q23" s="912">
        <f t="shared" si="6"/>
        <v>90863.6000000001</v>
      </c>
    </row>
    <row r="24" customHeight="1" spans="1:17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2">
        <v>28281</v>
      </c>
      <c r="K24" s="912">
        <f t="shared" si="3"/>
        <v>36399.4866666666</v>
      </c>
      <c r="L24" s="912">
        <f t="shared" si="0"/>
        <v>8118.48666666664</v>
      </c>
      <c r="M24" s="912"/>
      <c r="N24" s="912"/>
      <c r="O24" s="912">
        <f t="shared" si="4"/>
        <v>0</v>
      </c>
      <c r="P24" s="912">
        <f t="shared" si="5"/>
        <v>436793.84</v>
      </c>
      <c r="Q24" s="912">
        <f t="shared" si="6"/>
        <v>0</v>
      </c>
    </row>
    <row r="25" ht="21.6" customHeight="1" spans="1:17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2">
        <v>28281</v>
      </c>
      <c r="K25" s="912">
        <f t="shared" si="3"/>
        <v>36399.4866666666</v>
      </c>
      <c r="L25" s="912">
        <f t="shared" si="0"/>
        <v>8118.48666666664</v>
      </c>
      <c r="M25" s="912"/>
      <c r="N25" s="912"/>
      <c r="O25" s="912">
        <f t="shared" si="4"/>
        <v>0</v>
      </c>
      <c r="P25" s="912">
        <f t="shared" si="5"/>
        <v>436793.84</v>
      </c>
      <c r="Q25" s="912">
        <f t="shared" si="6"/>
        <v>0</v>
      </c>
    </row>
    <row r="26" customHeight="1" spans="1:17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2">
        <v>23442.3733333333</v>
      </c>
      <c r="K26" s="912">
        <f t="shared" si="3"/>
        <v>30491.2533333333</v>
      </c>
      <c r="L26" s="912">
        <f t="shared" si="0"/>
        <v>7048.87999999998</v>
      </c>
      <c r="M26" s="912"/>
      <c r="N26" s="912"/>
      <c r="O26" s="912">
        <f t="shared" si="4"/>
        <v>0</v>
      </c>
      <c r="P26" s="912">
        <f t="shared" si="5"/>
        <v>365895.039999999</v>
      </c>
      <c r="Q26" s="912">
        <f t="shared" si="6"/>
        <v>0</v>
      </c>
    </row>
    <row r="27" customHeight="1" spans="1:17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2">
        <v>23442.3733333334</v>
      </c>
      <c r="K27" s="912">
        <f t="shared" si="3"/>
        <v>30491.2533333333</v>
      </c>
      <c r="L27" s="912">
        <f t="shared" si="0"/>
        <v>7048.87999999988</v>
      </c>
      <c r="M27" s="912"/>
      <c r="N27" s="912">
        <f>0.025*F27</f>
        <v>6021.86458333332</v>
      </c>
      <c r="O27" s="912">
        <f t="shared" si="4"/>
        <v>6021.86458333332</v>
      </c>
      <c r="P27" s="912">
        <f t="shared" si="5"/>
        <v>365895.039999999</v>
      </c>
      <c r="Q27" s="912">
        <f t="shared" si="6"/>
        <v>72262.3749999999</v>
      </c>
    </row>
    <row r="28" ht="18.75" customHeight="1" spans="1:17">
      <c r="A28" s="10">
        <v>21</v>
      </c>
      <c r="B28" s="4" t="s">
        <v>478</v>
      </c>
      <c r="C28" s="4" t="s">
        <v>94</v>
      </c>
      <c r="D28" s="10" t="s">
        <v>156</v>
      </c>
      <c r="E28" s="85">
        <v>277798</v>
      </c>
      <c r="F28" s="911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2">
        <v>21638.5333333333</v>
      </c>
      <c r="K28" s="912">
        <f t="shared" si="3"/>
        <v>28425.6533333334</v>
      </c>
      <c r="L28" s="912">
        <f t="shared" si="0"/>
        <v>6787.12000000006</v>
      </c>
      <c r="M28" s="912"/>
      <c r="N28" s="912">
        <f>0.025*F28</f>
        <v>5690.39375</v>
      </c>
      <c r="O28" s="912">
        <f t="shared" si="4"/>
        <v>5690.39375</v>
      </c>
      <c r="P28" s="912">
        <f t="shared" si="5"/>
        <v>341107.84</v>
      </c>
      <c r="Q28" s="912">
        <f t="shared" si="6"/>
        <v>68284.725</v>
      </c>
    </row>
    <row r="29" ht="18.75" customHeight="1" spans="1:17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2">
        <v>21638.5333333333</v>
      </c>
      <c r="K29" s="912">
        <f t="shared" si="3"/>
        <v>28425.6533333334</v>
      </c>
      <c r="L29" s="912">
        <f t="shared" si="0"/>
        <v>6787.12000000006</v>
      </c>
      <c r="M29" s="912"/>
      <c r="N29" s="912">
        <f>0.025*F29</f>
        <v>5690.39375</v>
      </c>
      <c r="O29" s="912">
        <f t="shared" si="4"/>
        <v>5690.39375</v>
      </c>
      <c r="P29" s="912">
        <f t="shared" si="5"/>
        <v>341107.84</v>
      </c>
      <c r="Q29" s="912">
        <f t="shared" si="6"/>
        <v>68284.725</v>
      </c>
    </row>
    <row r="30" customHeight="1" spans="1:17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2">
        <v>21638.5333333333</v>
      </c>
      <c r="K30" s="912">
        <f t="shared" si="3"/>
        <v>28425.6533333334</v>
      </c>
      <c r="L30" s="912">
        <f t="shared" si="0"/>
        <v>6787.12000000006</v>
      </c>
      <c r="M30" s="912"/>
      <c r="N30" s="912"/>
      <c r="O30" s="912">
        <f t="shared" si="4"/>
        <v>0</v>
      </c>
      <c r="P30" s="912">
        <f t="shared" si="5"/>
        <v>341107.84</v>
      </c>
      <c r="Q30" s="912">
        <f t="shared" si="6"/>
        <v>0</v>
      </c>
    </row>
    <row r="31" ht="18.75" customHeight="1" spans="1:17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2">
        <v>21053.2266666667</v>
      </c>
      <c r="K31" s="912">
        <f t="shared" si="3"/>
        <v>27761.2933333333</v>
      </c>
      <c r="L31" s="912">
        <f t="shared" si="0"/>
        <v>6708.06666666658</v>
      </c>
      <c r="M31" s="912"/>
      <c r="N31" s="912"/>
      <c r="O31" s="912">
        <f t="shared" si="4"/>
        <v>0</v>
      </c>
      <c r="P31" s="912">
        <f t="shared" si="5"/>
        <v>333135.519999999</v>
      </c>
      <c r="Q31" s="912">
        <f t="shared" si="6"/>
        <v>0</v>
      </c>
    </row>
    <row r="32" ht="18.75" customHeight="1" spans="1:17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2">
        <v>20467.92</v>
      </c>
      <c r="K32" s="912">
        <f t="shared" si="3"/>
        <v>27096.9333333334</v>
      </c>
      <c r="L32" s="912">
        <f t="shared" si="0"/>
        <v>6629.01333333336</v>
      </c>
      <c r="M32" s="912"/>
      <c r="N32" s="912"/>
      <c r="O32" s="912">
        <f t="shared" si="4"/>
        <v>0</v>
      </c>
      <c r="P32" s="912">
        <f t="shared" si="5"/>
        <v>325163.2</v>
      </c>
      <c r="Q32" s="912">
        <f t="shared" si="6"/>
        <v>0</v>
      </c>
    </row>
    <row r="33" ht="18.75" customHeight="1" spans="1:17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2">
        <v>20467.92</v>
      </c>
      <c r="K33" s="912">
        <f t="shared" si="3"/>
        <v>27096.9333333334</v>
      </c>
      <c r="L33" s="912">
        <f t="shared" si="0"/>
        <v>6629.01333333336</v>
      </c>
      <c r="M33" s="912"/>
      <c r="N33" s="912"/>
      <c r="O33" s="912">
        <f t="shared" si="4"/>
        <v>0</v>
      </c>
      <c r="P33" s="912">
        <f t="shared" si="5"/>
        <v>325163.2</v>
      </c>
      <c r="Q33" s="912">
        <f t="shared" si="6"/>
        <v>0</v>
      </c>
    </row>
    <row r="34" ht="18.75" customHeight="1" spans="1:17">
      <c r="A34" s="10">
        <v>27</v>
      </c>
      <c r="B34" s="18" t="s">
        <v>91</v>
      </c>
      <c r="C34" s="17" t="s">
        <v>646</v>
      </c>
      <c r="D34" s="15" t="s">
        <v>156</v>
      </c>
      <c r="E34" s="85">
        <v>277798</v>
      </c>
      <c r="F34" s="911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2">
        <v>21638.5333333333</v>
      </c>
      <c r="K34" s="912">
        <f t="shared" si="3"/>
        <v>28425.6533333334</v>
      </c>
      <c r="L34" s="912">
        <f t="shared" si="0"/>
        <v>6787.12000000006</v>
      </c>
      <c r="M34" s="912">
        <v>3653.5</v>
      </c>
      <c r="N34" s="912">
        <f t="shared" ref="N34:N38" si="8">0.025*F34</f>
        <v>5690.39375</v>
      </c>
      <c r="O34" s="912">
        <f t="shared" si="4"/>
        <v>2036.89375</v>
      </c>
      <c r="P34" s="912">
        <f t="shared" si="5"/>
        <v>341107.84</v>
      </c>
      <c r="Q34" s="912">
        <f t="shared" si="6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2">
        <v>20467.92</v>
      </c>
      <c r="K35" s="912">
        <f t="shared" si="3"/>
        <v>27096.9333333334</v>
      </c>
      <c r="L35" s="912">
        <f t="shared" si="0"/>
        <v>6629.01333333336</v>
      </c>
      <c r="M35" s="912"/>
      <c r="N35" s="912"/>
      <c r="O35" s="912">
        <f t="shared" si="4"/>
        <v>0</v>
      </c>
      <c r="P35" s="912">
        <f t="shared" si="5"/>
        <v>325163.2</v>
      </c>
      <c r="Q35" s="912">
        <f t="shared" si="6"/>
        <v>0</v>
      </c>
    </row>
    <row r="36" ht="18.75" customHeight="1" spans="1:17">
      <c r="A36" s="10">
        <v>29</v>
      </c>
      <c r="B36" s="18" t="s">
        <v>95</v>
      </c>
      <c r="C36" s="4" t="s">
        <v>647</v>
      </c>
      <c r="D36" s="10" t="s">
        <v>99</v>
      </c>
      <c r="E36" s="85">
        <v>263165.333333333</v>
      </c>
      <c r="F36" s="911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2">
        <v>20467.92</v>
      </c>
      <c r="K36" s="912">
        <f t="shared" si="3"/>
        <v>27096.9333333334</v>
      </c>
      <c r="L36" s="912">
        <f t="shared" si="0"/>
        <v>6629.01333333336</v>
      </c>
      <c r="M36" s="912"/>
      <c r="N36" s="912"/>
      <c r="O36" s="912">
        <f t="shared" si="4"/>
        <v>0</v>
      </c>
      <c r="P36" s="912">
        <f t="shared" si="5"/>
        <v>325163.2</v>
      </c>
      <c r="Q36" s="912">
        <f t="shared" si="6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2">
        <v>17956.78</v>
      </c>
      <c r="K37" s="912">
        <f t="shared" si="3"/>
        <v>24152.86</v>
      </c>
      <c r="L37" s="912">
        <f t="shared" si="0"/>
        <v>6196.08</v>
      </c>
      <c r="M37" s="912"/>
      <c r="N37" s="912">
        <f t="shared" si="8"/>
        <v>4909.11041666668</v>
      </c>
      <c r="O37" s="912">
        <f t="shared" si="4"/>
        <v>4909.11041666668</v>
      </c>
      <c r="P37" s="912">
        <f t="shared" si="5"/>
        <v>289834.32</v>
      </c>
      <c r="Q37" s="912">
        <f t="shared" si="6"/>
        <v>58909.3250000001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2">
        <v>17463.0066666666</v>
      </c>
      <c r="K38" s="912">
        <f t="shared" si="3"/>
        <v>23592.0666666667</v>
      </c>
      <c r="L38" s="912">
        <f t="shared" si="0"/>
        <v>6129.06000000012</v>
      </c>
      <c r="M38" s="912"/>
      <c r="N38" s="912">
        <f t="shared" si="8"/>
        <v>4804.48541666668</v>
      </c>
      <c r="O38" s="912">
        <f t="shared" si="4"/>
        <v>4804.48541666668</v>
      </c>
      <c r="P38" s="912">
        <f t="shared" si="5"/>
        <v>283104.800000001</v>
      </c>
      <c r="Q38" s="912">
        <f t="shared" si="6"/>
        <v>57653.8250000001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9">SUM(E8:E38)</f>
        <v>14073003.667</v>
      </c>
      <c r="F39" s="913">
        <f t="shared" si="9"/>
        <v>10680273.5</v>
      </c>
      <c r="G39" s="221">
        <f t="shared" si="9"/>
        <v>6613927.25</v>
      </c>
      <c r="H39" s="221">
        <f t="shared" si="9"/>
        <v>17294200.75</v>
      </c>
      <c r="I39" s="221">
        <f t="shared" si="9"/>
        <v>3221197.083</v>
      </c>
      <c r="J39" s="221">
        <f t="shared" si="9"/>
        <v>914813.32</v>
      </c>
      <c r="K39" s="221">
        <f t="shared" si="9"/>
        <v>1153420.55333333</v>
      </c>
      <c r="L39" s="221">
        <f t="shared" si="9"/>
        <v>238607.233333333</v>
      </c>
      <c r="M39" s="221">
        <f t="shared" si="9"/>
        <v>48931.9729166667</v>
      </c>
      <c r="N39" s="221">
        <f t="shared" si="9"/>
        <v>102666.25625</v>
      </c>
      <c r="O39" s="221">
        <f t="shared" si="9"/>
        <v>53734.2833333333</v>
      </c>
      <c r="P39" s="221">
        <f t="shared" si="9"/>
        <v>13841046.64</v>
      </c>
      <c r="Q39" s="221">
        <f t="shared" si="9"/>
        <v>1231995.075</v>
      </c>
    </row>
    <row r="40" ht="18.75" customHeight="1" spans="1:17">
      <c r="A40" s="10"/>
      <c r="B40" s="22"/>
      <c r="C40" s="4"/>
      <c r="D40" s="15"/>
      <c r="E40" s="221"/>
      <c r="F40" s="913"/>
      <c r="G40" s="221"/>
      <c r="H40" s="220"/>
      <c r="I40" s="220"/>
      <c r="J40" s="912"/>
      <c r="K40" s="912"/>
      <c r="L40" s="912"/>
      <c r="M40" s="912"/>
      <c r="N40" s="912"/>
      <c r="O40" s="912"/>
      <c r="P40" s="912"/>
      <c r="Q40" s="912"/>
    </row>
    <row r="41" ht="18.75" customHeight="1" spans="1:17">
      <c r="A41" s="10"/>
      <c r="B41" s="20" t="s">
        <v>121</v>
      </c>
      <c r="C41" s="4"/>
      <c r="D41" s="15"/>
      <c r="E41" s="85"/>
      <c r="F41" s="911"/>
      <c r="G41" s="85"/>
      <c r="H41" s="220"/>
      <c r="I41" s="220"/>
      <c r="J41" s="912"/>
      <c r="K41" s="912"/>
      <c r="L41" s="912"/>
      <c r="M41" s="912"/>
      <c r="N41" s="912"/>
      <c r="O41" s="912"/>
      <c r="P41" s="912"/>
      <c r="Q41" s="912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220">
        <v>660329.333333333</v>
      </c>
      <c r="H42" s="914">
        <f>F42+G42</f>
        <v>1747106.41666666</v>
      </c>
      <c r="I42" s="220">
        <f t="shared" ref="I41:I72" si="10">H42-E42</f>
        <v>311386.41666666</v>
      </c>
      <c r="J42" s="912">
        <v>114857.6</v>
      </c>
      <c r="K42" s="912">
        <f t="shared" ref="K41:K72" si="11">H42*0.08</f>
        <v>139768.513333333</v>
      </c>
      <c r="L42" s="912">
        <f t="shared" ref="L40:L71" si="12">K42-J42</f>
        <v>24910.913333333</v>
      </c>
      <c r="M42" s="912"/>
      <c r="N42" s="912"/>
      <c r="O42" s="912">
        <f t="shared" ref="O41:O72" si="13">N42-M42</f>
        <v>0</v>
      </c>
      <c r="P42" s="912">
        <f>K42*12</f>
        <v>1677222.16</v>
      </c>
      <c r="Q42" s="912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220">
        <v>140266.083333333</v>
      </c>
      <c r="H43" s="914">
        <f>F43+G43</f>
        <v>381140.666666666</v>
      </c>
      <c r="I43" s="220">
        <f t="shared" si="10"/>
        <v>80175.083333333</v>
      </c>
      <c r="J43" s="912">
        <v>23442.3733333333</v>
      </c>
      <c r="K43" s="912">
        <f t="shared" si="11"/>
        <v>30491.2533333333</v>
      </c>
      <c r="L43" s="912">
        <f t="shared" si="12"/>
        <v>7048.88</v>
      </c>
      <c r="M43" s="912"/>
      <c r="N43" s="912">
        <f>0.025*F43</f>
        <v>6021.86458333332</v>
      </c>
      <c r="O43" s="912">
        <f t="shared" si="13"/>
        <v>6021.86458333332</v>
      </c>
      <c r="P43" s="912">
        <f>K43*12</f>
        <v>365895.04</v>
      </c>
      <c r="Q43" s="912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220">
        <v>143964.666666667</v>
      </c>
      <c r="H44" s="914">
        <f>F44+G44</f>
        <v>390135.833333334</v>
      </c>
      <c r="I44" s="220">
        <f t="shared" si="10"/>
        <v>81234.333333334</v>
      </c>
      <c r="J44" s="912">
        <v>24077.2466666667</v>
      </c>
      <c r="K44" s="912">
        <f t="shared" si="11"/>
        <v>31210.8666666667</v>
      </c>
      <c r="L44" s="912">
        <f t="shared" si="12"/>
        <v>7133.62</v>
      </c>
      <c r="M44" s="912"/>
      <c r="N44" s="912"/>
      <c r="O44" s="912">
        <f t="shared" si="13"/>
        <v>0</v>
      </c>
      <c r="P44" s="912">
        <f>K44*12</f>
        <v>374530.4</v>
      </c>
      <c r="Q44" s="912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220">
        <v>120978.25</v>
      </c>
      <c r="H45" s="914">
        <f>F45+G45</f>
        <v>338711.666666667</v>
      </c>
      <c r="I45" s="220">
        <f t="shared" si="10"/>
        <v>75546.333333334</v>
      </c>
      <c r="J45" s="912">
        <v>20467.92</v>
      </c>
      <c r="K45" s="912">
        <f t="shared" si="11"/>
        <v>27096.9333333334</v>
      </c>
      <c r="L45" s="912">
        <f t="shared" si="12"/>
        <v>6629.0133333334</v>
      </c>
      <c r="M45" s="912"/>
      <c r="N45" s="912">
        <f>0.025*F45</f>
        <v>5443.33541666668</v>
      </c>
      <c r="O45" s="912">
        <f t="shared" si="13"/>
        <v>5443.33541666668</v>
      </c>
      <c r="P45" s="912">
        <f>K45*12</f>
        <v>325163.200000001</v>
      </c>
      <c r="Q45" s="912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3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3"/>
      <c r="G47" s="221"/>
      <c r="H47" s="220"/>
      <c r="I47" s="220"/>
      <c r="J47" s="912"/>
      <c r="K47" s="912"/>
      <c r="L47" s="912"/>
      <c r="M47" s="912"/>
      <c r="N47" s="912"/>
      <c r="O47" s="912"/>
      <c r="P47" s="912"/>
      <c r="Q47" s="912"/>
    </row>
    <row r="48" customHeight="1" spans="1:17">
      <c r="A48" s="10"/>
      <c r="B48" s="23" t="s">
        <v>137</v>
      </c>
      <c r="C48" s="5"/>
      <c r="D48" s="24"/>
      <c r="E48" s="221"/>
      <c r="F48" s="913"/>
      <c r="G48" s="221"/>
      <c r="H48" s="220"/>
      <c r="I48" s="220"/>
      <c r="J48" s="912"/>
      <c r="K48" s="912"/>
      <c r="L48" s="912"/>
      <c r="M48" s="912"/>
      <c r="N48" s="912"/>
      <c r="O48" s="912"/>
      <c r="P48" s="912"/>
      <c r="Q48" s="912"/>
    </row>
    <row r="49" customHeight="1" spans="1:17">
      <c r="A49" s="10">
        <v>1</v>
      </c>
      <c r="B49" s="11" t="s">
        <v>138</v>
      </c>
      <c r="C49" s="4" t="s">
        <v>648</v>
      </c>
      <c r="D49" s="10" t="s">
        <v>36</v>
      </c>
      <c r="E49" s="85">
        <v>762373.166666667</v>
      </c>
      <c r="F49" s="911">
        <v>554669.5</v>
      </c>
      <c r="G49" s="220">
        <v>350637.25</v>
      </c>
      <c r="H49" s="914">
        <f>F49+G49</f>
        <v>905306.75</v>
      </c>
      <c r="I49" s="220">
        <f t="shared" si="10"/>
        <v>142933.583333333</v>
      </c>
      <c r="J49" s="912">
        <v>59136.2866666667</v>
      </c>
      <c r="K49" s="912">
        <f t="shared" si="11"/>
        <v>72424.54</v>
      </c>
      <c r="L49" s="912">
        <f t="shared" si="12"/>
        <v>13288.2533333333</v>
      </c>
      <c r="M49" s="912"/>
      <c r="N49" s="912"/>
      <c r="O49" s="912">
        <f t="shared" si="13"/>
        <v>0</v>
      </c>
      <c r="P49" s="912">
        <f>K49*12</f>
        <v>869094.48</v>
      </c>
      <c r="Q49" s="912"/>
    </row>
    <row r="50" customHeight="1" spans="1:17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220">
        <v>285466.5</v>
      </c>
      <c r="H50" s="914">
        <f t="shared" ref="H50:H56" si="15">F50+G50</f>
        <v>744477</v>
      </c>
      <c r="I50" s="220">
        <f t="shared" si="10"/>
        <v>123801.416666667</v>
      </c>
      <c r="J50" s="912">
        <v>49654.0466666667</v>
      </c>
      <c r="K50" s="912">
        <f t="shared" si="11"/>
        <v>59558.16</v>
      </c>
      <c r="L50" s="912">
        <f t="shared" si="12"/>
        <v>9904.11333333331</v>
      </c>
      <c r="M50" s="912"/>
      <c r="N50" s="912"/>
      <c r="O50" s="912">
        <f t="shared" si="13"/>
        <v>0</v>
      </c>
      <c r="P50" s="912">
        <f t="shared" ref="P50:P56" si="16">K50*12</f>
        <v>714697.92</v>
      </c>
      <c r="Q50" s="912"/>
    </row>
    <row r="51" customHeight="1" spans="1:17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220">
        <v>285466.5</v>
      </c>
      <c r="H51" s="914">
        <f t="shared" si="15"/>
        <v>744477</v>
      </c>
      <c r="I51" s="220">
        <f t="shared" si="10"/>
        <v>123801.416666667</v>
      </c>
      <c r="J51" s="912">
        <v>49654.0466666667</v>
      </c>
      <c r="K51" s="912">
        <f t="shared" si="11"/>
        <v>59558.16</v>
      </c>
      <c r="L51" s="912">
        <f t="shared" si="12"/>
        <v>9904.11333333331</v>
      </c>
      <c r="M51" s="912">
        <v>8380.22708333333</v>
      </c>
      <c r="N51" s="912">
        <f>0.025*F51</f>
        <v>11475.2625</v>
      </c>
      <c r="O51" s="912">
        <f t="shared" si="13"/>
        <v>3095.03541666667</v>
      </c>
      <c r="P51" s="912">
        <f t="shared" si="16"/>
        <v>714697.92</v>
      </c>
      <c r="Q51" s="912">
        <f>N51*12</f>
        <v>137703.15</v>
      </c>
    </row>
    <row r="52" customHeight="1" spans="1:17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220">
        <v>276599.666666667</v>
      </c>
      <c r="H52" s="914">
        <f t="shared" si="15"/>
        <v>722595.5</v>
      </c>
      <c r="I52" s="220">
        <f t="shared" si="10"/>
        <v>121198.666666667</v>
      </c>
      <c r="J52" s="912">
        <v>46569.4466666667</v>
      </c>
      <c r="K52" s="912">
        <f t="shared" si="11"/>
        <v>57807.64</v>
      </c>
      <c r="L52" s="912">
        <f t="shared" si="12"/>
        <v>11238.1933333333</v>
      </c>
      <c r="M52" s="912"/>
      <c r="N52" s="912"/>
      <c r="O52" s="912">
        <f t="shared" si="13"/>
        <v>0</v>
      </c>
      <c r="P52" s="912">
        <f t="shared" si="16"/>
        <v>693691.68</v>
      </c>
      <c r="Q52" s="912"/>
    </row>
    <row r="53" customHeight="1" spans="1:17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220">
        <v>267732.833333333</v>
      </c>
      <c r="H53" s="914">
        <f t="shared" si="15"/>
        <v>700713.916666666</v>
      </c>
      <c r="I53" s="220">
        <f t="shared" si="10"/>
        <v>118595.833333333</v>
      </c>
      <c r="J53" s="912">
        <v>46569.45</v>
      </c>
      <c r="K53" s="912">
        <f t="shared" si="11"/>
        <v>56057.1133333333</v>
      </c>
      <c r="L53" s="912">
        <f t="shared" si="12"/>
        <v>9487.6633333333</v>
      </c>
      <c r="M53" s="912"/>
      <c r="N53" s="912"/>
      <c r="O53" s="912">
        <f t="shared" si="13"/>
        <v>0</v>
      </c>
      <c r="P53" s="912">
        <f t="shared" si="16"/>
        <v>672685.36</v>
      </c>
      <c r="Q53" s="912"/>
    </row>
    <row r="54" customHeight="1" spans="1:17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220">
        <v>143964.666666667</v>
      </c>
      <c r="H54" s="914">
        <f t="shared" si="15"/>
        <v>390135.833333334</v>
      </c>
      <c r="I54" s="220">
        <f t="shared" si="10"/>
        <v>81234.333333334</v>
      </c>
      <c r="J54" s="912">
        <v>24077.2466666667</v>
      </c>
      <c r="K54" s="912">
        <f t="shared" si="11"/>
        <v>31210.8666666667</v>
      </c>
      <c r="L54" s="912">
        <f t="shared" si="12"/>
        <v>7133.62</v>
      </c>
      <c r="M54" s="912"/>
      <c r="N54" s="912"/>
      <c r="O54" s="912">
        <f t="shared" si="13"/>
        <v>0</v>
      </c>
      <c r="P54" s="912">
        <f t="shared" si="16"/>
        <v>374530.4</v>
      </c>
      <c r="Q54" s="912"/>
    </row>
    <row r="55" customHeight="1" spans="1:17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220">
        <v>124341.583333333</v>
      </c>
      <c r="H55" s="914">
        <f t="shared" si="15"/>
        <v>347016.166666666</v>
      </c>
      <c r="I55" s="220">
        <f t="shared" si="10"/>
        <v>76534.499999999</v>
      </c>
      <c r="J55" s="912">
        <v>21053.2266666667</v>
      </c>
      <c r="K55" s="912">
        <f t="shared" si="11"/>
        <v>27761.2933333333</v>
      </c>
      <c r="L55" s="912">
        <f t="shared" si="12"/>
        <v>6708.0666666666</v>
      </c>
      <c r="M55" s="912"/>
      <c r="N55" s="912"/>
      <c r="O55" s="912">
        <f t="shared" si="13"/>
        <v>0</v>
      </c>
      <c r="P55" s="912">
        <f t="shared" si="16"/>
        <v>333135.52</v>
      </c>
      <c r="Q55" s="912"/>
    </row>
    <row r="56" customHeight="1" spans="1:17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220">
        <v>124341.583333333</v>
      </c>
      <c r="H56" s="914">
        <f t="shared" si="15"/>
        <v>347016.166666666</v>
      </c>
      <c r="I56" s="220">
        <f t="shared" si="10"/>
        <v>76534.499999999</v>
      </c>
      <c r="J56" s="912">
        <v>21053.2266666667</v>
      </c>
      <c r="K56" s="912">
        <f t="shared" si="11"/>
        <v>27761.2933333333</v>
      </c>
      <c r="L56" s="912">
        <f t="shared" si="12"/>
        <v>6708.0666666666</v>
      </c>
      <c r="M56" s="912"/>
      <c r="N56" s="912"/>
      <c r="O56" s="912">
        <f t="shared" si="13"/>
        <v>0</v>
      </c>
      <c r="P56" s="912">
        <f t="shared" si="16"/>
        <v>333135.52</v>
      </c>
      <c r="Q56" s="912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17">SUM(E49:E56)</f>
        <v>4037104.08333333</v>
      </c>
      <c r="F57" s="915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56"/>
      <c r="F58" s="916"/>
      <c r="G58" s="156"/>
      <c r="H58" s="220"/>
      <c r="I58" s="220"/>
      <c r="J58" s="912"/>
      <c r="K58" s="912"/>
      <c r="L58" s="912"/>
      <c r="M58" s="912"/>
      <c r="N58" s="912"/>
      <c r="O58" s="912"/>
      <c r="P58" s="912"/>
      <c r="Q58" s="912"/>
    </row>
    <row r="59" customHeight="1" spans="1:17">
      <c r="A59" s="10"/>
      <c r="B59" s="20" t="s">
        <v>159</v>
      </c>
      <c r="C59" s="21"/>
      <c r="D59" s="21"/>
      <c r="E59" s="156"/>
      <c r="F59" s="916"/>
      <c r="G59" s="156"/>
      <c r="H59" s="220"/>
      <c r="I59" s="220"/>
      <c r="J59" s="912"/>
      <c r="K59" s="912"/>
      <c r="L59" s="912"/>
      <c r="M59" s="912"/>
      <c r="N59" s="912"/>
      <c r="O59" s="912"/>
      <c r="P59" s="912"/>
      <c r="Q59" s="912"/>
    </row>
    <row r="60" customHeight="1" spans="1:17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220">
        <v>660329.333333333</v>
      </c>
      <c r="H60" s="914">
        <f>F60+G60</f>
        <v>1747106.41666666</v>
      </c>
      <c r="I60" s="220">
        <f t="shared" si="10"/>
        <v>311386.41666666</v>
      </c>
      <c r="J60" s="912">
        <v>114857.6</v>
      </c>
      <c r="K60" s="912">
        <f t="shared" si="11"/>
        <v>139768.513333333</v>
      </c>
      <c r="L60" s="912">
        <f t="shared" si="12"/>
        <v>24910.913333333</v>
      </c>
      <c r="M60" s="912"/>
      <c r="N60" s="912"/>
      <c r="O60" s="912">
        <f t="shared" si="13"/>
        <v>0</v>
      </c>
      <c r="P60" s="912">
        <f>K60*12</f>
        <v>1677222.16</v>
      </c>
      <c r="Q60" s="912"/>
    </row>
    <row r="61" customHeight="1" spans="1:17">
      <c r="A61" s="10">
        <v>2</v>
      </c>
      <c r="B61" s="11" t="s">
        <v>162</v>
      </c>
      <c r="C61" s="12" t="s">
        <v>485</v>
      </c>
      <c r="D61" s="15" t="s">
        <v>486</v>
      </c>
      <c r="E61" s="85">
        <v>620675.583333333</v>
      </c>
      <c r="F61" s="911">
        <v>459010.5</v>
      </c>
      <c r="G61" s="220">
        <v>285466.5</v>
      </c>
      <c r="H61" s="914">
        <f>F61+G61</f>
        <v>744477</v>
      </c>
      <c r="I61" s="220">
        <f t="shared" si="10"/>
        <v>123801.416666667</v>
      </c>
      <c r="J61" s="912">
        <v>49654.0466666667</v>
      </c>
      <c r="K61" s="912">
        <f t="shared" si="11"/>
        <v>59558.16</v>
      </c>
      <c r="L61" s="912">
        <f t="shared" si="12"/>
        <v>9904.11333333331</v>
      </c>
      <c r="M61" s="912"/>
      <c r="N61" s="912"/>
      <c r="O61" s="912">
        <f t="shared" si="13"/>
        <v>0</v>
      </c>
      <c r="P61" s="912">
        <f>K61*12</f>
        <v>714697.92</v>
      </c>
      <c r="Q61" s="912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18">SUM(E60:E61)</f>
        <v>2056395.58333333</v>
      </c>
      <c r="F62" s="915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56"/>
      <c r="F63" s="916"/>
      <c r="G63" s="156"/>
      <c r="H63" s="220"/>
      <c r="I63" s="220"/>
      <c r="J63" s="912"/>
      <c r="K63" s="912"/>
      <c r="L63" s="912"/>
      <c r="M63" s="912"/>
      <c r="N63" s="912"/>
      <c r="O63" s="912"/>
      <c r="P63" s="912"/>
      <c r="Q63" s="912"/>
    </row>
    <row r="64" customHeight="1" spans="1:17">
      <c r="A64" s="10"/>
      <c r="B64" s="20" t="s">
        <v>164</v>
      </c>
      <c r="C64" s="21"/>
      <c r="D64" s="21"/>
      <c r="E64" s="156"/>
      <c r="F64" s="916"/>
      <c r="G64" s="156"/>
      <c r="H64" s="220"/>
      <c r="I64" s="220"/>
      <c r="J64" s="912"/>
      <c r="K64" s="912"/>
      <c r="L64" s="912"/>
      <c r="M64" s="912"/>
      <c r="N64" s="912"/>
      <c r="O64" s="912"/>
      <c r="P64" s="912"/>
      <c r="Q64" s="912"/>
    </row>
    <row r="65" customHeight="1" spans="1:17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2">
        <v>60989.8533333333</v>
      </c>
      <c r="K65" s="912">
        <f t="shared" si="11"/>
        <v>72424.54</v>
      </c>
      <c r="L65" s="912">
        <f t="shared" si="12"/>
        <v>11434.6866666667</v>
      </c>
      <c r="M65" s="912">
        <v>10293.3979166667</v>
      </c>
      <c r="N65" s="912">
        <f>0.025*F65</f>
        <v>13866.7375</v>
      </c>
      <c r="O65" s="912">
        <f t="shared" si="13"/>
        <v>3573.3395833333</v>
      </c>
      <c r="P65" s="912">
        <f>K65*12</f>
        <v>869094.48</v>
      </c>
      <c r="Q65" s="912">
        <f>N65*12</f>
        <v>166400.85</v>
      </c>
    </row>
    <row r="66" customHeight="1" spans="1:17">
      <c r="A66" s="10">
        <v>2</v>
      </c>
      <c r="B66" s="11" t="s">
        <v>167</v>
      </c>
      <c r="C66" s="4" t="s">
        <v>52</v>
      </c>
      <c r="D66" s="10" t="s">
        <v>214</v>
      </c>
      <c r="E66" s="85">
        <v>456622.25</v>
      </c>
      <c r="F66" s="911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2">
        <v>35419.72</v>
      </c>
      <c r="K66" s="912">
        <f t="shared" si="11"/>
        <v>44653.22</v>
      </c>
      <c r="L66" s="912">
        <f t="shared" si="12"/>
        <v>9233.5</v>
      </c>
      <c r="M66" s="912"/>
      <c r="N66" s="912"/>
      <c r="O66" s="912">
        <f t="shared" si="13"/>
        <v>0</v>
      </c>
      <c r="P66" s="912">
        <f t="shared" ref="P66:P71" si="20">K66*12</f>
        <v>535838.64</v>
      </c>
      <c r="Q66" s="912"/>
    </row>
    <row r="67" customHeight="1" spans="1:17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2">
        <v>29256.3066666667</v>
      </c>
      <c r="K67" s="912">
        <f t="shared" si="11"/>
        <v>37506.2533333334</v>
      </c>
      <c r="L67" s="912">
        <f t="shared" si="12"/>
        <v>8249.94666666666</v>
      </c>
      <c r="M67" s="912"/>
      <c r="N67" s="912"/>
      <c r="O67" s="912">
        <f t="shared" si="13"/>
        <v>0</v>
      </c>
      <c r="P67" s="912">
        <f t="shared" si="20"/>
        <v>450075.040000001</v>
      </c>
      <c r="Q67" s="912"/>
    </row>
    <row r="68" customHeight="1" spans="1:17">
      <c r="A68" s="10">
        <v>4</v>
      </c>
      <c r="B68" s="11" t="s">
        <v>172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2">
        <v>29256.3066666667</v>
      </c>
      <c r="K68" s="912">
        <f t="shared" si="11"/>
        <v>37506.2533333334</v>
      </c>
      <c r="L68" s="912">
        <f t="shared" si="12"/>
        <v>8249.94666666666</v>
      </c>
      <c r="M68" s="912"/>
      <c r="N68" s="912"/>
      <c r="O68" s="912">
        <f t="shared" si="13"/>
        <v>0</v>
      </c>
      <c r="P68" s="912">
        <f t="shared" si="20"/>
        <v>450075.040000001</v>
      </c>
      <c r="Q68" s="912"/>
    </row>
    <row r="69" customHeight="1" spans="1:17">
      <c r="A69" s="10">
        <v>5</v>
      </c>
      <c r="B69" s="11" t="s">
        <v>174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2">
        <v>29256.3066666667</v>
      </c>
      <c r="K69" s="912">
        <f t="shared" si="11"/>
        <v>37506.2533333334</v>
      </c>
      <c r="L69" s="912">
        <f t="shared" si="12"/>
        <v>8249.94666666666</v>
      </c>
      <c r="M69" s="912"/>
      <c r="N69" s="912"/>
      <c r="O69" s="912">
        <f t="shared" si="13"/>
        <v>0</v>
      </c>
      <c r="P69" s="912">
        <f t="shared" si="20"/>
        <v>450075.040000001</v>
      </c>
      <c r="Q69" s="912"/>
    </row>
    <row r="70" customHeight="1" spans="1:17">
      <c r="A70" s="10">
        <v>6</v>
      </c>
      <c r="B70" s="11" t="s">
        <v>175</v>
      </c>
      <c r="C70" s="4" t="s">
        <v>649</v>
      </c>
      <c r="D70" s="10" t="s">
        <v>173</v>
      </c>
      <c r="E70" s="457">
        <v>390086.5</v>
      </c>
      <c r="F70" s="911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2">
        <v>30231.6133333333</v>
      </c>
      <c r="K70" s="912">
        <f t="shared" si="11"/>
        <v>38613.0133333334</v>
      </c>
      <c r="L70" s="912">
        <f t="shared" si="12"/>
        <v>8381.40000000006</v>
      </c>
      <c r="M70" s="912"/>
      <c r="N70" s="912"/>
      <c r="O70" s="912">
        <f t="shared" si="13"/>
        <v>0</v>
      </c>
      <c r="P70" s="912">
        <f t="shared" si="20"/>
        <v>463356.160000001</v>
      </c>
      <c r="Q70" s="912"/>
    </row>
    <row r="71" ht="21.6" customHeight="1" spans="1:17">
      <c r="A71" s="10">
        <v>7</v>
      </c>
      <c r="B71" s="11" t="s">
        <v>179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2">
        <v>24077.2466666667</v>
      </c>
      <c r="K71" s="912">
        <f t="shared" si="11"/>
        <v>31210.8666666667</v>
      </c>
      <c r="L71" s="912">
        <f t="shared" si="12"/>
        <v>7133.62000000002</v>
      </c>
      <c r="M71" s="912"/>
      <c r="N71" s="912">
        <f>0.025*F71</f>
        <v>6154.27916666668</v>
      </c>
      <c r="O71" s="912">
        <f t="shared" si="13"/>
        <v>6154.27916666668</v>
      </c>
      <c r="P71" s="912">
        <f t="shared" si="20"/>
        <v>374530.4</v>
      </c>
      <c r="Q71" s="912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21">SUM(E65:E71)</f>
        <v>3051668.91666667</v>
      </c>
      <c r="F72" s="915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56"/>
      <c r="F73" s="916"/>
      <c r="G73" s="156"/>
      <c r="H73" s="220"/>
      <c r="I73" s="220"/>
      <c r="J73" s="912"/>
      <c r="K73" s="912"/>
      <c r="L73" s="912"/>
      <c r="M73" s="912"/>
      <c r="N73" s="912"/>
      <c r="O73" s="912"/>
      <c r="P73" s="912"/>
      <c r="Q73" s="912"/>
    </row>
    <row r="74" customHeight="1" spans="1:17">
      <c r="A74" s="10"/>
      <c r="B74" s="20" t="s">
        <v>183</v>
      </c>
      <c r="C74" s="21"/>
      <c r="D74" s="21"/>
      <c r="E74" s="156"/>
      <c r="F74" s="916"/>
      <c r="G74" s="156"/>
      <c r="H74" s="220"/>
      <c r="I74" s="220"/>
      <c r="J74" s="912"/>
      <c r="K74" s="912"/>
      <c r="L74" s="912"/>
      <c r="M74" s="912"/>
      <c r="N74" s="912"/>
      <c r="O74" s="912"/>
      <c r="P74" s="912"/>
      <c r="Q74" s="912"/>
    </row>
    <row r="75" customHeight="1" spans="1:17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911">
        <v>1086777.08333333</v>
      </c>
      <c r="G75" s="220">
        <v>660329.333333333</v>
      </c>
      <c r="H75" s="914">
        <f t="shared" ref="H75:H80" si="22">F75+G75</f>
        <v>1747106.41666666</v>
      </c>
      <c r="I75" s="220">
        <f t="shared" ref="I73:I104" si="23">H75-E75</f>
        <v>311386.41666666</v>
      </c>
      <c r="J75" s="912">
        <v>114857.6</v>
      </c>
      <c r="K75" s="912">
        <f t="shared" ref="K73:K104" si="24">H75*0.08</f>
        <v>139768.513333333</v>
      </c>
      <c r="L75" s="912">
        <f t="shared" ref="L72:L103" si="25">K75-J75</f>
        <v>24910.9133333328</v>
      </c>
      <c r="M75" s="912"/>
      <c r="N75" s="912"/>
      <c r="O75" s="912">
        <f t="shared" ref="O73:O104" si="26">N75-M75</f>
        <v>0</v>
      </c>
      <c r="P75" s="912">
        <f t="shared" ref="P75:P80" si="27">K75*12</f>
        <v>1677222.16</v>
      </c>
      <c r="Q75" s="912"/>
    </row>
    <row r="76" customHeight="1" spans="1:17">
      <c r="A76" s="10">
        <v>2</v>
      </c>
      <c r="B76" s="11" t="s">
        <v>188</v>
      </c>
      <c r="C76" s="4" t="s">
        <v>189</v>
      </c>
      <c r="D76" s="10" t="s">
        <v>42</v>
      </c>
      <c r="E76" s="85">
        <v>582118.083333333</v>
      </c>
      <c r="F76" s="911">
        <v>445995.833333333</v>
      </c>
      <c r="G76" s="220">
        <v>276599.666666667</v>
      </c>
      <c r="H76" s="914">
        <f t="shared" si="22"/>
        <v>722595.5</v>
      </c>
      <c r="I76" s="220">
        <f t="shared" si="23"/>
        <v>140477.416666667</v>
      </c>
      <c r="J76" s="912">
        <v>46569.4466666667</v>
      </c>
      <c r="K76" s="912">
        <f t="shared" si="24"/>
        <v>57807.64</v>
      </c>
      <c r="L76" s="912">
        <f t="shared" si="25"/>
        <v>11238.1933333333</v>
      </c>
      <c r="M76" s="912"/>
      <c r="N76" s="912"/>
      <c r="O76" s="912">
        <f t="shared" si="26"/>
        <v>0</v>
      </c>
      <c r="P76" s="912">
        <f t="shared" si="27"/>
        <v>693691.68</v>
      </c>
      <c r="Q76" s="912"/>
    </row>
    <row r="77" customHeight="1" spans="1:17">
      <c r="A77" s="10">
        <v>3</v>
      </c>
      <c r="B77" s="11" t="s">
        <v>190</v>
      </c>
      <c r="C77" s="4" t="s">
        <v>191</v>
      </c>
      <c r="D77" s="15" t="s">
        <v>47</v>
      </c>
      <c r="E77" s="85">
        <v>470498</v>
      </c>
      <c r="F77" s="911">
        <v>357066.666666667</v>
      </c>
      <c r="G77" s="220">
        <v>216844.416666667</v>
      </c>
      <c r="H77" s="914">
        <f t="shared" si="22"/>
        <v>573911.083333334</v>
      </c>
      <c r="I77" s="220">
        <f t="shared" si="23"/>
        <v>103413.083333334</v>
      </c>
      <c r="J77" s="912">
        <v>36529.78</v>
      </c>
      <c r="K77" s="912">
        <f t="shared" si="24"/>
        <v>45912.8866666667</v>
      </c>
      <c r="L77" s="912">
        <f t="shared" si="25"/>
        <v>9383.10666666672</v>
      </c>
      <c r="M77" s="912">
        <v>6154.32291666667</v>
      </c>
      <c r="N77" s="912">
        <f>0.025*F77</f>
        <v>8926.66666666668</v>
      </c>
      <c r="O77" s="912">
        <f t="shared" si="26"/>
        <v>2772.34375000001</v>
      </c>
      <c r="P77" s="912">
        <f t="shared" si="27"/>
        <v>550954.64</v>
      </c>
      <c r="Q77" s="912">
        <f>N77*12</f>
        <v>107120</v>
      </c>
    </row>
    <row r="78" customHeight="1" spans="1:17">
      <c r="A78" s="10">
        <v>4</v>
      </c>
      <c r="B78" s="11" t="s">
        <v>197</v>
      </c>
      <c r="C78" s="4" t="s">
        <v>198</v>
      </c>
      <c r="D78" s="10" t="s">
        <v>131</v>
      </c>
      <c r="E78" s="85">
        <v>365703.833333333</v>
      </c>
      <c r="F78" s="911">
        <v>286447.083333333</v>
      </c>
      <c r="G78" s="220">
        <v>168546.5</v>
      </c>
      <c r="H78" s="914">
        <f t="shared" si="22"/>
        <v>454993.583333333</v>
      </c>
      <c r="I78" s="220">
        <f t="shared" si="23"/>
        <v>89289.75</v>
      </c>
      <c r="J78" s="912">
        <v>28281</v>
      </c>
      <c r="K78" s="912">
        <f t="shared" si="24"/>
        <v>36399.4866666666</v>
      </c>
      <c r="L78" s="912">
        <f t="shared" si="25"/>
        <v>8118.48666666664</v>
      </c>
      <c r="M78" s="912"/>
      <c r="N78" s="912"/>
      <c r="O78" s="912">
        <f t="shared" si="26"/>
        <v>0</v>
      </c>
      <c r="P78" s="912">
        <f t="shared" si="27"/>
        <v>436793.839999999</v>
      </c>
      <c r="Q78" s="912"/>
    </row>
    <row r="79" customHeight="1" spans="1:17">
      <c r="A79" s="10">
        <v>5</v>
      </c>
      <c r="B79" s="11" t="s">
        <v>201</v>
      </c>
      <c r="C79" s="4" t="s">
        <v>182</v>
      </c>
      <c r="D79" s="10" t="s">
        <v>99</v>
      </c>
      <c r="E79" s="85">
        <v>263165.333333333</v>
      </c>
      <c r="F79" s="911">
        <v>222674.583333333</v>
      </c>
      <c r="G79" s="220">
        <v>124341.583333333</v>
      </c>
      <c r="H79" s="914">
        <f t="shared" si="22"/>
        <v>347016.166666666</v>
      </c>
      <c r="I79" s="220">
        <f t="shared" si="23"/>
        <v>83850.833333333</v>
      </c>
      <c r="J79" s="912">
        <v>21053.2266666667</v>
      </c>
      <c r="K79" s="912">
        <f t="shared" si="24"/>
        <v>27761.2933333333</v>
      </c>
      <c r="L79" s="912">
        <f t="shared" si="25"/>
        <v>6708.06666666658</v>
      </c>
      <c r="M79" s="912"/>
      <c r="N79" s="912">
        <f>0.025*F79</f>
        <v>5566.86458333332</v>
      </c>
      <c r="O79" s="912">
        <f t="shared" si="26"/>
        <v>5566.86458333332</v>
      </c>
      <c r="P79" s="912">
        <f t="shared" si="27"/>
        <v>333135.52</v>
      </c>
      <c r="Q79" s="912"/>
    </row>
    <row r="80" customHeight="1" spans="1:17">
      <c r="A80" s="10">
        <v>6</v>
      </c>
      <c r="B80" s="11" t="s">
        <v>203</v>
      </c>
      <c r="C80" s="4" t="s">
        <v>204</v>
      </c>
      <c r="D80" s="10" t="s">
        <v>108</v>
      </c>
      <c r="E80" s="85">
        <v>230631.916666667</v>
      </c>
      <c r="F80" s="911">
        <v>196364.416666667</v>
      </c>
      <c r="G80" s="220">
        <v>105546.333333333</v>
      </c>
      <c r="H80" s="914">
        <f t="shared" si="22"/>
        <v>301910.75</v>
      </c>
      <c r="I80" s="220">
        <f t="shared" si="23"/>
        <v>71278.833333333</v>
      </c>
      <c r="J80" s="912">
        <v>17956.78</v>
      </c>
      <c r="K80" s="912">
        <f t="shared" si="24"/>
        <v>24152.86</v>
      </c>
      <c r="L80" s="912">
        <f t="shared" si="25"/>
        <v>6196.08</v>
      </c>
      <c r="M80" s="912"/>
      <c r="N80" s="912"/>
      <c r="O80" s="912">
        <f t="shared" si="26"/>
        <v>0</v>
      </c>
      <c r="P80" s="912">
        <f t="shared" si="27"/>
        <v>289834.32</v>
      </c>
      <c r="Q80" s="912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28">SUM(E75:E80)</f>
        <v>3347837.16666667</v>
      </c>
      <c r="F81" s="915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56"/>
      <c r="F82" s="916"/>
      <c r="G82" s="156"/>
      <c r="H82" s="220"/>
      <c r="I82" s="220"/>
      <c r="J82" s="912"/>
      <c r="K82" s="912"/>
      <c r="L82" s="912"/>
      <c r="M82" s="912"/>
      <c r="N82" s="912"/>
      <c r="O82" s="912"/>
      <c r="P82" s="912"/>
      <c r="Q82" s="912"/>
    </row>
    <row r="83" customHeight="1" spans="1:17">
      <c r="A83" s="10"/>
      <c r="B83" s="20" t="s">
        <v>205</v>
      </c>
      <c r="C83" s="25"/>
      <c r="D83" s="21"/>
      <c r="E83" s="156"/>
      <c r="F83" s="916"/>
      <c r="G83" s="156"/>
      <c r="H83" s="220"/>
      <c r="I83" s="220"/>
      <c r="J83" s="912"/>
      <c r="K83" s="912"/>
      <c r="L83" s="912"/>
      <c r="M83" s="912"/>
      <c r="N83" s="912"/>
      <c r="O83" s="912"/>
      <c r="P83" s="912"/>
      <c r="Q83" s="912"/>
    </row>
    <row r="84" customHeight="1" spans="1:17">
      <c r="A84" s="10">
        <v>1</v>
      </c>
      <c r="B84" s="11" t="s">
        <v>206</v>
      </c>
      <c r="C84" s="4" t="s">
        <v>145</v>
      </c>
      <c r="D84" s="10" t="s">
        <v>304</v>
      </c>
      <c r="E84" s="85">
        <f>'[3]Annual &amp; Monthly'!$H$44</f>
        <v>1352042.66666667</v>
      </c>
      <c r="F84" s="911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295569.333333333</v>
      </c>
      <c r="J84" s="912">
        <v>114857.6</v>
      </c>
      <c r="K84" s="912">
        <f t="shared" si="24"/>
        <v>131808.96</v>
      </c>
      <c r="L84" s="912">
        <f t="shared" si="25"/>
        <v>16951.3599999998</v>
      </c>
      <c r="M84" s="912">
        <v>18254.975</v>
      </c>
      <c r="N84" s="912">
        <f>0.025*F84</f>
        <v>25644.2083333333</v>
      </c>
      <c r="O84" s="912">
        <f t="shared" si="26"/>
        <v>7389.2333333333</v>
      </c>
      <c r="P84" s="912">
        <f>12*K84</f>
        <v>1581707.52</v>
      </c>
      <c r="Q84" s="912">
        <f>N84*12</f>
        <v>307730.499999999</v>
      </c>
    </row>
    <row r="85" customHeight="1" spans="1:17">
      <c r="A85" s="10">
        <v>2</v>
      </c>
      <c r="B85" s="11" t="s">
        <v>208</v>
      </c>
      <c r="C85" s="4" t="s">
        <v>209</v>
      </c>
      <c r="D85" s="10" t="s">
        <v>143</v>
      </c>
      <c r="E85" s="85">
        <v>716034</v>
      </c>
      <c r="F85" s="911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2">
        <v>59136.2866666667</v>
      </c>
      <c r="K85" s="912">
        <f t="shared" si="24"/>
        <v>68216.8866666666</v>
      </c>
      <c r="L85" s="912">
        <f t="shared" si="25"/>
        <v>9080.59999999994</v>
      </c>
      <c r="M85" s="912"/>
      <c r="N85" s="912"/>
      <c r="O85" s="912">
        <f t="shared" si="26"/>
        <v>0</v>
      </c>
      <c r="P85" s="912">
        <f t="shared" ref="P85:P93" si="30">12*K85</f>
        <v>818602.64</v>
      </c>
      <c r="Q85" s="912"/>
    </row>
    <row r="86" customHeight="1" spans="1:17">
      <c r="A86" s="10">
        <v>3</v>
      </c>
      <c r="B86" s="11" t="s">
        <v>479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2">
        <v>46569.4466666667</v>
      </c>
      <c r="K86" s="912">
        <f t="shared" si="24"/>
        <v>57807.64</v>
      </c>
      <c r="L86" s="912">
        <f t="shared" si="25"/>
        <v>11238.1933333333</v>
      </c>
      <c r="M86" s="912"/>
      <c r="N86" s="912"/>
      <c r="O86" s="912">
        <f t="shared" si="26"/>
        <v>0</v>
      </c>
      <c r="P86" s="912">
        <f t="shared" si="30"/>
        <v>693691.68</v>
      </c>
      <c r="Q86" s="912"/>
    </row>
    <row r="87" ht="21.6" customHeight="1" spans="1:17">
      <c r="A87" s="10">
        <v>4</v>
      </c>
      <c r="B87" s="11" t="s">
        <v>211</v>
      </c>
      <c r="C87" s="4" t="s">
        <v>52</v>
      </c>
      <c r="D87" s="15" t="s">
        <v>214</v>
      </c>
      <c r="E87" s="85">
        <v>456622.25</v>
      </c>
      <c r="F87" s="911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2">
        <v>35344.3933333333</v>
      </c>
      <c r="K87" s="912">
        <f t="shared" si="24"/>
        <v>44653.22</v>
      </c>
      <c r="L87" s="912">
        <f t="shared" si="25"/>
        <v>9308.82666666667</v>
      </c>
      <c r="M87" s="912"/>
      <c r="N87" s="912"/>
      <c r="O87" s="912">
        <f t="shared" si="26"/>
        <v>0</v>
      </c>
      <c r="P87" s="912">
        <f t="shared" si="30"/>
        <v>535838.64</v>
      </c>
      <c r="Q87" s="912"/>
    </row>
    <row r="88" ht="21.6" customHeight="1" spans="1:17">
      <c r="A88" s="10">
        <v>5</v>
      </c>
      <c r="B88" s="11" t="s">
        <v>212</v>
      </c>
      <c r="C88" s="4" t="s">
        <v>52</v>
      </c>
      <c r="D88" s="15" t="s">
        <v>214</v>
      </c>
      <c r="E88" s="85">
        <v>456622.25</v>
      </c>
      <c r="F88" s="911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2">
        <v>35419.72</v>
      </c>
      <c r="K88" s="912">
        <f t="shared" si="24"/>
        <v>44653.3</v>
      </c>
      <c r="L88" s="912">
        <f t="shared" si="25"/>
        <v>9233.57999999997</v>
      </c>
      <c r="M88" s="912"/>
      <c r="N88" s="912">
        <f>0.025*F88</f>
        <v>8692.92291666667</v>
      </c>
      <c r="O88" s="912">
        <f t="shared" si="26"/>
        <v>8692.92291666667</v>
      </c>
      <c r="P88" s="912">
        <f t="shared" si="30"/>
        <v>535839.6</v>
      </c>
      <c r="Q88" s="912">
        <f>N88*12</f>
        <v>104315.075</v>
      </c>
    </row>
    <row r="89" ht="21.6" customHeight="1" spans="1:17">
      <c r="A89" s="10">
        <v>6</v>
      </c>
      <c r="B89" s="11" t="s">
        <v>213</v>
      </c>
      <c r="C89" s="12" t="s">
        <v>52</v>
      </c>
      <c r="D89" s="15" t="s">
        <v>53</v>
      </c>
      <c r="E89" s="85">
        <v>442746.5</v>
      </c>
      <c r="F89" s="911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2">
        <v>34309.66</v>
      </c>
      <c r="K89" s="912">
        <f t="shared" si="24"/>
        <v>43393.56</v>
      </c>
      <c r="L89" s="912">
        <f t="shared" si="25"/>
        <v>9083.89999999999</v>
      </c>
      <c r="M89" s="912"/>
      <c r="N89" s="912"/>
      <c r="O89" s="912">
        <f t="shared" si="26"/>
        <v>0</v>
      </c>
      <c r="P89" s="912">
        <f t="shared" si="30"/>
        <v>520722.72</v>
      </c>
      <c r="Q89" s="912"/>
    </row>
    <row r="90" ht="21.6" customHeight="1" spans="1:17">
      <c r="A90" s="10">
        <v>7</v>
      </c>
      <c r="B90" s="11" t="s">
        <v>215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2">
        <v>29256.3066666667</v>
      </c>
      <c r="K90" s="912">
        <f t="shared" si="24"/>
        <v>37506.2533333334</v>
      </c>
      <c r="L90" s="912">
        <f t="shared" si="25"/>
        <v>8249.94666666666</v>
      </c>
      <c r="M90" s="912"/>
      <c r="N90" s="912"/>
      <c r="O90" s="912">
        <f t="shared" si="26"/>
        <v>0</v>
      </c>
      <c r="P90" s="912">
        <f t="shared" si="30"/>
        <v>450075.04</v>
      </c>
      <c r="Q90" s="912"/>
    </row>
    <row r="91" ht="21.6" customHeight="1" spans="1:17">
      <c r="A91" s="10">
        <v>8</v>
      </c>
      <c r="B91" s="11" t="s">
        <v>216</v>
      </c>
      <c r="C91" s="17" t="s">
        <v>217</v>
      </c>
      <c r="D91" s="15" t="s">
        <v>64</v>
      </c>
      <c r="E91" s="85">
        <v>403137.916666667</v>
      </c>
      <c r="F91" s="911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2">
        <v>31219.9133333333</v>
      </c>
      <c r="K91" s="912">
        <f t="shared" si="24"/>
        <v>39797.82</v>
      </c>
      <c r="L91" s="912">
        <f t="shared" si="25"/>
        <v>8577.9066666667</v>
      </c>
      <c r="M91" s="912">
        <v>5259.74375</v>
      </c>
      <c r="N91" s="912">
        <f>0.025*F91</f>
        <v>7791.83125</v>
      </c>
      <c r="O91" s="912">
        <f t="shared" si="26"/>
        <v>2532.0875</v>
      </c>
      <c r="P91" s="912">
        <f t="shared" si="30"/>
        <v>477573.84</v>
      </c>
      <c r="Q91" s="912">
        <f>N91*12</f>
        <v>93501.975</v>
      </c>
    </row>
    <row r="92" ht="21.6" customHeight="1" spans="1:17">
      <c r="A92" s="10">
        <v>9</v>
      </c>
      <c r="B92" s="11" t="s">
        <v>220</v>
      </c>
      <c r="C92" s="4" t="s">
        <v>221</v>
      </c>
      <c r="D92" s="10" t="s">
        <v>78</v>
      </c>
      <c r="E92" s="220">
        <v>308901.5</v>
      </c>
      <c r="F92" s="911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2">
        <v>24077.2466666667</v>
      </c>
      <c r="K92" s="912">
        <f t="shared" si="24"/>
        <v>31210.8666666667</v>
      </c>
      <c r="L92" s="912">
        <f t="shared" si="25"/>
        <v>7133.62000000002</v>
      </c>
      <c r="M92" s="912"/>
      <c r="N92" s="912"/>
      <c r="O92" s="912">
        <f t="shared" si="26"/>
        <v>0</v>
      </c>
      <c r="P92" s="912">
        <f t="shared" si="30"/>
        <v>374530.400000001</v>
      </c>
      <c r="Q92" s="912"/>
    </row>
    <row r="93" ht="21.6" customHeight="1" spans="1:17">
      <c r="A93" s="10">
        <v>10</v>
      </c>
      <c r="B93" s="11" t="s">
        <v>224</v>
      </c>
      <c r="C93" s="17" t="s">
        <v>505</v>
      </c>
      <c r="D93" s="15" t="s">
        <v>105</v>
      </c>
      <c r="E93" s="220">
        <v>236804.083333333</v>
      </c>
      <c r="F93" s="911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2">
        <v>18450.5533333333</v>
      </c>
      <c r="K93" s="912">
        <f t="shared" si="24"/>
        <v>24713.6533333334</v>
      </c>
      <c r="L93" s="912">
        <f t="shared" si="25"/>
        <v>6263.10000000006</v>
      </c>
      <c r="M93" s="912"/>
      <c r="N93" s="912">
        <f>0.025*F93</f>
        <v>5013.73541666668</v>
      </c>
      <c r="O93" s="912">
        <f t="shared" si="26"/>
        <v>5013.73541666668</v>
      </c>
      <c r="P93" s="912">
        <f t="shared" si="30"/>
        <v>296563.84</v>
      </c>
      <c r="Q93" s="912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31">SUM(E84:E93)</f>
        <v>5352203.16666667</v>
      </c>
      <c r="F94" s="915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56"/>
      <c r="F95" s="916"/>
      <c r="G95" s="156"/>
      <c r="H95" s="220"/>
      <c r="I95" s="220"/>
      <c r="J95" s="912"/>
      <c r="K95" s="912"/>
      <c r="L95" s="912"/>
      <c r="M95" s="912"/>
      <c r="N95" s="912"/>
      <c r="O95" s="912"/>
      <c r="P95" s="912"/>
      <c r="Q95" s="912"/>
    </row>
    <row r="96" customHeight="1" spans="1:17">
      <c r="A96" s="10"/>
      <c r="B96" s="20" t="s">
        <v>226</v>
      </c>
      <c r="C96" s="21"/>
      <c r="D96" s="21"/>
      <c r="E96" s="156"/>
      <c r="F96" s="916"/>
      <c r="G96" s="156"/>
      <c r="H96" s="220"/>
      <c r="I96" s="220"/>
      <c r="J96" s="912"/>
      <c r="K96" s="912"/>
      <c r="L96" s="912"/>
      <c r="M96" s="912"/>
      <c r="N96" s="912"/>
      <c r="O96" s="912"/>
      <c r="P96" s="912"/>
      <c r="Q96" s="912"/>
    </row>
    <row r="97" customHeight="1" spans="1:17">
      <c r="A97" s="10">
        <v>1</v>
      </c>
      <c r="B97" s="14" t="s">
        <v>227</v>
      </c>
      <c r="C97" s="4" t="s">
        <v>650</v>
      </c>
      <c r="D97" s="16" t="s">
        <v>140</v>
      </c>
      <c r="E97" s="85">
        <v>1393881.33333333</v>
      </c>
      <c r="F97" s="911">
        <v>1056272.83333333</v>
      </c>
      <c r="G97" s="220">
        <v>641086.5</v>
      </c>
      <c r="H97" s="914">
        <f>F97+G97</f>
        <v>1697359.33333333</v>
      </c>
      <c r="I97" s="220">
        <f t="shared" si="23"/>
        <v>303478</v>
      </c>
      <c r="J97" s="912">
        <v>114857.6</v>
      </c>
      <c r="K97" s="912">
        <f t="shared" si="24"/>
        <v>135788.746666666</v>
      </c>
      <c r="L97" s="912">
        <f t="shared" si="25"/>
        <v>20931.1466666664</v>
      </c>
      <c r="M97" s="912">
        <v>18254.975</v>
      </c>
      <c r="N97" s="912">
        <f>0.025*F97</f>
        <v>26406.8208333333</v>
      </c>
      <c r="O97" s="912">
        <f t="shared" si="26"/>
        <v>8151.8458333333</v>
      </c>
      <c r="P97" s="912">
        <f>12*K97</f>
        <v>1629464.95999999</v>
      </c>
      <c r="Q97" s="912">
        <f>N97*12</f>
        <v>316881.849999999</v>
      </c>
    </row>
    <row r="98" customHeight="1" spans="1:17">
      <c r="A98" s="10">
        <v>2</v>
      </c>
      <c r="B98" s="11" t="s">
        <v>229</v>
      </c>
      <c r="C98" s="4" t="s">
        <v>230</v>
      </c>
      <c r="D98" s="15" t="s">
        <v>47</v>
      </c>
      <c r="E98" s="85">
        <v>470498</v>
      </c>
      <c r="F98" s="911">
        <v>357066.666666667</v>
      </c>
      <c r="G98" s="220">
        <v>216844.416666667</v>
      </c>
      <c r="H98" s="914">
        <f>F98+G98</f>
        <v>573911.083333334</v>
      </c>
      <c r="I98" s="220">
        <f t="shared" si="23"/>
        <v>103413.083333334</v>
      </c>
      <c r="J98" s="912">
        <v>36529.78</v>
      </c>
      <c r="K98" s="912">
        <f t="shared" si="24"/>
        <v>45912.8866666667</v>
      </c>
      <c r="L98" s="912">
        <f t="shared" si="25"/>
        <v>9383.10666666672</v>
      </c>
      <c r="M98" s="912"/>
      <c r="N98" s="912"/>
      <c r="O98" s="912">
        <f t="shared" si="26"/>
        <v>0</v>
      </c>
      <c r="P98" s="912">
        <f>12*K98</f>
        <v>550954.64</v>
      </c>
      <c r="Q98" s="912">
        <f>N98*12</f>
        <v>0</v>
      </c>
    </row>
    <row r="99" customHeight="1" spans="1:17">
      <c r="A99" s="10">
        <v>3</v>
      </c>
      <c r="B99" s="11" t="s">
        <v>231</v>
      </c>
      <c r="C99" s="12" t="s">
        <v>232</v>
      </c>
      <c r="D99" s="15" t="s">
        <v>64</v>
      </c>
      <c r="E99" s="85">
        <v>403137.916666667</v>
      </c>
      <c r="F99" s="911">
        <v>311673.25</v>
      </c>
      <c r="G99" s="220">
        <v>185799.5</v>
      </c>
      <c r="H99" s="914">
        <f>F99+G99</f>
        <v>497472.75</v>
      </c>
      <c r="I99" s="220">
        <f t="shared" si="23"/>
        <v>94334.833333333</v>
      </c>
      <c r="J99" s="912">
        <v>31219.91</v>
      </c>
      <c r="K99" s="912">
        <f t="shared" si="24"/>
        <v>39797.82</v>
      </c>
      <c r="L99" s="912">
        <f t="shared" si="25"/>
        <v>8577.91</v>
      </c>
      <c r="M99" s="912">
        <v>5967.30625</v>
      </c>
      <c r="N99" s="912">
        <f>0.025*F99</f>
        <v>7791.83125</v>
      </c>
      <c r="O99" s="912">
        <f t="shared" si="26"/>
        <v>1824.525</v>
      </c>
      <c r="P99" s="912">
        <f>12*K99</f>
        <v>477573.84</v>
      </c>
      <c r="Q99" s="912">
        <f>N99*12</f>
        <v>93501.975</v>
      </c>
    </row>
    <row r="100" customHeight="1" spans="1:17">
      <c r="A100" s="10">
        <v>4</v>
      </c>
      <c r="B100" s="11" t="s">
        <v>235</v>
      </c>
      <c r="C100" s="4" t="s">
        <v>651</v>
      </c>
      <c r="D100" s="15" t="s">
        <v>173</v>
      </c>
      <c r="E100" s="85">
        <v>390086.5</v>
      </c>
      <c r="F100" s="911">
        <v>302878.666666667</v>
      </c>
      <c r="G100" s="220">
        <v>179784</v>
      </c>
      <c r="H100" s="914">
        <f>F100+G100</f>
        <v>482662.666666667</v>
      </c>
      <c r="I100" s="220">
        <f t="shared" si="23"/>
        <v>92576.166666667</v>
      </c>
      <c r="J100" s="912">
        <v>30231.6133333333</v>
      </c>
      <c r="K100" s="912">
        <f t="shared" si="24"/>
        <v>38613.0133333334</v>
      </c>
      <c r="L100" s="912">
        <f t="shared" si="25"/>
        <v>8381.40000000006</v>
      </c>
      <c r="M100" s="912"/>
      <c r="N100" s="912"/>
      <c r="O100" s="912">
        <f t="shared" si="26"/>
        <v>0</v>
      </c>
      <c r="P100" s="912">
        <f>12*K100</f>
        <v>463356.160000001</v>
      </c>
      <c r="Q100" s="912">
        <f>N100*12</f>
        <v>0</v>
      </c>
    </row>
    <row r="101" customHeight="1" spans="1:17">
      <c r="A101" s="10">
        <v>5</v>
      </c>
      <c r="B101" s="11" t="s">
        <v>236</v>
      </c>
      <c r="C101" s="4" t="s">
        <v>200</v>
      </c>
      <c r="D101" s="15" t="s">
        <v>78</v>
      </c>
      <c r="E101" s="220">
        <v>308901.5</v>
      </c>
      <c r="F101" s="911">
        <v>246171.166666667</v>
      </c>
      <c r="G101" s="220">
        <v>143964.666666667</v>
      </c>
      <c r="H101" s="914">
        <f>F101+G101</f>
        <v>390135.833333334</v>
      </c>
      <c r="I101" s="220">
        <f t="shared" si="23"/>
        <v>81234.333333334</v>
      </c>
      <c r="J101" s="912">
        <v>24077.2466666667</v>
      </c>
      <c r="K101" s="912">
        <f t="shared" si="24"/>
        <v>31210.8666666667</v>
      </c>
      <c r="L101" s="912">
        <f t="shared" si="25"/>
        <v>7133.62000000002</v>
      </c>
      <c r="M101" s="912"/>
      <c r="N101" s="912"/>
      <c r="O101" s="912">
        <f t="shared" si="26"/>
        <v>0</v>
      </c>
      <c r="P101" s="912">
        <f>12*K101</f>
        <v>374530.4</v>
      </c>
      <c r="Q101" s="912">
        <f>N101*12</f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32">SUM(E97:E101)</f>
        <v>2966505.25</v>
      </c>
      <c r="F102" s="915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56"/>
      <c r="F103" s="916"/>
      <c r="G103" s="156"/>
      <c r="H103" s="220"/>
      <c r="I103" s="220"/>
      <c r="J103" s="912"/>
      <c r="K103" s="912"/>
      <c r="L103" s="912"/>
      <c r="M103" s="912"/>
      <c r="N103" s="912"/>
      <c r="O103" s="912"/>
      <c r="P103" s="912"/>
      <c r="Q103" s="912"/>
    </row>
    <row r="104" customHeight="1" spans="1:17">
      <c r="A104" s="4"/>
      <c r="B104" s="20" t="s">
        <v>239</v>
      </c>
      <c r="C104" s="4"/>
      <c r="D104" s="4"/>
      <c r="E104" s="4"/>
      <c r="F104" s="917"/>
      <c r="G104" s="4"/>
      <c r="H104" s="220"/>
      <c r="I104" s="220"/>
      <c r="J104" s="912"/>
      <c r="K104" s="912"/>
      <c r="L104" s="912"/>
      <c r="M104" s="912"/>
      <c r="N104" s="912"/>
      <c r="O104" s="912"/>
      <c r="P104" s="912"/>
      <c r="Q104" s="912"/>
    </row>
    <row r="105" customHeight="1" spans="1:17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911">
        <v>1086777.08333333</v>
      </c>
      <c r="G105" s="220">
        <v>660329.333333333</v>
      </c>
      <c r="H105" s="914">
        <f>F105+G105</f>
        <v>1747106.41666666</v>
      </c>
      <c r="I105" s="220">
        <f t="shared" ref="I105:I136" si="33">H105-E105</f>
        <v>311386.41666666</v>
      </c>
      <c r="J105" s="912">
        <v>114857.6</v>
      </c>
      <c r="K105" s="912">
        <f t="shared" ref="K105:K111" si="34">H105*0.08</f>
        <v>139768.513333333</v>
      </c>
      <c r="L105" s="912">
        <f>K105-J105</f>
        <v>24910.9133333328</v>
      </c>
      <c r="M105" s="912">
        <v>0</v>
      </c>
      <c r="N105" s="912"/>
      <c r="O105" s="912">
        <f t="shared" ref="O105:O136" si="35">N105-M105</f>
        <v>0</v>
      </c>
      <c r="P105" s="912">
        <f>K105*12</f>
        <v>1677222.16</v>
      </c>
      <c r="Q105" s="912"/>
    </row>
    <row r="106" customHeight="1" spans="1:17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911">
        <v>554669.5</v>
      </c>
      <c r="G106" s="220">
        <v>350637.25</v>
      </c>
      <c r="H106" s="914">
        <f t="shared" ref="H106:H111" si="36">F106+G106</f>
        <v>905306.75</v>
      </c>
      <c r="I106" s="220">
        <f t="shared" si="33"/>
        <v>142933.583333333</v>
      </c>
      <c r="J106" s="912">
        <v>60989.8533333333</v>
      </c>
      <c r="K106" s="912">
        <f t="shared" si="34"/>
        <v>72424.54</v>
      </c>
      <c r="L106" s="912">
        <f t="shared" ref="L106:L117" si="37">K106-J106</f>
        <v>11434.6866666667</v>
      </c>
      <c r="M106" s="912">
        <v>10293.3979166667</v>
      </c>
      <c r="N106" s="912">
        <f t="shared" ref="N106:N111" si="38">0.025*F106</f>
        <v>13866.7375</v>
      </c>
      <c r="O106" s="912">
        <f t="shared" si="35"/>
        <v>3573.3395833333</v>
      </c>
      <c r="P106" s="912">
        <f t="shared" ref="P106:P111" si="39">K106*12</f>
        <v>869094.48</v>
      </c>
      <c r="Q106" s="912">
        <f>N106*12</f>
        <v>166400.85</v>
      </c>
    </row>
    <row r="107" customHeight="1" spans="1:17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911">
        <v>337730.833333333</v>
      </c>
      <c r="G107" s="220">
        <v>203620.5</v>
      </c>
      <c r="H107" s="914">
        <f t="shared" si="36"/>
        <v>541351.333333333</v>
      </c>
      <c r="I107" s="220">
        <f t="shared" si="33"/>
        <v>99546.416666666</v>
      </c>
      <c r="J107" s="912">
        <v>35344.3933333333</v>
      </c>
      <c r="K107" s="912">
        <f t="shared" si="34"/>
        <v>43308.1066666666</v>
      </c>
      <c r="L107" s="912">
        <f t="shared" si="37"/>
        <v>7963.71333333335</v>
      </c>
      <c r="M107" s="912">
        <v>5954.61041666667</v>
      </c>
      <c r="N107" s="912">
        <f t="shared" si="38"/>
        <v>8443.27083333333</v>
      </c>
      <c r="O107" s="912">
        <f t="shared" si="35"/>
        <v>2488.66041666666</v>
      </c>
      <c r="P107" s="912">
        <f t="shared" si="39"/>
        <v>519697.28</v>
      </c>
      <c r="Q107" s="912">
        <f>N107*12</f>
        <v>101319.25</v>
      </c>
    </row>
    <row r="108" customHeight="1" spans="1:17">
      <c r="A108" s="4">
        <v>4</v>
      </c>
      <c r="B108" s="11" t="s">
        <v>246</v>
      </c>
      <c r="C108" s="4" t="s">
        <v>653</v>
      </c>
      <c r="D108" s="10" t="s">
        <v>600</v>
      </c>
      <c r="E108" s="85">
        <v>441804.916666667</v>
      </c>
      <c r="F108" s="911">
        <v>338365.25</v>
      </c>
      <c r="G108" s="220">
        <v>204054.25</v>
      </c>
      <c r="H108" s="914">
        <f t="shared" si="36"/>
        <v>542419.5</v>
      </c>
      <c r="I108" s="220">
        <f t="shared" si="33"/>
        <v>100614.583333333</v>
      </c>
      <c r="J108" s="912">
        <v>35344.3933333333</v>
      </c>
      <c r="K108" s="912">
        <f t="shared" si="34"/>
        <v>43393.56</v>
      </c>
      <c r="L108" s="912">
        <f t="shared" si="37"/>
        <v>8049.1666666667</v>
      </c>
      <c r="M108" s="912"/>
      <c r="N108" s="912"/>
      <c r="O108" s="912">
        <f t="shared" si="35"/>
        <v>0</v>
      </c>
      <c r="P108" s="912">
        <f t="shared" si="39"/>
        <v>520722.72</v>
      </c>
      <c r="Q108" s="912"/>
    </row>
    <row r="109" customHeight="1" spans="1:17">
      <c r="A109" s="4">
        <v>5</v>
      </c>
      <c r="B109" s="11" t="s">
        <v>249</v>
      </c>
      <c r="C109" s="4" t="s">
        <v>250</v>
      </c>
      <c r="D109" s="15" t="s">
        <v>603</v>
      </c>
      <c r="E109" s="220">
        <v>255320.583333333</v>
      </c>
      <c r="F109" s="911">
        <v>213104.416666667</v>
      </c>
      <c r="G109" s="220">
        <v>116846</v>
      </c>
      <c r="H109" s="914">
        <f t="shared" si="36"/>
        <v>329950.416666667</v>
      </c>
      <c r="I109" s="220">
        <f t="shared" si="33"/>
        <v>74629.833333334</v>
      </c>
      <c r="J109" s="912">
        <v>19931.8733333333</v>
      </c>
      <c r="K109" s="912">
        <f t="shared" si="34"/>
        <v>26396.0333333334</v>
      </c>
      <c r="L109" s="912">
        <f t="shared" si="37"/>
        <v>6464.16000000006</v>
      </c>
      <c r="M109" s="912"/>
      <c r="N109" s="912"/>
      <c r="O109" s="912">
        <f t="shared" si="35"/>
        <v>0</v>
      </c>
      <c r="P109" s="912">
        <f t="shared" si="39"/>
        <v>316752.4</v>
      </c>
      <c r="Q109" s="912"/>
    </row>
    <row r="110" customHeight="1" spans="1:17">
      <c r="A110" s="4">
        <v>6</v>
      </c>
      <c r="B110" s="18" t="s">
        <v>252</v>
      </c>
      <c r="C110" s="4" t="s">
        <v>250</v>
      </c>
      <c r="D110" s="10" t="s">
        <v>225</v>
      </c>
      <c r="E110" s="220">
        <v>255849</v>
      </c>
      <c r="F110" s="911">
        <v>212792.166666667</v>
      </c>
      <c r="G110" s="220">
        <v>117614.916666667</v>
      </c>
      <c r="H110" s="914">
        <f t="shared" si="36"/>
        <v>330407.083333334</v>
      </c>
      <c r="I110" s="220">
        <f t="shared" si="33"/>
        <v>74558.083333334</v>
      </c>
      <c r="J110" s="912">
        <v>21053.2266666667</v>
      </c>
      <c r="K110" s="912">
        <f t="shared" si="34"/>
        <v>26432.5666666667</v>
      </c>
      <c r="L110" s="912">
        <f t="shared" si="37"/>
        <v>5379.34000000002</v>
      </c>
      <c r="M110" s="912"/>
      <c r="N110" s="912"/>
      <c r="O110" s="912">
        <f t="shared" si="35"/>
        <v>0</v>
      </c>
      <c r="P110" s="912">
        <f t="shared" si="39"/>
        <v>317190.800000001</v>
      </c>
      <c r="Q110" s="912"/>
    </row>
    <row r="111" customHeight="1" spans="1:17">
      <c r="A111" s="4">
        <v>7</v>
      </c>
      <c r="B111" s="18" t="s">
        <v>253</v>
      </c>
      <c r="C111" s="4" t="s">
        <v>250</v>
      </c>
      <c r="D111" s="15" t="s">
        <v>105</v>
      </c>
      <c r="E111" s="220">
        <v>236804.083333333</v>
      </c>
      <c r="F111" s="911">
        <v>200549.416666667</v>
      </c>
      <c r="G111" s="220">
        <v>108371.25</v>
      </c>
      <c r="H111" s="914">
        <f t="shared" si="36"/>
        <v>308920.666666667</v>
      </c>
      <c r="I111" s="220">
        <f t="shared" si="33"/>
        <v>72116.583333334</v>
      </c>
      <c r="J111" s="912">
        <v>18450.5533333333</v>
      </c>
      <c r="K111" s="912">
        <f t="shared" si="34"/>
        <v>24713.6533333334</v>
      </c>
      <c r="L111" s="912">
        <f t="shared" si="37"/>
        <v>6263.10000000006</v>
      </c>
      <c r="M111" s="912"/>
      <c r="N111" s="912">
        <f t="shared" si="38"/>
        <v>5013.73541666668</v>
      </c>
      <c r="O111" s="912">
        <f t="shared" si="35"/>
        <v>5013.73541666668</v>
      </c>
      <c r="P111" s="912">
        <f t="shared" si="39"/>
        <v>296563.84</v>
      </c>
      <c r="Q111" s="912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21"/>
      <c r="I113" s="220"/>
      <c r="J113" s="912"/>
      <c r="K113" s="912"/>
      <c r="L113" s="912"/>
      <c r="M113" s="912"/>
      <c r="N113" s="912"/>
      <c r="O113" s="912"/>
      <c r="P113" s="912"/>
      <c r="Q113" s="912"/>
    </row>
    <row r="114" customHeight="1" spans="1:17">
      <c r="A114" s="10"/>
      <c r="B114" s="20" t="s">
        <v>257</v>
      </c>
      <c r="C114" s="21"/>
      <c r="D114" s="21"/>
      <c r="E114" s="156"/>
      <c r="F114" s="916"/>
      <c r="G114" s="156"/>
      <c r="H114" s="220"/>
      <c r="I114" s="220"/>
      <c r="J114" s="912"/>
      <c r="K114" s="912"/>
      <c r="L114" s="912"/>
      <c r="M114" s="912"/>
      <c r="N114" s="912"/>
      <c r="O114" s="912"/>
      <c r="P114" s="912"/>
      <c r="Q114" s="912"/>
    </row>
    <row r="115" ht="18.75" customHeight="1" spans="1:17">
      <c r="A115" s="10">
        <v>1</v>
      </c>
      <c r="B115" s="11" t="s">
        <v>259</v>
      </c>
      <c r="C115" s="4" t="s">
        <v>260</v>
      </c>
      <c r="D115" s="15" t="s">
        <v>173</v>
      </c>
      <c r="E115" s="85">
        <v>390086.5</v>
      </c>
      <c r="F115" s="911">
        <v>302878.666666667</v>
      </c>
      <c r="G115" s="220">
        <v>179784</v>
      </c>
      <c r="H115" s="914">
        <f>F115+G115</f>
        <v>482662.666666667</v>
      </c>
      <c r="I115" s="220">
        <f t="shared" si="33"/>
        <v>92576.166666667</v>
      </c>
      <c r="J115" s="912">
        <v>30231.6133333333</v>
      </c>
      <c r="K115" s="912">
        <f>H115*0.08</f>
        <v>38613.0133333334</v>
      </c>
      <c r="L115" s="912">
        <f t="shared" si="37"/>
        <v>8381.40000000006</v>
      </c>
      <c r="M115" s="912"/>
      <c r="N115" s="912"/>
      <c r="O115" s="912">
        <f t="shared" si="35"/>
        <v>0</v>
      </c>
      <c r="P115" s="912">
        <f>12*K115</f>
        <v>463356.160000001</v>
      </c>
      <c r="Q115" s="912"/>
    </row>
    <row r="116" ht="18.75" customHeight="1" spans="1:17">
      <c r="A116" s="10">
        <v>2</v>
      </c>
      <c r="B116" s="11" t="s">
        <v>480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220">
        <v>174165.25</v>
      </c>
      <c r="H116" s="914">
        <f>F116+G116</f>
        <v>468828.166666667</v>
      </c>
      <c r="I116" s="220">
        <f t="shared" si="33"/>
        <v>90933</v>
      </c>
      <c r="J116" s="912">
        <v>30231.6133333333</v>
      </c>
      <c r="K116" s="912">
        <f>H116*0.08</f>
        <v>37506.2533333334</v>
      </c>
      <c r="L116" s="912">
        <f t="shared" si="37"/>
        <v>7274.64000000006</v>
      </c>
      <c r="M116" s="912"/>
      <c r="N116" s="912"/>
      <c r="O116" s="912">
        <f t="shared" si="35"/>
        <v>0</v>
      </c>
      <c r="P116" s="912">
        <f>12*K116</f>
        <v>450075.040000001</v>
      </c>
      <c r="Q116" s="912"/>
    </row>
    <row r="117" customHeight="1" spans="1:17">
      <c r="A117" s="10">
        <v>3</v>
      </c>
      <c r="B117" s="11" t="s">
        <v>193</v>
      </c>
      <c r="C117" s="12" t="s">
        <v>194</v>
      </c>
      <c r="D117" s="15" t="s">
        <v>67</v>
      </c>
      <c r="E117" s="85">
        <v>390248.916666667</v>
      </c>
      <c r="F117" s="911">
        <v>302987.416666667</v>
      </c>
      <c r="G117" s="220">
        <v>179859.166666667</v>
      </c>
      <c r="H117" s="914">
        <f>F117+G117</f>
        <v>482846.583333334</v>
      </c>
      <c r="I117" s="220">
        <f t="shared" si="33"/>
        <v>92597.666666667</v>
      </c>
      <c r="J117" s="912">
        <v>31219.91</v>
      </c>
      <c r="K117" s="912">
        <f>H117*0.08</f>
        <v>38627.7266666667</v>
      </c>
      <c r="L117" s="912">
        <f t="shared" si="37"/>
        <v>7407.81666666672</v>
      </c>
      <c r="M117" s="912">
        <v>5967.30625</v>
      </c>
      <c r="N117" s="912">
        <f>0.025*F117</f>
        <v>7574.68541666667</v>
      </c>
      <c r="O117" s="912">
        <f t="shared" si="35"/>
        <v>1607.37916666667</v>
      </c>
      <c r="P117" s="912">
        <f>12*K117</f>
        <v>463532.72</v>
      </c>
      <c r="Q117" s="912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41">SUM(E115:E117)</f>
        <v>1158230.58333333</v>
      </c>
      <c r="F118" s="915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5"/>
      <c r="G119" s="93"/>
      <c r="H119" s="93"/>
      <c r="I119" s="220"/>
      <c r="J119" s="912"/>
      <c r="K119" s="912"/>
      <c r="L119" s="912"/>
      <c r="M119" s="912"/>
      <c r="N119" s="912"/>
      <c r="O119" s="912"/>
      <c r="P119" s="912"/>
      <c r="Q119" s="912"/>
    </row>
    <row r="120" ht="24.75" customHeight="1" spans="1:17">
      <c r="A120" s="10"/>
      <c r="B120" s="20" t="s">
        <v>268</v>
      </c>
      <c r="C120" s="21"/>
      <c r="D120" s="21"/>
      <c r="E120" s="156"/>
      <c r="F120" s="916"/>
      <c r="G120" s="156"/>
      <c r="H120" s="220"/>
      <c r="I120" s="220"/>
      <c r="J120" s="912"/>
      <c r="K120" s="912"/>
      <c r="L120" s="912"/>
      <c r="M120" s="912"/>
      <c r="N120" s="912"/>
      <c r="O120" s="912"/>
      <c r="P120" s="912"/>
      <c r="Q120" s="912"/>
    </row>
    <row r="121" ht="24.75" customHeight="1" spans="1:17">
      <c r="A121" s="10">
        <v>2</v>
      </c>
      <c r="B121" s="11" t="s">
        <v>271</v>
      </c>
      <c r="C121" s="4" t="s">
        <v>272</v>
      </c>
      <c r="D121" s="10" t="s">
        <v>275</v>
      </c>
      <c r="E121" s="85">
        <v>218287.583333333</v>
      </c>
      <c r="F121" s="911">
        <v>187994.416666667</v>
      </c>
      <c r="G121" s="220">
        <v>99896.5</v>
      </c>
      <c r="H121" s="914">
        <f>F121+G121</f>
        <v>287890.916666667</v>
      </c>
      <c r="I121" s="220">
        <f>H121-E121</f>
        <v>69603.333333334</v>
      </c>
      <c r="J121" s="912">
        <v>17463.0066666666</v>
      </c>
      <c r="K121" s="912">
        <f>H121*0.08</f>
        <v>23031.2733333334</v>
      </c>
      <c r="L121" s="912">
        <f>K121-J121</f>
        <v>5568.26666666676</v>
      </c>
      <c r="M121" s="912"/>
      <c r="N121" s="912"/>
      <c r="O121" s="912">
        <f t="shared" si="35"/>
        <v>0</v>
      </c>
      <c r="P121" s="912">
        <f>12*K121</f>
        <v>276375.280000001</v>
      </c>
      <c r="Q121" s="912"/>
    </row>
    <row r="122" ht="24.75" customHeight="1" spans="1:17">
      <c r="A122" s="10">
        <v>3</v>
      </c>
      <c r="B122" s="11" t="s">
        <v>276</v>
      </c>
      <c r="C122" s="4" t="s">
        <v>277</v>
      </c>
      <c r="D122" s="10" t="s">
        <v>275</v>
      </c>
      <c r="E122" s="85">
        <v>218287.583333333</v>
      </c>
      <c r="F122" s="911">
        <v>187994.416666667</v>
      </c>
      <c r="G122" s="220">
        <v>99896.5</v>
      </c>
      <c r="H122" s="914">
        <f>F122+G122</f>
        <v>287890.916666667</v>
      </c>
      <c r="I122" s="220">
        <f>H122-E122</f>
        <v>69603.333333334</v>
      </c>
      <c r="J122" s="912">
        <v>17463.0066666666</v>
      </c>
      <c r="K122" s="912">
        <f>H122*0.08</f>
        <v>23031.2733333334</v>
      </c>
      <c r="L122" s="912">
        <f>K122-J122</f>
        <v>5568.26666666676</v>
      </c>
      <c r="M122" s="912"/>
      <c r="N122" s="912"/>
      <c r="O122" s="912">
        <f t="shared" si="35"/>
        <v>0</v>
      </c>
      <c r="P122" s="912">
        <f>12*K122</f>
        <v>276375.280000001</v>
      </c>
      <c r="Q122" s="912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42">SUM(E121:E122)</f>
        <v>436575.166666666</v>
      </c>
      <c r="F123" s="915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46062.5466666668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5"/>
      <c r="G124" s="93"/>
      <c r="H124" s="93"/>
      <c r="I124" s="220"/>
      <c r="J124" s="912"/>
      <c r="K124" s="912"/>
      <c r="L124" s="912"/>
      <c r="M124" s="912"/>
      <c r="N124" s="912"/>
      <c r="O124" s="912"/>
      <c r="P124" s="912"/>
      <c r="Q124" s="912"/>
    </row>
    <row r="125" customHeight="1" spans="1:17">
      <c r="A125" s="4"/>
      <c r="B125" s="20" t="s">
        <v>278</v>
      </c>
      <c r="C125" s="21"/>
      <c r="D125" s="21"/>
      <c r="E125" s="156"/>
      <c r="F125" s="916"/>
      <c r="G125" s="156"/>
      <c r="H125" s="220"/>
      <c r="I125" s="220"/>
      <c r="J125" s="912"/>
      <c r="K125" s="912"/>
      <c r="L125" s="912"/>
      <c r="M125" s="912"/>
      <c r="N125" s="912"/>
      <c r="O125" s="912"/>
      <c r="P125" s="912"/>
      <c r="Q125" s="912"/>
    </row>
    <row r="126" customHeight="1" spans="1:17">
      <c r="A126" s="4">
        <v>1</v>
      </c>
      <c r="B126" s="11" t="s">
        <v>279</v>
      </c>
      <c r="C126" s="12" t="s">
        <v>280</v>
      </c>
      <c r="D126" s="15" t="s">
        <v>124</v>
      </c>
      <c r="E126" s="85">
        <v>1435720</v>
      </c>
      <c r="F126" s="911">
        <v>1086777.08333333</v>
      </c>
      <c r="G126" s="220">
        <v>660329.333333333</v>
      </c>
      <c r="H126" s="914">
        <f t="shared" ref="H126:H135" si="43">F126+G126</f>
        <v>1747106.41666666</v>
      </c>
      <c r="I126" s="220">
        <f t="shared" ref="I126:I135" si="44">H126-E126</f>
        <v>311386.41666666</v>
      </c>
      <c r="J126" s="912">
        <v>114857.6</v>
      </c>
      <c r="K126" s="912">
        <f>H126*0.08</f>
        <v>139768.513333333</v>
      </c>
      <c r="L126" s="912">
        <f t="shared" ref="L126:L135" si="45">K126-J126</f>
        <v>24910.9133333328</v>
      </c>
      <c r="M126" s="912">
        <v>19384.7666666667</v>
      </c>
      <c r="N126" s="912">
        <f>0.025*F126</f>
        <v>27169.4270833333</v>
      </c>
      <c r="O126" s="912">
        <f t="shared" si="35"/>
        <v>7784.6604166666</v>
      </c>
      <c r="P126" s="912">
        <f>12*K126</f>
        <v>1677222.16</v>
      </c>
      <c r="Q126" s="912">
        <f>N126*12</f>
        <v>326033.124999999</v>
      </c>
    </row>
    <row r="127" customHeight="1" spans="1:17">
      <c r="A127" s="4">
        <v>2</v>
      </c>
      <c r="B127" s="11" t="s">
        <v>281</v>
      </c>
      <c r="C127" s="12" t="s">
        <v>654</v>
      </c>
      <c r="D127" s="15" t="s">
        <v>36</v>
      </c>
      <c r="E127" s="85">
        <v>762373.166666667</v>
      </c>
      <c r="F127" s="911">
        <v>554669.5</v>
      </c>
      <c r="G127" s="220">
        <v>350637.25</v>
      </c>
      <c r="H127" s="914">
        <f t="shared" si="43"/>
        <v>905306.75</v>
      </c>
      <c r="I127" s="220">
        <f t="shared" si="44"/>
        <v>142933.583333333</v>
      </c>
      <c r="J127" s="912">
        <v>59136.2866666667</v>
      </c>
      <c r="K127" s="912">
        <f t="shared" ref="K127:K135" si="46">H127*0.08</f>
        <v>72424.54</v>
      </c>
      <c r="L127" s="912">
        <f t="shared" si="45"/>
        <v>13288.2533333333</v>
      </c>
      <c r="M127" s="912">
        <v>9980.56666666667</v>
      </c>
      <c r="N127" s="912">
        <f>0.025*F127</f>
        <v>13866.7375</v>
      </c>
      <c r="O127" s="912">
        <f t="shared" si="35"/>
        <v>3886.17083333333</v>
      </c>
      <c r="P127" s="912">
        <f t="shared" ref="P127:P135" si="47">12*K127</f>
        <v>869094.48</v>
      </c>
      <c r="Q127" s="912">
        <f t="shared" ref="Q127:Q135" si="48">N127*12</f>
        <v>166400.85</v>
      </c>
    </row>
    <row r="128" customHeight="1" spans="1:17">
      <c r="A128" s="4">
        <v>3</v>
      </c>
      <c r="B128" s="14" t="s">
        <v>283</v>
      </c>
      <c r="C128" s="12" t="s">
        <v>655</v>
      </c>
      <c r="D128" s="15" t="s">
        <v>143</v>
      </c>
      <c r="E128" s="85">
        <v>716034</v>
      </c>
      <c r="F128" s="911">
        <v>523386.5</v>
      </c>
      <c r="G128" s="220">
        <v>329324.583333333</v>
      </c>
      <c r="H128" s="914">
        <f t="shared" si="43"/>
        <v>852711.083333333</v>
      </c>
      <c r="I128" s="220">
        <f t="shared" si="44"/>
        <v>136677.083333333</v>
      </c>
      <c r="J128" s="912">
        <v>59136.2866666667</v>
      </c>
      <c r="K128" s="912">
        <f t="shared" si="46"/>
        <v>68216.8866666666</v>
      </c>
      <c r="L128" s="912">
        <f t="shared" si="45"/>
        <v>9080.59999999994</v>
      </c>
      <c r="M128" s="912">
        <v>9980.56666666667</v>
      </c>
      <c r="N128" s="912">
        <f>0.025*F128</f>
        <v>13084.6625</v>
      </c>
      <c r="O128" s="912">
        <f t="shared" si="35"/>
        <v>3104.09583333333</v>
      </c>
      <c r="P128" s="912">
        <f t="shared" si="47"/>
        <v>818602.639999999</v>
      </c>
      <c r="Q128" s="912">
        <f t="shared" si="48"/>
        <v>157015.95</v>
      </c>
    </row>
    <row r="129" customHeight="1" spans="1:17">
      <c r="A129" s="4">
        <v>4</v>
      </c>
      <c r="B129" s="11" t="s">
        <v>286</v>
      </c>
      <c r="C129" s="12" t="s">
        <v>288</v>
      </c>
      <c r="D129" s="15" t="s">
        <v>192</v>
      </c>
      <c r="E129" s="85">
        <v>484373.75</v>
      </c>
      <c r="F129" s="911">
        <v>366417.5</v>
      </c>
      <c r="G129" s="220">
        <v>223239.5</v>
      </c>
      <c r="H129" s="914">
        <f t="shared" si="43"/>
        <v>589657</v>
      </c>
      <c r="I129" s="220">
        <f t="shared" si="44"/>
        <v>105283.25</v>
      </c>
      <c r="J129" s="912">
        <v>37639.84</v>
      </c>
      <c r="K129" s="912">
        <f t="shared" si="46"/>
        <v>47172.56</v>
      </c>
      <c r="L129" s="912">
        <f t="shared" si="45"/>
        <v>9532.72</v>
      </c>
      <c r="M129" s="912">
        <v>0</v>
      </c>
      <c r="N129" s="912"/>
      <c r="O129" s="912">
        <f t="shared" si="35"/>
        <v>0</v>
      </c>
      <c r="P129" s="912">
        <f t="shared" si="47"/>
        <v>566070.72</v>
      </c>
      <c r="Q129" s="912">
        <f t="shared" si="48"/>
        <v>0</v>
      </c>
    </row>
    <row r="130" customHeight="1" spans="1:17">
      <c r="A130" s="4">
        <v>5</v>
      </c>
      <c r="B130" s="11" t="s">
        <v>287</v>
      </c>
      <c r="C130" s="12" t="s">
        <v>656</v>
      </c>
      <c r="D130" s="15" t="s">
        <v>214</v>
      </c>
      <c r="E130" s="85">
        <v>456622.25</v>
      </c>
      <c r="F130" s="911">
        <v>347715.916666667</v>
      </c>
      <c r="G130" s="220">
        <v>210449.333333333</v>
      </c>
      <c r="H130" s="914">
        <f t="shared" si="43"/>
        <v>558165.25</v>
      </c>
      <c r="I130" s="220">
        <f t="shared" si="44"/>
        <v>101543</v>
      </c>
      <c r="J130" s="912">
        <v>35419.72</v>
      </c>
      <c r="K130" s="912">
        <f t="shared" si="46"/>
        <v>44653.22</v>
      </c>
      <c r="L130" s="912">
        <f t="shared" si="45"/>
        <v>9233.5</v>
      </c>
      <c r="M130" s="912">
        <v>5967.30625</v>
      </c>
      <c r="N130" s="912">
        <f t="shared" ref="N130:N135" si="49">0.025*F130</f>
        <v>8692.89791666667</v>
      </c>
      <c r="O130" s="912">
        <f t="shared" si="35"/>
        <v>2725.59166666667</v>
      </c>
      <c r="P130" s="912">
        <f t="shared" si="47"/>
        <v>535838.64</v>
      </c>
      <c r="Q130" s="912">
        <f t="shared" si="48"/>
        <v>104314.775</v>
      </c>
    </row>
    <row r="131" customHeight="1" spans="1:17">
      <c r="A131" s="4">
        <v>6</v>
      </c>
      <c r="B131" s="11" t="s">
        <v>289</v>
      </c>
      <c r="C131" s="12" t="s">
        <v>288</v>
      </c>
      <c r="D131" s="15" t="s">
        <v>47</v>
      </c>
      <c r="E131" s="85">
        <v>470498</v>
      </c>
      <c r="F131" s="911">
        <v>357066.666666667</v>
      </c>
      <c r="G131" s="220">
        <v>216844.416666667</v>
      </c>
      <c r="H131" s="914">
        <f t="shared" si="43"/>
        <v>573911.083333334</v>
      </c>
      <c r="I131" s="220">
        <f t="shared" si="44"/>
        <v>103413.083333334</v>
      </c>
      <c r="J131" s="912">
        <v>36529.78</v>
      </c>
      <c r="K131" s="912">
        <f t="shared" si="46"/>
        <v>45912.8866666667</v>
      </c>
      <c r="L131" s="912">
        <f t="shared" si="45"/>
        <v>9383.10666666672</v>
      </c>
      <c r="M131" s="912">
        <v>6154.32291666667</v>
      </c>
      <c r="N131" s="912">
        <f t="shared" si="49"/>
        <v>8926.66666666668</v>
      </c>
      <c r="O131" s="912">
        <f t="shared" si="35"/>
        <v>2772.34375000001</v>
      </c>
      <c r="P131" s="912">
        <f t="shared" si="47"/>
        <v>550954.64</v>
      </c>
      <c r="Q131" s="912">
        <f t="shared" si="48"/>
        <v>107120</v>
      </c>
    </row>
    <row r="132" customHeight="1" spans="1:17">
      <c r="A132" s="4">
        <v>7</v>
      </c>
      <c r="B132" s="11" t="s">
        <v>292</v>
      </c>
      <c r="C132" s="12" t="s">
        <v>657</v>
      </c>
      <c r="D132" s="10" t="s">
        <v>156</v>
      </c>
      <c r="E132" s="85">
        <v>277798</v>
      </c>
      <c r="F132" s="911">
        <v>227615.75</v>
      </c>
      <c r="G132" s="220">
        <v>127704.916666667</v>
      </c>
      <c r="H132" s="914">
        <f t="shared" si="43"/>
        <v>355320.666666667</v>
      </c>
      <c r="I132" s="220">
        <f t="shared" si="44"/>
        <v>77522.666666667</v>
      </c>
      <c r="J132" s="912">
        <v>21638.5333333333</v>
      </c>
      <c r="K132" s="912">
        <f t="shared" si="46"/>
        <v>28425.6533333334</v>
      </c>
      <c r="L132" s="912">
        <f t="shared" si="45"/>
        <v>6787.12000000006</v>
      </c>
      <c r="M132" s="912"/>
      <c r="N132" s="912"/>
      <c r="O132" s="912">
        <f t="shared" si="35"/>
        <v>0</v>
      </c>
      <c r="P132" s="912">
        <f t="shared" si="47"/>
        <v>341107.840000001</v>
      </c>
      <c r="Q132" s="912">
        <f t="shared" si="48"/>
        <v>0</v>
      </c>
    </row>
    <row r="133" customHeight="1" spans="1:17">
      <c r="A133" s="4">
        <v>8</v>
      </c>
      <c r="B133" s="18" t="s">
        <v>294</v>
      </c>
      <c r="C133" s="12" t="s">
        <v>295</v>
      </c>
      <c r="D133" s="15" t="s">
        <v>108</v>
      </c>
      <c r="E133" s="85">
        <v>230631.916666667</v>
      </c>
      <c r="F133" s="911">
        <v>196364.416666667</v>
      </c>
      <c r="G133" s="220">
        <v>105546.333333333</v>
      </c>
      <c r="H133" s="914">
        <f t="shared" si="43"/>
        <v>301910.75</v>
      </c>
      <c r="I133" s="220">
        <f t="shared" si="44"/>
        <v>71278.833333333</v>
      </c>
      <c r="J133" s="912">
        <v>17956.78</v>
      </c>
      <c r="K133" s="912">
        <f t="shared" si="46"/>
        <v>24152.86</v>
      </c>
      <c r="L133" s="912">
        <f t="shared" si="45"/>
        <v>6196.08</v>
      </c>
      <c r="M133" s="912">
        <v>0</v>
      </c>
      <c r="N133" s="912">
        <f>0.025*F133</f>
        <v>4909.11041666668</v>
      </c>
      <c r="O133" s="912">
        <f t="shared" si="35"/>
        <v>4909.11041666668</v>
      </c>
      <c r="P133" s="912">
        <f t="shared" si="47"/>
        <v>289834.32</v>
      </c>
      <c r="Q133" s="912">
        <f t="shared" si="48"/>
        <v>58909.3250000001</v>
      </c>
    </row>
    <row r="134" customHeight="1" spans="1:17">
      <c r="A134" s="4">
        <v>9</v>
      </c>
      <c r="B134" s="18" t="s">
        <v>296</v>
      </c>
      <c r="C134" s="12" t="s">
        <v>291</v>
      </c>
      <c r="D134" s="15" t="s">
        <v>108</v>
      </c>
      <c r="E134" s="85">
        <v>230631.916666667</v>
      </c>
      <c r="F134" s="911">
        <v>196364.416666667</v>
      </c>
      <c r="G134" s="220">
        <v>105546.333333333</v>
      </c>
      <c r="H134" s="914">
        <f t="shared" si="43"/>
        <v>301910.75</v>
      </c>
      <c r="I134" s="220">
        <f t="shared" si="44"/>
        <v>71278.833333333</v>
      </c>
      <c r="J134" s="912">
        <v>17956.78</v>
      </c>
      <c r="K134" s="912">
        <f t="shared" si="46"/>
        <v>24152.86</v>
      </c>
      <c r="L134" s="912">
        <f t="shared" si="45"/>
        <v>6196.08</v>
      </c>
      <c r="M134" s="912">
        <v>0</v>
      </c>
      <c r="N134" s="912">
        <f t="shared" si="49"/>
        <v>4909.11041666668</v>
      </c>
      <c r="O134" s="912">
        <f t="shared" si="35"/>
        <v>4909.11041666668</v>
      </c>
      <c r="P134" s="912">
        <f t="shared" si="47"/>
        <v>289834.32</v>
      </c>
      <c r="Q134" s="912">
        <f t="shared" si="48"/>
        <v>58909.3250000001</v>
      </c>
    </row>
    <row r="135" customHeight="1" spans="1:17">
      <c r="A135" s="4">
        <v>10</v>
      </c>
      <c r="B135" s="18" t="s">
        <v>297</v>
      </c>
      <c r="C135" s="12" t="s">
        <v>295</v>
      </c>
      <c r="D135" s="15" t="s">
        <v>111</v>
      </c>
      <c r="E135" s="85">
        <v>224459.75</v>
      </c>
      <c r="F135" s="911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1">
        <v>17463.0066666666</v>
      </c>
      <c r="K135" s="912">
        <f t="shared" si="46"/>
        <v>23592.0666666667</v>
      </c>
      <c r="L135" s="912">
        <f t="shared" si="45"/>
        <v>6129.06000000012</v>
      </c>
      <c r="M135" s="912"/>
      <c r="N135" s="912">
        <f t="shared" si="49"/>
        <v>4804.48541666668</v>
      </c>
      <c r="O135" s="912">
        <f t="shared" si="35"/>
        <v>4804.48541666668</v>
      </c>
      <c r="P135" s="912">
        <f t="shared" si="47"/>
        <v>283104.8</v>
      </c>
      <c r="Q135" s="912">
        <f t="shared" si="48"/>
        <v>57653.8250000001</v>
      </c>
    </row>
    <row r="136" ht="28.5" customHeight="1" spans="1:17">
      <c r="A136" s="4"/>
      <c r="B136" s="20" t="s">
        <v>120</v>
      </c>
      <c r="C136" s="26" t="s">
        <v>658</v>
      </c>
      <c r="D136" s="15"/>
      <c r="E136" s="156">
        <f t="shared" ref="E136:Q136" si="50">SUM(E126:E135)</f>
        <v>5289142.75</v>
      </c>
      <c r="F136" s="916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56"/>
      <c r="F137" s="916"/>
      <c r="G137" s="156"/>
      <c r="H137" s="220"/>
      <c r="I137" s="220"/>
      <c r="J137" s="912"/>
      <c r="K137" s="912"/>
      <c r="L137" s="912"/>
      <c r="M137" s="912"/>
      <c r="N137" s="912"/>
      <c r="O137" s="912"/>
      <c r="P137" s="912"/>
      <c r="Q137" s="912"/>
    </row>
    <row r="138" customHeight="1" spans="1:17">
      <c r="A138" s="4"/>
      <c r="B138" s="20" t="s">
        <v>299</v>
      </c>
      <c r="C138" s="12"/>
      <c r="D138" s="15"/>
      <c r="E138" s="85"/>
      <c r="F138" s="911"/>
      <c r="G138" s="85"/>
      <c r="H138" s="220"/>
      <c r="I138" s="220"/>
      <c r="J138" s="912"/>
      <c r="K138" s="912"/>
      <c r="L138" s="912"/>
      <c r="M138" s="912"/>
      <c r="N138" s="912"/>
      <c r="O138" s="912"/>
      <c r="P138" s="912"/>
      <c r="Q138" s="912"/>
    </row>
    <row r="139" customHeight="1" spans="1:17">
      <c r="A139" s="27">
        <v>1</v>
      </c>
      <c r="B139" s="14" t="s">
        <v>300</v>
      </c>
      <c r="C139" s="4" t="s">
        <v>301</v>
      </c>
      <c r="D139" s="10" t="s">
        <v>511</v>
      </c>
      <c r="E139" s="85">
        <f>'[3]Annual &amp; Monthly'!$H$44</f>
        <v>1352042.66666667</v>
      </c>
      <c r="F139" s="911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295569.333333333</v>
      </c>
      <c r="J139" s="912">
        <v>114857.6</v>
      </c>
      <c r="K139" s="912">
        <f>H139*0.08</f>
        <v>131808.96</v>
      </c>
      <c r="L139" s="912">
        <f>K139-J139</f>
        <v>16951.36</v>
      </c>
      <c r="M139" s="912">
        <v>18254.975</v>
      </c>
      <c r="N139" s="912">
        <f>0.025*F139</f>
        <v>25644.2083333333</v>
      </c>
      <c r="O139" s="912">
        <f t="shared" ref="O137:O168" si="52">N139-M139</f>
        <v>7389.2333333333</v>
      </c>
      <c r="P139" s="912">
        <f>12*K139</f>
        <v>1581707.52</v>
      </c>
      <c r="Q139" s="912">
        <f>N139*12</f>
        <v>307730.499999999</v>
      </c>
    </row>
    <row r="140" customHeight="1" spans="1:17">
      <c r="A140" s="27">
        <v>2</v>
      </c>
      <c r="B140" s="14" t="s">
        <v>302</v>
      </c>
      <c r="C140" s="4" t="s">
        <v>488</v>
      </c>
      <c r="D140" s="16" t="s">
        <v>36</v>
      </c>
      <c r="E140" s="85">
        <v>762373.166666667</v>
      </c>
      <c r="F140" s="911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2">
        <v>60989.8533333333</v>
      </c>
      <c r="K140" s="912">
        <f t="shared" ref="K140:K171" si="54">H140*0.08</f>
        <v>72424.54</v>
      </c>
      <c r="L140" s="912">
        <f t="shared" ref="L140:L171" si="55">K140-J140</f>
        <v>11434.6866666667</v>
      </c>
      <c r="M140" s="912">
        <v>10293.3979166667</v>
      </c>
      <c r="N140" s="912">
        <f>0.025*F140</f>
        <v>13866.7375</v>
      </c>
      <c r="O140" s="912">
        <f t="shared" si="52"/>
        <v>3573.3395833333</v>
      </c>
      <c r="P140" s="912">
        <f t="shared" ref="P140:P186" si="56">12*K140</f>
        <v>869094.48</v>
      </c>
      <c r="Q140" s="912">
        <f t="shared" ref="Q140:Q176" si="57">N140*12</f>
        <v>166400.85</v>
      </c>
    </row>
    <row r="141" customHeight="1" spans="1:17">
      <c r="A141" s="27">
        <v>3</v>
      </c>
      <c r="B141" s="11" t="s">
        <v>305</v>
      </c>
      <c r="C141" s="12" t="s">
        <v>306</v>
      </c>
      <c r="D141" s="15" t="s">
        <v>42</v>
      </c>
      <c r="E141" s="85">
        <v>582118.083333333</v>
      </c>
      <c r="F141" s="911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2">
        <v>46569.45</v>
      </c>
      <c r="K141" s="912">
        <f t="shared" si="54"/>
        <v>56057.1133333333</v>
      </c>
      <c r="L141" s="912">
        <f t="shared" si="55"/>
        <v>9487.66333333329</v>
      </c>
      <c r="M141" s="912">
        <v>8380.22708333333</v>
      </c>
      <c r="N141" s="912">
        <f>0.025*F141</f>
        <v>10824.5270833333</v>
      </c>
      <c r="O141" s="912">
        <f t="shared" si="52"/>
        <v>2444.29999999997</v>
      </c>
      <c r="P141" s="912">
        <f t="shared" si="56"/>
        <v>672685.359999999</v>
      </c>
      <c r="Q141" s="912">
        <f t="shared" si="57"/>
        <v>129894.325</v>
      </c>
    </row>
    <row r="142" customHeight="1" spans="1:17">
      <c r="A142" s="27">
        <v>4</v>
      </c>
      <c r="B142" s="11" t="s">
        <v>307</v>
      </c>
      <c r="C142" s="4" t="s">
        <v>489</v>
      </c>
      <c r="D142" s="15" t="s">
        <v>42</v>
      </c>
      <c r="E142" s="85">
        <v>582119.083333333</v>
      </c>
      <c r="F142" s="911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2">
        <v>46569.45</v>
      </c>
      <c r="K142" s="912">
        <f t="shared" si="54"/>
        <v>56057.1133333333</v>
      </c>
      <c r="L142" s="912">
        <f t="shared" si="55"/>
        <v>9487.66333333329</v>
      </c>
      <c r="M142" s="912">
        <v>8381.22708333333</v>
      </c>
      <c r="N142" s="912">
        <f>0.025*F142</f>
        <v>10824.5270833333</v>
      </c>
      <c r="O142" s="912">
        <f t="shared" si="52"/>
        <v>2443.29999999997</v>
      </c>
      <c r="P142" s="912">
        <f t="shared" si="56"/>
        <v>672685.359999999</v>
      </c>
      <c r="Q142" s="912">
        <f t="shared" si="57"/>
        <v>129894.325</v>
      </c>
    </row>
    <row r="143" customHeight="1" spans="1:17">
      <c r="A143" s="27">
        <v>5</v>
      </c>
      <c r="B143" s="11" t="s">
        <v>309</v>
      </c>
      <c r="C143" s="4" t="s">
        <v>489</v>
      </c>
      <c r="D143" s="15" t="s">
        <v>42</v>
      </c>
      <c r="E143" s="85">
        <v>582120.083333333</v>
      </c>
      <c r="F143" s="911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2">
        <v>46569.45</v>
      </c>
      <c r="K143" s="912">
        <f t="shared" si="54"/>
        <v>56057.1133333333</v>
      </c>
      <c r="L143" s="912">
        <f t="shared" si="55"/>
        <v>9487.66333333329</v>
      </c>
      <c r="M143" s="912">
        <v>8382.22708333333</v>
      </c>
      <c r="N143" s="912">
        <f t="shared" ref="N143:N148" si="58">0.025*F143</f>
        <v>10824.5270833333</v>
      </c>
      <c r="O143" s="912">
        <f t="shared" si="52"/>
        <v>2442.3</v>
      </c>
      <c r="P143" s="912">
        <f t="shared" si="56"/>
        <v>672685.359999999</v>
      </c>
      <c r="Q143" s="912">
        <f t="shared" si="57"/>
        <v>129894.325</v>
      </c>
    </row>
    <row r="144" customHeight="1" spans="1:17">
      <c r="A144" s="27">
        <v>6</v>
      </c>
      <c r="B144" s="11" t="s">
        <v>312</v>
      </c>
      <c r="C144" s="12" t="s">
        <v>232</v>
      </c>
      <c r="D144" s="15" t="s">
        <v>67</v>
      </c>
      <c r="E144" s="85">
        <v>390248.916666667</v>
      </c>
      <c r="F144" s="911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2">
        <v>31219.91</v>
      </c>
      <c r="K144" s="912">
        <f t="shared" si="54"/>
        <v>38627.7266666667</v>
      </c>
      <c r="L144" s="912">
        <f t="shared" si="55"/>
        <v>7407.81666666672</v>
      </c>
      <c r="M144" s="912">
        <v>0</v>
      </c>
      <c r="N144" s="912"/>
      <c r="O144" s="912">
        <f t="shared" si="52"/>
        <v>0</v>
      </c>
      <c r="P144" s="912">
        <f t="shared" si="56"/>
        <v>463532.720000001</v>
      </c>
      <c r="Q144" s="912">
        <f t="shared" si="57"/>
        <v>0</v>
      </c>
    </row>
    <row r="145" customHeight="1" spans="1:17">
      <c r="A145" s="27">
        <v>7</v>
      </c>
      <c r="B145" s="11" t="s">
        <v>313</v>
      </c>
      <c r="C145" s="4" t="s">
        <v>659</v>
      </c>
      <c r="D145" s="15" t="s">
        <v>67</v>
      </c>
      <c r="E145" s="85">
        <v>390248.916666667</v>
      </c>
      <c r="F145" s="911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2">
        <v>31219.91</v>
      </c>
      <c r="K145" s="912">
        <f t="shared" si="54"/>
        <v>38627.7266666667</v>
      </c>
      <c r="L145" s="912">
        <f t="shared" si="55"/>
        <v>7407.81666666672</v>
      </c>
      <c r="M145" s="912">
        <v>0</v>
      </c>
      <c r="N145" s="912"/>
      <c r="O145" s="912">
        <f t="shared" si="52"/>
        <v>0</v>
      </c>
      <c r="P145" s="912">
        <f t="shared" si="56"/>
        <v>463532.720000001</v>
      </c>
      <c r="Q145" s="912">
        <f t="shared" si="57"/>
        <v>0</v>
      </c>
    </row>
    <row r="146" customHeight="1" spans="1:17">
      <c r="A146" s="27">
        <v>8</v>
      </c>
      <c r="B146" s="11" t="s">
        <v>315</v>
      </c>
      <c r="C146" s="12" t="s">
        <v>660</v>
      </c>
      <c r="D146" s="15" t="s">
        <v>173</v>
      </c>
      <c r="E146" s="85">
        <v>390086.5</v>
      </c>
      <c r="F146" s="911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2">
        <v>30231.6133333333</v>
      </c>
      <c r="K146" s="912">
        <f t="shared" si="54"/>
        <v>38613.0133333334</v>
      </c>
      <c r="L146" s="912">
        <f t="shared" si="55"/>
        <v>8381.40000000006</v>
      </c>
      <c r="M146" s="912">
        <v>0</v>
      </c>
      <c r="N146" s="912"/>
      <c r="O146" s="912">
        <f t="shared" si="52"/>
        <v>0</v>
      </c>
      <c r="P146" s="912">
        <f t="shared" si="56"/>
        <v>463356.16</v>
      </c>
      <c r="Q146" s="912">
        <f t="shared" si="57"/>
        <v>0</v>
      </c>
    </row>
    <row r="147" customHeight="1" spans="1:17">
      <c r="A147" s="27">
        <v>9</v>
      </c>
      <c r="B147" s="11" t="s">
        <v>317</v>
      </c>
      <c r="C147" s="12" t="s">
        <v>318</v>
      </c>
      <c r="D147" s="15" t="s">
        <v>70</v>
      </c>
      <c r="E147" s="85">
        <v>377895.166666667</v>
      </c>
      <c r="F147" s="911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2">
        <v>29256.3066666667</v>
      </c>
      <c r="K147" s="912">
        <f t="shared" si="54"/>
        <v>37506.2533333334</v>
      </c>
      <c r="L147" s="912">
        <f t="shared" si="55"/>
        <v>8249.94666666666</v>
      </c>
      <c r="M147" s="912">
        <v>4928.93333333333</v>
      </c>
      <c r="N147" s="912">
        <f t="shared" si="58"/>
        <v>7366.57291666668</v>
      </c>
      <c r="O147" s="912">
        <f t="shared" si="52"/>
        <v>2437.63958333335</v>
      </c>
      <c r="P147" s="912">
        <f t="shared" si="56"/>
        <v>450075.04</v>
      </c>
      <c r="Q147" s="912">
        <f t="shared" si="57"/>
        <v>88398.8750000001</v>
      </c>
    </row>
    <row r="148" customHeight="1" spans="1:17">
      <c r="A148" s="27">
        <v>10</v>
      </c>
      <c r="B148" s="18" t="s">
        <v>319</v>
      </c>
      <c r="C148" s="4" t="s">
        <v>320</v>
      </c>
      <c r="D148" s="15" t="s">
        <v>131</v>
      </c>
      <c r="E148" s="220">
        <v>365703.833333333</v>
      </c>
      <c r="F148" s="911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2">
        <v>28281</v>
      </c>
      <c r="K148" s="912">
        <f t="shared" si="54"/>
        <v>36399.4866666666</v>
      </c>
      <c r="L148" s="912">
        <f t="shared" si="55"/>
        <v>8118.48666666664</v>
      </c>
      <c r="M148" s="912">
        <v>0</v>
      </c>
      <c r="N148" s="912">
        <f t="shared" si="58"/>
        <v>7161.17708333333</v>
      </c>
      <c r="O148" s="912">
        <f t="shared" si="52"/>
        <v>7161.17708333333</v>
      </c>
      <c r="P148" s="912">
        <f t="shared" si="56"/>
        <v>436793.84</v>
      </c>
      <c r="Q148" s="912">
        <f t="shared" si="57"/>
        <v>85934.1249999999</v>
      </c>
    </row>
    <row r="149" customHeight="1" spans="1:17">
      <c r="A149" s="27">
        <v>11</v>
      </c>
      <c r="B149" s="11" t="s">
        <v>321</v>
      </c>
      <c r="C149" s="4" t="s">
        <v>320</v>
      </c>
      <c r="D149" s="15" t="s">
        <v>180</v>
      </c>
      <c r="E149" s="220">
        <v>353512.5</v>
      </c>
      <c r="F149" s="911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2">
        <v>28281</v>
      </c>
      <c r="K149" s="912">
        <f t="shared" si="54"/>
        <v>35292.72</v>
      </c>
      <c r="L149" s="912">
        <f t="shared" si="55"/>
        <v>7011.72</v>
      </c>
      <c r="M149" s="912">
        <v>0</v>
      </c>
      <c r="N149" s="912"/>
      <c r="O149" s="912">
        <f t="shared" si="52"/>
        <v>0</v>
      </c>
      <c r="P149" s="912">
        <f t="shared" si="56"/>
        <v>423512.64</v>
      </c>
      <c r="Q149" s="912">
        <f t="shared" si="57"/>
        <v>0</v>
      </c>
    </row>
    <row r="150" customHeight="1" spans="1:17">
      <c r="A150" s="27">
        <v>12</v>
      </c>
      <c r="B150" s="11" t="s">
        <v>322</v>
      </c>
      <c r="C150" s="4" t="s">
        <v>320</v>
      </c>
      <c r="D150" s="15" t="s">
        <v>180</v>
      </c>
      <c r="E150" s="220">
        <v>353512.5</v>
      </c>
      <c r="F150" s="911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2">
        <v>28281</v>
      </c>
      <c r="K150" s="912">
        <f t="shared" si="54"/>
        <v>35292.72</v>
      </c>
      <c r="L150" s="912">
        <f t="shared" si="55"/>
        <v>7011.72</v>
      </c>
      <c r="M150" s="912">
        <v>4928.93333333333</v>
      </c>
      <c r="N150" s="912">
        <f t="shared" ref="N150:N155" si="59">0.025*F150</f>
        <v>6955.78125</v>
      </c>
      <c r="O150" s="912">
        <f t="shared" si="52"/>
        <v>2026.84791666667</v>
      </c>
      <c r="P150" s="912">
        <f t="shared" si="56"/>
        <v>423512.64</v>
      </c>
      <c r="Q150" s="912">
        <f t="shared" si="57"/>
        <v>83469.375</v>
      </c>
    </row>
    <row r="151" customHeight="1" spans="1:17">
      <c r="A151" s="27">
        <v>13</v>
      </c>
      <c r="B151" s="11" t="s">
        <v>324</v>
      </c>
      <c r="C151" s="4" t="s">
        <v>320</v>
      </c>
      <c r="D151" s="15" t="s">
        <v>131</v>
      </c>
      <c r="E151" s="220">
        <v>365703.833333333</v>
      </c>
      <c r="F151" s="911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2">
        <v>28281</v>
      </c>
      <c r="K151" s="912">
        <f t="shared" si="54"/>
        <v>36399.4866666666</v>
      </c>
      <c r="L151" s="912">
        <f t="shared" si="55"/>
        <v>8118.48666666664</v>
      </c>
      <c r="M151" s="912">
        <v>0</v>
      </c>
      <c r="N151" s="912"/>
      <c r="O151" s="912">
        <f t="shared" si="52"/>
        <v>0</v>
      </c>
      <c r="P151" s="912">
        <f t="shared" si="56"/>
        <v>436793.84</v>
      </c>
      <c r="Q151" s="912">
        <f t="shared" si="57"/>
        <v>0</v>
      </c>
    </row>
    <row r="152" customHeight="1" spans="1:17">
      <c r="A152" s="27">
        <v>14</v>
      </c>
      <c r="B152" s="11" t="s">
        <v>325</v>
      </c>
      <c r="C152" s="12" t="s">
        <v>326</v>
      </c>
      <c r="D152" s="15" t="s">
        <v>78</v>
      </c>
      <c r="E152" s="220">
        <v>308901.5</v>
      </c>
      <c r="F152" s="911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2">
        <v>24077.2466666667</v>
      </c>
      <c r="K152" s="912">
        <f t="shared" si="54"/>
        <v>31210.8666666667</v>
      </c>
      <c r="L152" s="912">
        <f t="shared" si="55"/>
        <v>7133.62000000002</v>
      </c>
      <c r="M152" s="912">
        <v>0</v>
      </c>
      <c r="N152" s="912">
        <f t="shared" si="59"/>
        <v>6154.27916666668</v>
      </c>
      <c r="O152" s="912">
        <f t="shared" si="52"/>
        <v>6154.27916666668</v>
      </c>
      <c r="P152" s="912">
        <f t="shared" si="56"/>
        <v>374530.400000001</v>
      </c>
      <c r="Q152" s="912">
        <f t="shared" si="57"/>
        <v>73851.3500000001</v>
      </c>
    </row>
    <row r="153" customHeight="1" spans="1:17">
      <c r="A153" s="27">
        <v>15</v>
      </c>
      <c r="B153" s="11" t="s">
        <v>327</v>
      </c>
      <c r="C153" s="12" t="s">
        <v>328</v>
      </c>
      <c r="D153" s="10" t="s">
        <v>86</v>
      </c>
      <c r="E153" s="85">
        <v>270481.666666667</v>
      </c>
      <c r="F153" s="911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2">
        <v>21053.2266666667</v>
      </c>
      <c r="K153" s="912">
        <f t="shared" si="54"/>
        <v>27761.2933333333</v>
      </c>
      <c r="L153" s="912">
        <f t="shared" si="55"/>
        <v>6708.06666666658</v>
      </c>
      <c r="M153" s="912">
        <v>0</v>
      </c>
      <c r="N153" s="912">
        <f t="shared" ref="N153:N158" si="60">0.025*F153</f>
        <v>5566.86458333332</v>
      </c>
      <c r="O153" s="912">
        <f t="shared" si="52"/>
        <v>5566.86458333332</v>
      </c>
      <c r="P153" s="912">
        <f t="shared" si="56"/>
        <v>333135.519999999</v>
      </c>
      <c r="Q153" s="912">
        <f t="shared" si="57"/>
        <v>66802.3749999999</v>
      </c>
    </row>
    <row r="154" customHeight="1" spans="1:17">
      <c r="A154" s="27">
        <v>16</v>
      </c>
      <c r="B154" s="11" t="s">
        <v>329</v>
      </c>
      <c r="C154" s="12" t="s">
        <v>661</v>
      </c>
      <c r="D154" s="15" t="s">
        <v>153</v>
      </c>
      <c r="E154" s="220">
        <v>316837.416666667</v>
      </c>
      <c r="F154" s="911">
        <v>251467.916666667</v>
      </c>
      <c r="G154" s="220">
        <v>147663.25</v>
      </c>
      <c r="H154" s="220">
        <f t="shared" si="53"/>
        <v>399131.166666667</v>
      </c>
      <c r="I154" s="220">
        <f t="shared" si="51"/>
        <v>82293.7499999997</v>
      </c>
      <c r="J154" s="912">
        <v>24712.12</v>
      </c>
      <c r="K154" s="912">
        <f t="shared" si="54"/>
        <v>31930.4933333333</v>
      </c>
      <c r="L154" s="912">
        <f t="shared" si="55"/>
        <v>7218.37333333333</v>
      </c>
      <c r="M154" s="912">
        <v>0</v>
      </c>
      <c r="N154" s="912"/>
      <c r="O154" s="912">
        <f t="shared" si="52"/>
        <v>0</v>
      </c>
      <c r="P154" s="912">
        <f t="shared" si="56"/>
        <v>383165.92</v>
      </c>
      <c r="Q154" s="912">
        <f t="shared" si="57"/>
        <v>0</v>
      </c>
    </row>
    <row r="155" customHeight="1" spans="1:17">
      <c r="A155" s="27">
        <v>17</v>
      </c>
      <c r="B155" s="11" t="s">
        <v>331</v>
      </c>
      <c r="C155" s="12" t="s">
        <v>662</v>
      </c>
      <c r="D155" s="15" t="s">
        <v>156</v>
      </c>
      <c r="E155" s="220">
        <v>277798</v>
      </c>
      <c r="F155" s="911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2">
        <v>21638.5333333333</v>
      </c>
      <c r="K155" s="912">
        <f t="shared" si="54"/>
        <v>28425.6533333334</v>
      </c>
      <c r="L155" s="912">
        <f t="shared" si="55"/>
        <v>6787.12000000006</v>
      </c>
      <c r="M155" s="912">
        <v>0</v>
      </c>
      <c r="N155" s="912">
        <f t="shared" si="59"/>
        <v>5690.39375</v>
      </c>
      <c r="O155" s="912">
        <f t="shared" si="52"/>
        <v>5690.39375</v>
      </c>
      <c r="P155" s="912">
        <f t="shared" si="56"/>
        <v>341107.84</v>
      </c>
      <c r="Q155" s="912">
        <f t="shared" si="57"/>
        <v>68284.725</v>
      </c>
    </row>
    <row r="156" customHeight="1" spans="1:17">
      <c r="A156" s="27">
        <v>18</v>
      </c>
      <c r="B156" s="11" t="s">
        <v>333</v>
      </c>
      <c r="C156" s="12" t="s">
        <v>663</v>
      </c>
      <c r="D156" s="15" t="s">
        <v>153</v>
      </c>
      <c r="E156" s="220">
        <v>316837.416666667</v>
      </c>
      <c r="F156" s="911">
        <v>251467.916666667</v>
      </c>
      <c r="G156" s="220">
        <v>147663.25</v>
      </c>
      <c r="H156" s="220">
        <f t="shared" si="53"/>
        <v>399131.166666667</v>
      </c>
      <c r="I156" s="220">
        <f t="shared" si="51"/>
        <v>82293.7499999997</v>
      </c>
      <c r="J156" s="912">
        <v>24712.12</v>
      </c>
      <c r="K156" s="912">
        <f t="shared" si="54"/>
        <v>31930.4933333333</v>
      </c>
      <c r="L156" s="912">
        <f t="shared" si="55"/>
        <v>7218.37333333333</v>
      </c>
      <c r="M156" s="912">
        <v>4123.42083333333</v>
      </c>
      <c r="N156" s="912">
        <f t="shared" si="60"/>
        <v>6286.69791666667</v>
      </c>
      <c r="O156" s="912">
        <f t="shared" si="52"/>
        <v>2163.27708333334</v>
      </c>
      <c r="P156" s="912">
        <f t="shared" si="56"/>
        <v>383165.92</v>
      </c>
      <c r="Q156" s="912">
        <f t="shared" si="57"/>
        <v>75440.375</v>
      </c>
    </row>
    <row r="157" customHeight="1" spans="1:17">
      <c r="A157" s="27">
        <v>19</v>
      </c>
      <c r="B157" s="11" t="s">
        <v>334</v>
      </c>
      <c r="C157" s="12" t="s">
        <v>664</v>
      </c>
      <c r="D157" s="15" t="s">
        <v>156</v>
      </c>
      <c r="E157" s="220">
        <v>277798</v>
      </c>
      <c r="F157" s="911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2">
        <v>21638.5333333333</v>
      </c>
      <c r="K157" s="912">
        <f t="shared" si="54"/>
        <v>28425.6533333334</v>
      </c>
      <c r="L157" s="912">
        <f t="shared" si="55"/>
        <v>6787.12000000006</v>
      </c>
      <c r="M157" s="912">
        <v>0</v>
      </c>
      <c r="N157" s="912"/>
      <c r="O157" s="912">
        <f t="shared" si="52"/>
        <v>0</v>
      </c>
      <c r="P157" s="912">
        <f t="shared" si="56"/>
        <v>341107.84</v>
      </c>
      <c r="Q157" s="912">
        <f t="shared" si="57"/>
        <v>0</v>
      </c>
    </row>
    <row r="158" customHeight="1" spans="1:17">
      <c r="A158" s="27">
        <v>20</v>
      </c>
      <c r="B158" s="18" t="s">
        <v>336</v>
      </c>
      <c r="C158" s="12" t="s">
        <v>337</v>
      </c>
      <c r="D158" s="15" t="s">
        <v>99</v>
      </c>
      <c r="E158" s="220">
        <v>263165.333333333</v>
      </c>
      <c r="F158" s="911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2">
        <v>20467.92</v>
      </c>
      <c r="K158" s="912">
        <f t="shared" si="54"/>
        <v>27096.9333333334</v>
      </c>
      <c r="L158" s="912">
        <f t="shared" si="55"/>
        <v>6629.01333333336</v>
      </c>
      <c r="M158" s="912">
        <v>0</v>
      </c>
      <c r="N158" s="912">
        <f t="shared" si="60"/>
        <v>5443.33541666668</v>
      </c>
      <c r="O158" s="912">
        <f t="shared" si="52"/>
        <v>5443.33541666668</v>
      </c>
      <c r="P158" s="912">
        <f t="shared" si="56"/>
        <v>325163.2</v>
      </c>
      <c r="Q158" s="912">
        <f t="shared" si="57"/>
        <v>65320.0250000001</v>
      </c>
    </row>
    <row r="159" customHeight="1" spans="1:17">
      <c r="A159" s="27">
        <v>21</v>
      </c>
      <c r="B159" s="18" t="s">
        <v>338</v>
      </c>
      <c r="C159" s="12" t="s">
        <v>337</v>
      </c>
      <c r="D159" s="15" t="s">
        <v>99</v>
      </c>
      <c r="E159" s="220">
        <v>263165.333333333</v>
      </c>
      <c r="F159" s="911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2">
        <v>20467.92</v>
      </c>
      <c r="K159" s="912">
        <f t="shared" si="54"/>
        <v>27096.9333333334</v>
      </c>
      <c r="L159" s="912">
        <f t="shared" si="55"/>
        <v>6629.01333333336</v>
      </c>
      <c r="M159" s="912">
        <v>0</v>
      </c>
      <c r="N159" s="912"/>
      <c r="O159" s="912">
        <f t="shared" si="52"/>
        <v>0</v>
      </c>
      <c r="P159" s="912">
        <f t="shared" si="56"/>
        <v>325163.2</v>
      </c>
      <c r="Q159" s="912">
        <f t="shared" si="57"/>
        <v>0</v>
      </c>
    </row>
    <row r="160" customHeight="1" spans="1:17">
      <c r="A160" s="27">
        <v>22</v>
      </c>
      <c r="B160" s="18" t="s">
        <v>343</v>
      </c>
      <c r="C160" s="12" t="s">
        <v>344</v>
      </c>
      <c r="D160" s="15" t="s">
        <v>108</v>
      </c>
      <c r="E160" s="85">
        <v>230631.916666667</v>
      </c>
      <c r="F160" s="911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2">
        <v>17956.78</v>
      </c>
      <c r="K160" s="912">
        <f t="shared" si="54"/>
        <v>24152.86</v>
      </c>
      <c r="L160" s="912">
        <f t="shared" si="55"/>
        <v>6196.08</v>
      </c>
      <c r="M160" s="912">
        <v>0</v>
      </c>
      <c r="N160" s="912"/>
      <c r="O160" s="912">
        <f t="shared" si="52"/>
        <v>0</v>
      </c>
      <c r="P160" s="912">
        <f t="shared" si="56"/>
        <v>289834.32</v>
      </c>
      <c r="Q160" s="912">
        <f t="shared" si="57"/>
        <v>0</v>
      </c>
    </row>
    <row r="161" customHeight="1" spans="1:17">
      <c r="A161" s="27">
        <v>23</v>
      </c>
      <c r="B161" s="18" t="s">
        <v>345</v>
      </c>
      <c r="C161" s="12" t="s">
        <v>346</v>
      </c>
      <c r="D161" s="15" t="s">
        <v>108</v>
      </c>
      <c r="E161" s="85">
        <v>230631.916666667</v>
      </c>
      <c r="F161" s="911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2">
        <v>17956.78</v>
      </c>
      <c r="K161" s="912">
        <f t="shared" si="54"/>
        <v>24152.86</v>
      </c>
      <c r="L161" s="912">
        <f t="shared" si="55"/>
        <v>6196.08</v>
      </c>
      <c r="M161" s="912">
        <v>0</v>
      </c>
      <c r="N161" s="912">
        <f t="shared" ref="N161:N164" si="61">0.025*F161</f>
        <v>4909.11041666668</v>
      </c>
      <c r="O161" s="912">
        <f t="shared" si="52"/>
        <v>4909.11041666668</v>
      </c>
      <c r="P161" s="912">
        <f t="shared" si="56"/>
        <v>289834.32</v>
      </c>
      <c r="Q161" s="912">
        <f t="shared" si="57"/>
        <v>58909.3250000001</v>
      </c>
    </row>
    <row r="162" customHeight="1" spans="1:17">
      <c r="A162" s="27">
        <v>24</v>
      </c>
      <c r="B162" s="18" t="s">
        <v>347</v>
      </c>
      <c r="C162" s="12" t="s">
        <v>348</v>
      </c>
      <c r="D162" s="15" t="s">
        <v>108</v>
      </c>
      <c r="E162" s="85">
        <v>230631.916666667</v>
      </c>
      <c r="F162" s="911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2">
        <v>17956.78</v>
      </c>
      <c r="K162" s="912">
        <f t="shared" si="54"/>
        <v>24152.86</v>
      </c>
      <c r="L162" s="912">
        <f t="shared" si="55"/>
        <v>6196.08</v>
      </c>
      <c r="M162" s="912">
        <v>0</v>
      </c>
      <c r="N162" s="912">
        <f t="shared" si="61"/>
        <v>4909.11041666668</v>
      </c>
      <c r="O162" s="912">
        <f t="shared" si="52"/>
        <v>4909.11041666668</v>
      </c>
      <c r="P162" s="912">
        <f t="shared" si="56"/>
        <v>289834.32</v>
      </c>
      <c r="Q162" s="912">
        <f t="shared" si="57"/>
        <v>58909.3250000001</v>
      </c>
    </row>
    <row r="163" customHeight="1" spans="1:17">
      <c r="A163" s="27">
        <v>25</v>
      </c>
      <c r="B163" s="18" t="s">
        <v>349</v>
      </c>
      <c r="C163" s="12" t="s">
        <v>665</v>
      </c>
      <c r="D163" s="15" t="s">
        <v>105</v>
      </c>
      <c r="E163" s="85">
        <v>236804.083333333</v>
      </c>
      <c r="F163" s="911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2">
        <v>18450.5533333333</v>
      </c>
      <c r="K163" s="912">
        <f t="shared" si="54"/>
        <v>24713.6533333334</v>
      </c>
      <c r="L163" s="912">
        <f t="shared" si="55"/>
        <v>6263.10000000006</v>
      </c>
      <c r="M163" s="912">
        <v>0</v>
      </c>
      <c r="N163" s="912">
        <f t="shared" si="61"/>
        <v>5013.73541666668</v>
      </c>
      <c r="O163" s="912">
        <f t="shared" si="52"/>
        <v>5013.73541666668</v>
      </c>
      <c r="P163" s="912">
        <f t="shared" si="56"/>
        <v>296563.84</v>
      </c>
      <c r="Q163" s="912">
        <f t="shared" si="57"/>
        <v>60164.8250000001</v>
      </c>
    </row>
    <row r="164" customHeight="1" spans="1:17">
      <c r="A164" s="27">
        <v>26</v>
      </c>
      <c r="B164" s="18" t="s">
        <v>350</v>
      </c>
      <c r="C164" s="12" t="s">
        <v>346</v>
      </c>
      <c r="D164" s="15" t="s">
        <v>108</v>
      </c>
      <c r="E164" s="85">
        <v>230631.916666667</v>
      </c>
      <c r="F164" s="911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2">
        <v>17956.78</v>
      </c>
      <c r="K164" s="912">
        <f t="shared" si="54"/>
        <v>24152.86</v>
      </c>
      <c r="L164" s="912">
        <f t="shared" si="55"/>
        <v>6196.08</v>
      </c>
      <c r="M164" s="912">
        <v>0</v>
      </c>
      <c r="N164" s="912">
        <f t="shared" si="61"/>
        <v>4909.11041666668</v>
      </c>
      <c r="O164" s="912">
        <f t="shared" si="52"/>
        <v>4909.11041666668</v>
      </c>
      <c r="P164" s="912">
        <f t="shared" si="56"/>
        <v>289834.32</v>
      </c>
      <c r="Q164" s="912">
        <f t="shared" si="57"/>
        <v>58909.3250000001</v>
      </c>
    </row>
    <row r="165" customHeight="1" spans="1:17">
      <c r="A165" s="27">
        <v>27</v>
      </c>
      <c r="B165" s="18" t="s">
        <v>351</v>
      </c>
      <c r="C165" s="12" t="s">
        <v>352</v>
      </c>
      <c r="D165" s="15" t="s">
        <v>111</v>
      </c>
      <c r="E165" s="680">
        <v>224459.75</v>
      </c>
      <c r="F165" s="911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2">
        <v>17463.0066666666</v>
      </c>
      <c r="K165" s="912">
        <f t="shared" si="54"/>
        <v>23592.0666666667</v>
      </c>
      <c r="L165" s="912">
        <f t="shared" si="55"/>
        <v>6129.06000000012</v>
      </c>
      <c r="M165" s="912"/>
      <c r="N165" s="912"/>
      <c r="O165" s="912">
        <f t="shared" si="52"/>
        <v>0</v>
      </c>
      <c r="P165" s="912">
        <f t="shared" si="56"/>
        <v>283104.8</v>
      </c>
      <c r="Q165" s="912">
        <f t="shared" si="57"/>
        <v>0</v>
      </c>
    </row>
    <row r="166" customHeight="1" spans="1:17">
      <c r="A166" s="27">
        <v>28</v>
      </c>
      <c r="B166" s="18" t="s">
        <v>353</v>
      </c>
      <c r="C166" s="12" t="s">
        <v>352</v>
      </c>
      <c r="D166" s="15" t="s">
        <v>111</v>
      </c>
      <c r="E166" s="680">
        <v>224459.75</v>
      </c>
      <c r="F166" s="911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2">
        <v>17463.0066666666</v>
      </c>
      <c r="K166" s="912">
        <f t="shared" si="54"/>
        <v>23592.0666666667</v>
      </c>
      <c r="L166" s="912">
        <f t="shared" si="55"/>
        <v>6129.06000000012</v>
      </c>
      <c r="M166" s="912"/>
      <c r="N166" s="912"/>
      <c r="O166" s="912">
        <f t="shared" si="52"/>
        <v>0</v>
      </c>
      <c r="P166" s="912">
        <f t="shared" si="56"/>
        <v>283104.8</v>
      </c>
      <c r="Q166" s="912">
        <f t="shared" si="57"/>
        <v>0</v>
      </c>
    </row>
    <row r="167" customHeight="1" spans="1:17">
      <c r="A167" s="27">
        <v>29</v>
      </c>
      <c r="B167" s="11" t="s">
        <v>359</v>
      </c>
      <c r="C167" s="12" t="s">
        <v>512</v>
      </c>
      <c r="D167" s="15" t="s">
        <v>372</v>
      </c>
      <c r="E167" s="226">
        <v>173859.5</v>
      </c>
      <c r="F167" s="922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2">
        <v>13487.8533333333</v>
      </c>
      <c r="K167" s="912">
        <f t="shared" si="54"/>
        <v>19017.3733333333</v>
      </c>
      <c r="L167" s="912">
        <f t="shared" si="55"/>
        <v>5529.51999999998</v>
      </c>
      <c r="M167" s="912">
        <v>2313.575</v>
      </c>
      <c r="N167" s="912">
        <f>0.025*F167</f>
        <v>3982.21458333333</v>
      </c>
      <c r="O167" s="912">
        <f t="shared" si="52"/>
        <v>1668.63958333333</v>
      </c>
      <c r="P167" s="912">
        <f t="shared" si="56"/>
        <v>228208.48</v>
      </c>
      <c r="Q167" s="912">
        <f t="shared" si="57"/>
        <v>47786.575</v>
      </c>
    </row>
    <row r="168" customHeight="1" spans="1:17">
      <c r="A168" s="27">
        <v>30</v>
      </c>
      <c r="B168" s="11" t="s">
        <v>362</v>
      </c>
      <c r="C168" s="12" t="s">
        <v>512</v>
      </c>
      <c r="D168" s="15" t="s">
        <v>372</v>
      </c>
      <c r="E168" s="226">
        <v>173859.5</v>
      </c>
      <c r="F168" s="922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2">
        <v>13487.8533333333</v>
      </c>
      <c r="K168" s="912">
        <f t="shared" si="54"/>
        <v>19017.3733333333</v>
      </c>
      <c r="L168" s="912">
        <f t="shared" si="55"/>
        <v>5529.51999999998</v>
      </c>
      <c r="M168" s="912">
        <v>0</v>
      </c>
      <c r="N168" s="912"/>
      <c r="O168" s="912">
        <f t="shared" si="52"/>
        <v>0</v>
      </c>
      <c r="P168" s="912">
        <f t="shared" si="56"/>
        <v>228208.48</v>
      </c>
      <c r="Q168" s="912">
        <f t="shared" si="57"/>
        <v>0</v>
      </c>
    </row>
    <row r="169" customHeight="1" spans="1:17">
      <c r="A169" s="27">
        <v>31</v>
      </c>
      <c r="B169" s="11" t="s">
        <v>666</v>
      </c>
      <c r="C169" s="12" t="s">
        <v>512</v>
      </c>
      <c r="D169" s="15" t="s">
        <v>372</v>
      </c>
      <c r="E169" s="226">
        <v>173859.5</v>
      </c>
      <c r="F169" s="922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2">
        <v>13487.8533333333</v>
      </c>
      <c r="K169" s="912">
        <f t="shared" si="54"/>
        <v>19017.3733333333</v>
      </c>
      <c r="L169" s="912">
        <f t="shared" si="55"/>
        <v>5529.51999999998</v>
      </c>
      <c r="M169" s="912">
        <v>0</v>
      </c>
      <c r="N169" s="912"/>
      <c r="O169" s="912">
        <f t="shared" ref="O169:O199" si="63">N169-M169</f>
        <v>0</v>
      </c>
      <c r="P169" s="912">
        <f t="shared" si="56"/>
        <v>228208.48</v>
      </c>
      <c r="Q169" s="912">
        <f t="shared" si="57"/>
        <v>0</v>
      </c>
    </row>
    <row r="170" customHeight="1" spans="1:17">
      <c r="A170" s="27">
        <v>32</v>
      </c>
      <c r="B170" s="11" t="s">
        <v>363</v>
      </c>
      <c r="C170" s="12" t="s">
        <v>512</v>
      </c>
      <c r="D170" s="15" t="s">
        <v>372</v>
      </c>
      <c r="E170" s="226">
        <v>173859.5</v>
      </c>
      <c r="F170" s="922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2">
        <v>13487.8533333333</v>
      </c>
      <c r="K170" s="912">
        <f t="shared" si="54"/>
        <v>19017.3733333333</v>
      </c>
      <c r="L170" s="912">
        <f t="shared" si="55"/>
        <v>5529.51999999998</v>
      </c>
      <c r="M170" s="912">
        <v>2313.575</v>
      </c>
      <c r="N170" s="912">
        <v>3982.21458333333</v>
      </c>
      <c r="O170" s="912">
        <f t="shared" si="63"/>
        <v>1668.63958333333</v>
      </c>
      <c r="P170" s="912">
        <f t="shared" si="56"/>
        <v>228208.48</v>
      </c>
      <c r="Q170" s="912">
        <f t="shared" si="57"/>
        <v>47786.575</v>
      </c>
    </row>
    <row r="171" customHeight="1" spans="1:17">
      <c r="A171" s="27">
        <v>33</v>
      </c>
      <c r="B171" s="11" t="s">
        <v>364</v>
      </c>
      <c r="C171" s="12" t="s">
        <v>512</v>
      </c>
      <c r="D171" s="15" t="s">
        <v>372</v>
      </c>
      <c r="E171" s="226">
        <v>173859.5</v>
      </c>
      <c r="F171" s="922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2">
        <v>13487.8533333333</v>
      </c>
      <c r="K171" s="912">
        <f t="shared" si="54"/>
        <v>19017.3733333333</v>
      </c>
      <c r="L171" s="912">
        <f t="shared" si="55"/>
        <v>5529.51999999998</v>
      </c>
      <c r="M171" s="912"/>
      <c r="N171" s="912"/>
      <c r="O171" s="912">
        <f t="shared" si="63"/>
        <v>0</v>
      </c>
      <c r="P171" s="912">
        <f t="shared" si="56"/>
        <v>228208.48</v>
      </c>
      <c r="Q171" s="912">
        <f t="shared" si="57"/>
        <v>0</v>
      </c>
    </row>
    <row r="172" customHeight="1" spans="1:17">
      <c r="A172" s="27">
        <v>34</v>
      </c>
      <c r="B172" s="11" t="s">
        <v>365</v>
      </c>
      <c r="C172" s="12" t="s">
        <v>512</v>
      </c>
      <c r="D172" s="15" t="s">
        <v>384</v>
      </c>
      <c r="E172" s="226">
        <v>168598.166666667</v>
      </c>
      <c r="F172" s="922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2">
        <v>13066.9466666667</v>
      </c>
      <c r="K172" s="912">
        <f t="shared" ref="K172:K198" si="64">H172*0.08</f>
        <v>18538.7066666667</v>
      </c>
      <c r="L172" s="912">
        <f t="shared" ref="L172:L198" si="65">K172-J172</f>
        <v>5471.76000000002</v>
      </c>
      <c r="M172" s="912"/>
      <c r="N172" s="912"/>
      <c r="O172" s="912">
        <f t="shared" si="63"/>
        <v>0</v>
      </c>
      <c r="P172" s="912">
        <f t="shared" si="56"/>
        <v>222464.48</v>
      </c>
      <c r="Q172" s="912">
        <f t="shared" si="57"/>
        <v>0</v>
      </c>
    </row>
    <row r="173" customHeight="1" spans="1:17">
      <c r="A173" s="27">
        <v>35</v>
      </c>
      <c r="B173" s="11" t="s">
        <v>367</v>
      </c>
      <c r="C173" s="12" t="s">
        <v>512</v>
      </c>
      <c r="D173" s="15" t="s">
        <v>384</v>
      </c>
      <c r="E173" s="226">
        <v>168598.166666667</v>
      </c>
      <c r="F173" s="922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2">
        <v>13066.9466666667</v>
      </c>
      <c r="K173" s="912">
        <f t="shared" si="64"/>
        <v>18538.7066666667</v>
      </c>
      <c r="L173" s="912">
        <f t="shared" si="65"/>
        <v>5471.76000000002</v>
      </c>
      <c r="M173" s="912"/>
      <c r="N173" s="912"/>
      <c r="O173" s="912">
        <f t="shared" si="63"/>
        <v>0</v>
      </c>
      <c r="P173" s="912">
        <f t="shared" si="56"/>
        <v>222464.48</v>
      </c>
      <c r="Q173" s="912">
        <f t="shared" si="57"/>
        <v>0</v>
      </c>
    </row>
    <row r="174" customHeight="1" spans="1:17">
      <c r="A174" s="27">
        <v>36</v>
      </c>
      <c r="B174" s="14" t="s">
        <v>368</v>
      </c>
      <c r="C174" s="12" t="s">
        <v>512</v>
      </c>
      <c r="D174" s="15" t="s">
        <v>384</v>
      </c>
      <c r="E174" s="226">
        <v>168598.166666667</v>
      </c>
      <c r="F174" s="922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2">
        <v>13066.9466666667</v>
      </c>
      <c r="K174" s="912">
        <f t="shared" si="64"/>
        <v>18538.7066666667</v>
      </c>
      <c r="L174" s="912">
        <f t="shared" si="65"/>
        <v>5471.76000000002</v>
      </c>
      <c r="M174" s="912"/>
      <c r="N174" s="912"/>
      <c r="O174" s="912">
        <f t="shared" si="63"/>
        <v>0</v>
      </c>
      <c r="P174" s="912">
        <f t="shared" si="56"/>
        <v>222464.48</v>
      </c>
      <c r="Q174" s="912">
        <f t="shared" si="57"/>
        <v>0</v>
      </c>
    </row>
    <row r="175" customHeight="1" spans="1:17">
      <c r="A175" s="27">
        <v>37</v>
      </c>
      <c r="B175" s="11" t="s">
        <v>369</v>
      </c>
      <c r="C175" s="12" t="s">
        <v>512</v>
      </c>
      <c r="D175" s="15" t="s">
        <v>384</v>
      </c>
      <c r="E175" s="226">
        <v>168598.166666667</v>
      </c>
      <c r="F175" s="922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2">
        <v>13066.9466666667</v>
      </c>
      <c r="K175" s="912">
        <f t="shared" si="64"/>
        <v>18538.7066666667</v>
      </c>
      <c r="L175" s="912">
        <f t="shared" si="65"/>
        <v>5471.76000000002</v>
      </c>
      <c r="M175" s="912"/>
      <c r="N175" s="912"/>
      <c r="O175" s="912">
        <f t="shared" si="63"/>
        <v>0</v>
      </c>
      <c r="P175" s="912">
        <f t="shared" si="56"/>
        <v>222464.48</v>
      </c>
      <c r="Q175" s="912">
        <f t="shared" si="57"/>
        <v>0</v>
      </c>
    </row>
    <row r="176" customHeight="1" spans="1:17">
      <c r="A176" s="27">
        <v>38</v>
      </c>
      <c r="B176" s="18" t="s">
        <v>370</v>
      </c>
      <c r="C176" s="12" t="s">
        <v>512</v>
      </c>
      <c r="D176" s="15" t="s">
        <v>384</v>
      </c>
      <c r="E176" s="226">
        <v>168598.166666667</v>
      </c>
      <c r="F176" s="922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2">
        <v>13066.9466666667</v>
      </c>
      <c r="K176" s="912">
        <f t="shared" si="64"/>
        <v>18538.7066666667</v>
      </c>
      <c r="L176" s="912">
        <f t="shared" si="65"/>
        <v>5471.76000000002</v>
      </c>
      <c r="M176" s="912"/>
      <c r="N176" s="912"/>
      <c r="O176" s="912">
        <f t="shared" si="63"/>
        <v>0</v>
      </c>
      <c r="P176" s="912">
        <f t="shared" si="56"/>
        <v>222464.48</v>
      </c>
      <c r="Q176" s="912">
        <f t="shared" si="57"/>
        <v>0</v>
      </c>
    </row>
    <row r="177" customHeight="1" spans="1:17">
      <c r="A177" s="27">
        <v>39</v>
      </c>
      <c r="B177" s="18" t="s">
        <v>357</v>
      </c>
      <c r="C177" s="12" t="s">
        <v>512</v>
      </c>
      <c r="D177" s="15" t="s">
        <v>384</v>
      </c>
      <c r="E177" s="226">
        <v>168598.166666667</v>
      </c>
      <c r="F177" s="922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2">
        <v>13066.9466666667</v>
      </c>
      <c r="K177" s="912">
        <f t="shared" si="64"/>
        <v>18538.7066666667</v>
      </c>
      <c r="L177" s="912">
        <f t="shared" si="65"/>
        <v>5471.76000000002</v>
      </c>
      <c r="M177" s="912"/>
      <c r="N177" s="912"/>
      <c r="O177" s="912">
        <f t="shared" si="63"/>
        <v>0</v>
      </c>
      <c r="P177" s="912">
        <f t="shared" si="56"/>
        <v>222464.48</v>
      </c>
      <c r="Q177" s="912">
        <f t="shared" ref="Q177:Q198" si="66">N177*12</f>
        <v>0</v>
      </c>
    </row>
    <row r="178" customHeight="1" spans="1:17">
      <c r="A178" s="27">
        <v>40</v>
      </c>
      <c r="B178" s="11" t="s">
        <v>371</v>
      </c>
      <c r="C178" s="12" t="s">
        <v>360</v>
      </c>
      <c r="D178" s="15" t="s">
        <v>606</v>
      </c>
      <c r="E178" s="85">
        <v>158075.5</v>
      </c>
      <c r="F178" s="922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2">
        <v>12225.1333333333</v>
      </c>
      <c r="K178" s="912">
        <f t="shared" si="64"/>
        <v>17581.3866666666</v>
      </c>
      <c r="L178" s="912">
        <f t="shared" si="65"/>
        <v>5356.25333333334</v>
      </c>
      <c r="M178" s="912"/>
      <c r="N178" s="912"/>
      <c r="O178" s="912">
        <f t="shared" si="63"/>
        <v>0</v>
      </c>
      <c r="P178" s="912">
        <f t="shared" si="56"/>
        <v>210976.639999999</v>
      </c>
      <c r="Q178" s="912">
        <f t="shared" si="66"/>
        <v>0</v>
      </c>
    </row>
    <row r="179" customHeight="1" spans="1:17">
      <c r="A179" s="27">
        <v>41</v>
      </c>
      <c r="B179" s="11" t="s">
        <v>373</v>
      </c>
      <c r="C179" s="12" t="s">
        <v>360</v>
      </c>
      <c r="D179" s="15" t="s">
        <v>606</v>
      </c>
      <c r="E179" s="85">
        <v>158075.5</v>
      </c>
      <c r="F179" s="922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2">
        <v>12225.1333333333</v>
      </c>
      <c r="K179" s="912">
        <f t="shared" si="64"/>
        <v>17581.3866666666</v>
      </c>
      <c r="L179" s="912">
        <f t="shared" si="65"/>
        <v>5356.25333333334</v>
      </c>
      <c r="M179" s="912"/>
      <c r="N179" s="912"/>
      <c r="O179" s="912">
        <f t="shared" si="63"/>
        <v>0</v>
      </c>
      <c r="P179" s="912">
        <f t="shared" si="56"/>
        <v>210976.639999999</v>
      </c>
      <c r="Q179" s="912">
        <f t="shared" si="66"/>
        <v>0</v>
      </c>
    </row>
    <row r="180" customHeight="1" spans="1:17">
      <c r="A180" s="27">
        <v>42</v>
      </c>
      <c r="B180" s="18" t="s">
        <v>374</v>
      </c>
      <c r="C180" s="12" t="s">
        <v>360</v>
      </c>
      <c r="D180" s="15" t="s">
        <v>377</v>
      </c>
      <c r="E180" s="85">
        <v>163336.833333333</v>
      </c>
      <c r="F180" s="922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2">
        <v>12646.04</v>
      </c>
      <c r="K180" s="912">
        <f t="shared" si="64"/>
        <v>18060.0466666666</v>
      </c>
      <c r="L180" s="912">
        <f t="shared" si="65"/>
        <v>5414.00666666664</v>
      </c>
      <c r="M180" s="912"/>
      <c r="N180" s="912"/>
      <c r="O180" s="912">
        <f t="shared" si="63"/>
        <v>0</v>
      </c>
      <c r="P180" s="912">
        <f t="shared" si="56"/>
        <v>216720.559999999</v>
      </c>
      <c r="Q180" s="912">
        <f t="shared" si="66"/>
        <v>0</v>
      </c>
    </row>
    <row r="181" customHeight="1" spans="1:17">
      <c r="A181" s="27">
        <v>43</v>
      </c>
      <c r="B181" s="11" t="s">
        <v>376</v>
      </c>
      <c r="C181" s="12" t="s">
        <v>387</v>
      </c>
      <c r="D181" s="15" t="s">
        <v>607</v>
      </c>
      <c r="E181" s="85">
        <v>152814.166666667</v>
      </c>
      <c r="F181" s="922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2">
        <v>12225.1333333333</v>
      </c>
      <c r="K181" s="912">
        <f t="shared" si="64"/>
        <v>17102.72</v>
      </c>
      <c r="L181" s="912">
        <f t="shared" si="65"/>
        <v>4877.5866666667</v>
      </c>
      <c r="M181" s="912"/>
      <c r="N181" s="912"/>
      <c r="O181" s="912">
        <f t="shared" si="63"/>
        <v>0</v>
      </c>
      <c r="P181" s="912">
        <f t="shared" si="56"/>
        <v>205232.64</v>
      </c>
      <c r="Q181" s="912">
        <f t="shared" si="66"/>
        <v>0</v>
      </c>
    </row>
    <row r="182" customHeight="1" spans="1:17">
      <c r="A182" s="27">
        <v>44</v>
      </c>
      <c r="B182" s="11" t="s">
        <v>378</v>
      </c>
      <c r="C182" s="12" t="s">
        <v>514</v>
      </c>
      <c r="D182" s="15" t="s">
        <v>667</v>
      </c>
      <c r="E182" s="85">
        <v>94145.75</v>
      </c>
      <c r="F182" s="922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2">
        <v>7327.84</v>
      </c>
      <c r="K182" s="912">
        <f t="shared" si="64"/>
        <v>11708.54</v>
      </c>
      <c r="L182" s="912">
        <f t="shared" si="65"/>
        <v>4380.7</v>
      </c>
      <c r="M182" s="912"/>
      <c r="N182" s="912"/>
      <c r="O182" s="912">
        <f t="shared" si="63"/>
        <v>0</v>
      </c>
      <c r="P182" s="912">
        <f t="shared" si="56"/>
        <v>140502.48</v>
      </c>
      <c r="Q182" s="912">
        <f t="shared" si="66"/>
        <v>0</v>
      </c>
    </row>
    <row r="183" customHeight="1" spans="1:17">
      <c r="A183" s="27">
        <v>45</v>
      </c>
      <c r="B183" s="11" t="s">
        <v>379</v>
      </c>
      <c r="C183" s="12" t="s">
        <v>514</v>
      </c>
      <c r="D183" s="15" t="s">
        <v>667</v>
      </c>
      <c r="E183" s="85">
        <v>94145.75</v>
      </c>
      <c r="F183" s="922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2">
        <v>7327.84</v>
      </c>
      <c r="K183" s="912">
        <f t="shared" si="64"/>
        <v>11708.54</v>
      </c>
      <c r="L183" s="912">
        <f t="shared" si="65"/>
        <v>4380.7</v>
      </c>
      <c r="M183" s="912"/>
      <c r="N183" s="912"/>
      <c r="O183" s="912">
        <f t="shared" si="63"/>
        <v>0</v>
      </c>
      <c r="P183" s="912">
        <f t="shared" si="56"/>
        <v>140502.48</v>
      </c>
      <c r="Q183" s="912">
        <f t="shared" si="66"/>
        <v>0</v>
      </c>
    </row>
    <row r="184" customHeight="1" spans="1:17">
      <c r="A184" s="27">
        <v>46</v>
      </c>
      <c r="B184" s="11" t="s">
        <v>380</v>
      </c>
      <c r="C184" s="12" t="s">
        <v>514</v>
      </c>
      <c r="D184" s="15" t="s">
        <v>667</v>
      </c>
      <c r="E184" s="85">
        <v>94145.75</v>
      </c>
      <c r="F184" s="922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2">
        <v>7327.84</v>
      </c>
      <c r="K184" s="912">
        <f t="shared" si="64"/>
        <v>11708.54</v>
      </c>
      <c r="L184" s="912">
        <f t="shared" si="65"/>
        <v>4380.7</v>
      </c>
      <c r="M184" s="912"/>
      <c r="N184" s="912"/>
      <c r="O184" s="912">
        <f t="shared" si="63"/>
        <v>0</v>
      </c>
      <c r="P184" s="912">
        <f t="shared" si="56"/>
        <v>140502.48</v>
      </c>
      <c r="Q184" s="912">
        <f t="shared" si="66"/>
        <v>0</v>
      </c>
    </row>
    <row r="185" customHeight="1" spans="1:17">
      <c r="A185" s="27">
        <v>47</v>
      </c>
      <c r="B185" s="11" t="s">
        <v>381</v>
      </c>
      <c r="C185" s="12" t="s">
        <v>514</v>
      </c>
      <c r="D185" s="15" t="s">
        <v>667</v>
      </c>
      <c r="E185" s="85">
        <v>94145.75</v>
      </c>
      <c r="F185" s="922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2">
        <v>7327.84</v>
      </c>
      <c r="K185" s="912">
        <f t="shared" si="64"/>
        <v>11708.54</v>
      </c>
      <c r="L185" s="912">
        <f t="shared" si="65"/>
        <v>4380.7</v>
      </c>
      <c r="M185" s="912"/>
      <c r="N185" s="912"/>
      <c r="O185" s="912">
        <f t="shared" si="63"/>
        <v>0</v>
      </c>
      <c r="P185" s="912">
        <f t="shared" si="56"/>
        <v>140502.48</v>
      </c>
      <c r="Q185" s="912">
        <f t="shared" si="66"/>
        <v>0</v>
      </c>
    </row>
    <row r="186" customHeight="1" spans="1:17">
      <c r="A186" s="27">
        <v>48</v>
      </c>
      <c r="B186" s="11" t="s">
        <v>382</v>
      </c>
      <c r="C186" s="12" t="s">
        <v>514</v>
      </c>
      <c r="D186" s="15" t="s">
        <v>667</v>
      </c>
      <c r="E186" s="85">
        <v>94145.75</v>
      </c>
      <c r="F186" s="922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2">
        <v>7327.84</v>
      </c>
      <c r="K186" s="912">
        <f t="shared" si="64"/>
        <v>11708.54</v>
      </c>
      <c r="L186" s="912">
        <f t="shared" si="65"/>
        <v>4380.7</v>
      </c>
      <c r="M186" s="912"/>
      <c r="N186" s="912"/>
      <c r="O186" s="912">
        <f t="shared" si="63"/>
        <v>0</v>
      </c>
      <c r="P186" s="912">
        <f t="shared" si="56"/>
        <v>140502.48</v>
      </c>
      <c r="Q186" s="912">
        <f t="shared" si="66"/>
        <v>0</v>
      </c>
    </row>
    <row r="187" customHeight="1" spans="1:17">
      <c r="A187" s="27">
        <v>49</v>
      </c>
      <c r="B187" s="18" t="s">
        <v>383</v>
      </c>
      <c r="C187" s="12" t="s">
        <v>514</v>
      </c>
      <c r="D187" s="15" t="s">
        <v>667</v>
      </c>
      <c r="E187" s="85">
        <v>94145.75</v>
      </c>
      <c r="F187" s="922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2">
        <v>7327.84</v>
      </c>
      <c r="K187" s="912">
        <f t="shared" si="64"/>
        <v>11708.54</v>
      </c>
      <c r="L187" s="912">
        <f t="shared" si="65"/>
        <v>4380.7</v>
      </c>
      <c r="M187" s="912"/>
      <c r="N187" s="912"/>
      <c r="O187" s="912">
        <f t="shared" si="63"/>
        <v>0</v>
      </c>
      <c r="P187" s="912">
        <f t="shared" ref="P187:P198" si="68">12*K187</f>
        <v>140502.48</v>
      </c>
      <c r="Q187" s="912">
        <f t="shared" si="66"/>
        <v>0</v>
      </c>
    </row>
    <row r="188" customHeight="1" spans="1:17">
      <c r="A188" s="27">
        <v>50</v>
      </c>
      <c r="B188" s="18" t="s">
        <v>385</v>
      </c>
      <c r="C188" s="12" t="s">
        <v>514</v>
      </c>
      <c r="D188" s="15" t="s">
        <v>667</v>
      </c>
      <c r="E188" s="85">
        <v>94145.75</v>
      </c>
      <c r="F188" s="922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2">
        <v>7327.84</v>
      </c>
      <c r="K188" s="912">
        <f t="shared" si="64"/>
        <v>11708.54</v>
      </c>
      <c r="L188" s="912">
        <f t="shared" si="65"/>
        <v>4380.7</v>
      </c>
      <c r="M188" s="912"/>
      <c r="N188" s="912"/>
      <c r="O188" s="912">
        <f t="shared" si="63"/>
        <v>0</v>
      </c>
      <c r="P188" s="912">
        <f t="shared" si="68"/>
        <v>140502.48</v>
      </c>
      <c r="Q188" s="912">
        <f t="shared" si="66"/>
        <v>0</v>
      </c>
    </row>
    <row r="189" customHeight="1" spans="1:17">
      <c r="A189" s="27">
        <v>51</v>
      </c>
      <c r="B189" s="11" t="s">
        <v>668</v>
      </c>
      <c r="C189" s="12" t="s">
        <v>387</v>
      </c>
      <c r="D189" s="15" t="s">
        <v>667</v>
      </c>
      <c r="E189" s="85">
        <v>94145.75</v>
      </c>
      <c r="F189" s="922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2"/>
      <c r="K189" s="912">
        <f t="shared" si="64"/>
        <v>11708.54</v>
      </c>
      <c r="L189" s="912">
        <f t="shared" si="65"/>
        <v>11708.54</v>
      </c>
      <c r="M189" s="912"/>
      <c r="N189" s="912"/>
      <c r="O189" s="912">
        <f t="shared" si="63"/>
        <v>0</v>
      </c>
      <c r="P189" s="912">
        <f t="shared" si="68"/>
        <v>140502.48</v>
      </c>
      <c r="Q189" s="912">
        <f t="shared" si="66"/>
        <v>0</v>
      </c>
    </row>
    <row r="190" customHeight="1" spans="1:17">
      <c r="A190" s="27">
        <v>52</v>
      </c>
      <c r="B190" s="11" t="s">
        <v>386</v>
      </c>
      <c r="C190" s="12" t="s">
        <v>387</v>
      </c>
      <c r="D190" s="15" t="s">
        <v>667</v>
      </c>
      <c r="E190" s="85">
        <v>94145.75</v>
      </c>
      <c r="F190" s="922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2">
        <v>7327.84</v>
      </c>
      <c r="K190" s="912">
        <f t="shared" si="64"/>
        <v>11708.54</v>
      </c>
      <c r="L190" s="912">
        <f t="shared" si="65"/>
        <v>4380.7</v>
      </c>
      <c r="M190" s="912"/>
      <c r="N190" s="912"/>
      <c r="O190" s="912">
        <f t="shared" si="63"/>
        <v>0</v>
      </c>
      <c r="P190" s="912">
        <f t="shared" si="68"/>
        <v>140502.48</v>
      </c>
      <c r="Q190" s="912">
        <f t="shared" si="66"/>
        <v>0</v>
      </c>
    </row>
    <row r="191" customHeight="1" spans="1:17">
      <c r="A191" s="27">
        <v>53</v>
      </c>
      <c r="B191" s="18" t="s">
        <v>358</v>
      </c>
      <c r="C191" s="12" t="s">
        <v>390</v>
      </c>
      <c r="D191" s="15" t="s">
        <v>669</v>
      </c>
      <c r="E191" s="85">
        <v>91598</v>
      </c>
      <c r="F191" s="922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2">
        <v>7124.02</v>
      </c>
      <c r="K191" s="912">
        <f t="shared" si="64"/>
        <v>11479.6533333333</v>
      </c>
      <c r="L191" s="912">
        <f t="shared" si="65"/>
        <v>4355.63333333334</v>
      </c>
      <c r="M191" s="912"/>
      <c r="N191" s="912"/>
      <c r="O191" s="912">
        <f t="shared" si="63"/>
        <v>0</v>
      </c>
      <c r="P191" s="912">
        <f t="shared" si="68"/>
        <v>137755.84</v>
      </c>
      <c r="Q191" s="912">
        <f t="shared" si="66"/>
        <v>0</v>
      </c>
    </row>
    <row r="192" customHeight="1" spans="1:17">
      <c r="A192" s="27">
        <v>54</v>
      </c>
      <c r="B192" s="18" t="s">
        <v>389</v>
      </c>
      <c r="C192" s="12" t="s">
        <v>390</v>
      </c>
      <c r="D192" s="15" t="s">
        <v>393</v>
      </c>
      <c r="E192" s="85">
        <v>86502.5</v>
      </c>
      <c r="F192" s="922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2"/>
      <c r="K192" s="912">
        <f t="shared" si="64"/>
        <v>11021.88</v>
      </c>
      <c r="L192" s="912">
        <f t="shared" si="65"/>
        <v>11021.88</v>
      </c>
      <c r="M192" s="912"/>
      <c r="N192" s="912"/>
      <c r="O192" s="912">
        <f t="shared" si="63"/>
        <v>0</v>
      </c>
      <c r="P192" s="912">
        <f t="shared" si="68"/>
        <v>132262.56</v>
      </c>
      <c r="Q192" s="912">
        <f t="shared" si="66"/>
        <v>0</v>
      </c>
    </row>
    <row r="193" customHeight="1" spans="1:17">
      <c r="A193" s="27">
        <v>55</v>
      </c>
      <c r="B193" s="18" t="s">
        <v>392</v>
      </c>
      <c r="C193" s="12" t="s">
        <v>390</v>
      </c>
      <c r="D193" s="15" t="s">
        <v>395</v>
      </c>
      <c r="E193" s="85">
        <v>83933</v>
      </c>
      <c r="F193" s="922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2">
        <v>6920.2</v>
      </c>
      <c r="K193" s="912">
        <f t="shared" si="64"/>
        <v>10793.0133333333</v>
      </c>
      <c r="L193" s="912">
        <f t="shared" si="65"/>
        <v>3872.81333333333</v>
      </c>
      <c r="M193" s="912"/>
      <c r="N193" s="912"/>
      <c r="O193" s="912">
        <f t="shared" si="63"/>
        <v>0</v>
      </c>
      <c r="P193" s="912">
        <f t="shared" si="68"/>
        <v>129516.16</v>
      </c>
      <c r="Q193" s="912">
        <f t="shared" si="66"/>
        <v>0</v>
      </c>
    </row>
    <row r="194" customHeight="1" spans="1:17">
      <c r="A194" s="27">
        <v>56</v>
      </c>
      <c r="B194" s="18" t="s">
        <v>396</v>
      </c>
      <c r="C194" s="12" t="s">
        <v>397</v>
      </c>
      <c r="D194" s="15" t="s">
        <v>609</v>
      </c>
      <c r="E194" s="85">
        <v>78733.8333333333</v>
      </c>
      <c r="F194" s="911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2">
        <v>6123.26</v>
      </c>
      <c r="K194" s="912">
        <f t="shared" si="64"/>
        <v>10323.9533333333</v>
      </c>
      <c r="L194" s="912">
        <f t="shared" si="65"/>
        <v>4200.69333333334</v>
      </c>
      <c r="M194" s="912"/>
      <c r="N194" s="912"/>
      <c r="O194" s="912">
        <f t="shared" si="63"/>
        <v>0</v>
      </c>
      <c r="P194" s="912">
        <f t="shared" si="68"/>
        <v>123887.44</v>
      </c>
      <c r="Q194" s="912">
        <f t="shared" si="66"/>
        <v>0</v>
      </c>
    </row>
    <row r="195" customHeight="1" spans="1:17">
      <c r="A195" s="27">
        <v>57</v>
      </c>
      <c r="B195" s="18" t="s">
        <v>399</v>
      </c>
      <c r="C195" s="12" t="s">
        <v>397</v>
      </c>
      <c r="D195" s="15" t="s">
        <v>609</v>
      </c>
      <c r="E195" s="85">
        <v>78733.8333333333</v>
      </c>
      <c r="F195" s="911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2">
        <v>6123.26</v>
      </c>
      <c r="K195" s="912">
        <f t="shared" si="64"/>
        <v>10323.9533333333</v>
      </c>
      <c r="L195" s="912">
        <f t="shared" si="65"/>
        <v>4200.69333333334</v>
      </c>
      <c r="M195" s="912"/>
      <c r="N195" s="912"/>
      <c r="O195" s="912">
        <f t="shared" si="63"/>
        <v>0</v>
      </c>
      <c r="P195" s="912">
        <f t="shared" si="68"/>
        <v>123887.44</v>
      </c>
      <c r="Q195" s="912">
        <f t="shared" si="66"/>
        <v>0</v>
      </c>
    </row>
    <row r="196" customHeight="1" spans="1:17">
      <c r="A196" s="27">
        <v>58</v>
      </c>
      <c r="B196" s="18" t="s">
        <v>400</v>
      </c>
      <c r="C196" s="12" t="s">
        <v>397</v>
      </c>
      <c r="D196" s="15" t="s">
        <v>609</v>
      </c>
      <c r="E196" s="85">
        <v>78733.8333333333</v>
      </c>
      <c r="F196" s="911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2">
        <v>6123.26</v>
      </c>
      <c r="K196" s="912">
        <f t="shared" si="64"/>
        <v>10323.9533333333</v>
      </c>
      <c r="L196" s="912">
        <f t="shared" si="65"/>
        <v>4200.69333333334</v>
      </c>
      <c r="M196" s="912"/>
      <c r="N196" s="912"/>
      <c r="O196" s="912">
        <f t="shared" si="63"/>
        <v>0</v>
      </c>
      <c r="P196" s="912">
        <f t="shared" si="68"/>
        <v>123887.44</v>
      </c>
      <c r="Q196" s="912">
        <f t="shared" si="66"/>
        <v>0</v>
      </c>
    </row>
    <row r="197" customHeight="1" spans="1:17">
      <c r="A197" s="27">
        <v>59</v>
      </c>
      <c r="B197" s="18" t="s">
        <v>401</v>
      </c>
      <c r="C197" s="12" t="s">
        <v>402</v>
      </c>
      <c r="D197" s="15" t="s">
        <v>391</v>
      </c>
      <c r="E197" s="85">
        <v>89050.25</v>
      </c>
      <c r="F197" s="911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2">
        <v>6920.2</v>
      </c>
      <c r="K197" s="912">
        <f t="shared" si="64"/>
        <v>11250.7733333333</v>
      </c>
      <c r="L197" s="912">
        <f t="shared" si="65"/>
        <v>4330.57333333333</v>
      </c>
      <c r="M197" s="912"/>
      <c r="N197" s="912"/>
      <c r="O197" s="912">
        <f t="shared" si="63"/>
        <v>0</v>
      </c>
      <c r="P197" s="912">
        <f t="shared" si="68"/>
        <v>135009.28</v>
      </c>
      <c r="Q197" s="912">
        <f t="shared" si="66"/>
        <v>0</v>
      </c>
    </row>
    <row r="198" customHeight="1" spans="1:17">
      <c r="A198" s="27">
        <v>60</v>
      </c>
      <c r="B198" s="18" t="s">
        <v>404</v>
      </c>
      <c r="C198" s="12" t="s">
        <v>402</v>
      </c>
      <c r="D198" s="15" t="s">
        <v>391</v>
      </c>
      <c r="E198" s="85">
        <v>89050.25</v>
      </c>
      <c r="F198" s="911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2">
        <v>6920.2</v>
      </c>
      <c r="K198" s="912">
        <f t="shared" si="64"/>
        <v>11250.7733333333</v>
      </c>
      <c r="L198" s="912">
        <f t="shared" si="65"/>
        <v>4330.57333333333</v>
      </c>
      <c r="M198" s="912"/>
      <c r="N198" s="912"/>
      <c r="O198" s="912">
        <f t="shared" si="63"/>
        <v>0</v>
      </c>
      <c r="P198" s="912">
        <f t="shared" si="68"/>
        <v>135009.28</v>
      </c>
      <c r="Q198" s="912">
        <f t="shared" si="66"/>
        <v>0</v>
      </c>
    </row>
    <row r="199" ht="30.75" customHeight="1" spans="1:17">
      <c r="A199" s="27"/>
      <c r="B199" s="8" t="s">
        <v>120</v>
      </c>
      <c r="C199" s="28" t="s">
        <v>670</v>
      </c>
      <c r="D199" s="29"/>
      <c r="E199" s="93">
        <f t="shared" ref="E199:Q199" si="69">SUM(E139:E198)</f>
        <v>14787756.9166667</v>
      </c>
      <c r="F199" s="915">
        <f t="shared" si="69"/>
        <v>12440135.5</v>
      </c>
      <c r="G199" s="93">
        <f t="shared" si="69"/>
        <v>6814126.75</v>
      </c>
      <c r="H199" s="93">
        <f t="shared" si="69"/>
        <v>19254262.25</v>
      </c>
      <c r="I199" s="93">
        <f t="shared" si="69"/>
        <v>4466505.33333333</v>
      </c>
      <c r="J199" s="93">
        <f t="shared" si="69"/>
        <v>1154618.35666667</v>
      </c>
      <c r="K199" s="93">
        <f t="shared" si="69"/>
        <v>1540340.98</v>
      </c>
      <c r="L199" s="93">
        <f t="shared" si="69"/>
        <v>385722.623333334</v>
      </c>
      <c r="M199" s="93">
        <f t="shared" si="69"/>
        <v>72300.4916666667</v>
      </c>
      <c r="N199" s="93">
        <f t="shared" si="69"/>
        <v>150315.125</v>
      </c>
      <c r="O199" s="93">
        <f t="shared" si="69"/>
        <v>78014.6333333333</v>
      </c>
      <c r="P199" s="93">
        <f t="shared" si="69"/>
        <v>18484091.76</v>
      </c>
      <c r="Q199" s="93">
        <f t="shared" si="69"/>
        <v>1803781.5</v>
      </c>
    </row>
    <row r="200" ht="30" customHeight="1" spans="1:17">
      <c r="A200" s="4"/>
      <c r="B200" s="30" t="s">
        <v>671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49056822</v>
      </c>
      <c r="G200" s="227">
        <f t="shared" si="70"/>
        <v>29017396.5</v>
      </c>
      <c r="H200" s="227">
        <f t="shared" si="70"/>
        <v>78074218.5</v>
      </c>
      <c r="I200" s="924">
        <f t="shared" si="70"/>
        <v>15379366.1663333</v>
      </c>
      <c r="J200" s="227">
        <f t="shared" si="70"/>
        <v>4754163.56</v>
      </c>
      <c r="K200" s="227">
        <f t="shared" si="70"/>
        <v>6015821.97333333</v>
      </c>
      <c r="L200" s="924">
        <f t="shared" si="70"/>
        <v>1261658.41333333</v>
      </c>
      <c r="M200" s="227">
        <f t="shared" si="70"/>
        <v>267480.25625</v>
      </c>
      <c r="N200" s="227">
        <f t="shared" si="70"/>
        <v>513039.26875</v>
      </c>
      <c r="O200" s="924">
        <f t="shared" si="70"/>
        <v>245559.0125</v>
      </c>
      <c r="P200" s="227">
        <f t="shared" si="70"/>
        <v>72189863.68</v>
      </c>
      <c r="Q200" s="227">
        <f t="shared" si="70"/>
        <v>5757905.45</v>
      </c>
    </row>
    <row r="201" s="1" customFormat="1" ht="35.25" customHeight="1" spans="1:17">
      <c r="A201" s="4"/>
      <c r="B201" s="30" t="s">
        <v>672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673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54402916.8333333</v>
      </c>
      <c r="G202" s="227">
        <f t="shared" si="71"/>
        <v>32040283.9166667</v>
      </c>
      <c r="H202" s="227">
        <f t="shared" si="71"/>
        <v>86443200.75</v>
      </c>
      <c r="I202" s="227">
        <f t="shared" si="71"/>
        <v>17184619.1663333</v>
      </c>
      <c r="J202" s="227">
        <f t="shared" si="71"/>
        <v>5279261.9</v>
      </c>
      <c r="K202" s="227">
        <f t="shared" si="71"/>
        <v>6685340.55333333</v>
      </c>
      <c r="L202" s="227">
        <f t="shared" si="71"/>
        <v>1406078.65333333</v>
      </c>
      <c r="M202" s="227">
        <f t="shared" si="71"/>
        <v>267480.25625</v>
      </c>
      <c r="N202" s="227">
        <f t="shared" si="71"/>
        <v>513039.26875</v>
      </c>
      <c r="O202" s="227">
        <f t="shared" si="71"/>
        <v>245559.0125</v>
      </c>
      <c r="P202" s="227">
        <f t="shared" si="71"/>
        <v>72189863.68</v>
      </c>
      <c r="Q202" s="227">
        <f t="shared" si="71"/>
        <v>5757905.45</v>
      </c>
    </row>
    <row r="203" customHeight="1" spans="1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1:17">
      <c r="F204" s="1"/>
    </row>
    <row r="205" customHeight="1" spans="1:17">
      <c r="F205" s="1"/>
      <c r="N205" s="13"/>
    </row>
    <row r="206" customHeight="1" spans="1:17">
      <c r="F206" s="1"/>
    </row>
    <row r="207" customHeight="1" spans="1:17">
      <c r="F207" s="1"/>
    </row>
    <row r="208" customHeight="1" spans="1:17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C161" workbookViewId="0">
      <selection activeCell="C173" sqref="C173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928" t="s">
        <v>694</v>
      </c>
      <c r="AA4" s="464" t="s">
        <v>476</v>
      </c>
      <c r="AB4" s="466" t="s">
        <v>695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4" si="0">C6*D6</f>
        <v>26956465</v>
      </c>
      <c r="F6" s="470"/>
      <c r="G6" s="470">
        <v>0</v>
      </c>
      <c r="H6" s="470"/>
      <c r="I6" s="470">
        <f t="shared" ref="I6:I34" si="1">E6-F6-G6-H6</f>
        <v>26956465</v>
      </c>
      <c r="J6" s="470">
        <v>200000</v>
      </c>
      <c r="K6" s="470">
        <v>0.2</v>
      </c>
      <c r="L6" s="470">
        <f t="shared" ref="L6:L34" si="2">I6*K6</f>
        <v>5391292.99999999</v>
      </c>
      <c r="M6" s="470">
        <f t="shared" ref="M6:M34" si="3">J6+L6</f>
        <v>5591292.99999999</v>
      </c>
      <c r="N6" s="470">
        <f t="shared" ref="N6:N34" si="4">F6+G6+H6+M6</f>
        <v>5591292.99999999</v>
      </c>
      <c r="O6" s="470">
        <f t="shared" ref="O6:O34" si="5">E6-N6</f>
        <v>21365172</v>
      </c>
      <c r="P6" s="470">
        <f t="shared" ref="P6:P34" si="6">IF(O6&lt;300000,0.07*O6,21000)</f>
        <v>21000</v>
      </c>
      <c r="Q6" s="470">
        <f t="shared" ref="Q6:Q34" si="7">IF((O6-300000)&lt;0,0,IF((O6-300000)&lt;300000,0.11*(O6-300000),33000))</f>
        <v>33000</v>
      </c>
      <c r="R6" s="470">
        <f t="shared" ref="R6:R34" si="8">IF((O6-600000)&lt;0,0,IF((O6-600000)&lt;500000,0.15*(O6-600000),75000))</f>
        <v>75000</v>
      </c>
      <c r="S6" s="470">
        <f t="shared" ref="S6:S34" si="9">IF((O6-1100000)&lt;0,0,IF((O6-1100000)&lt;500000,0.19*(O6-1100000),95000))</f>
        <v>95000</v>
      </c>
      <c r="T6" s="470">
        <f t="shared" ref="T6:T34" si="10">IF((O6-1600000)&lt;0,0,IF((O6-1600000)&lt;1600000,0.21*(O6-1600000),336000))</f>
        <v>336000</v>
      </c>
      <c r="U6" s="470">
        <f t="shared" ref="U6:U23" si="11">24%*(O6-3200000)</f>
        <v>4359641.27999999</v>
      </c>
      <c r="V6" s="470">
        <f t="shared" ref="V6:V34" si="12">P6+Q6+R6+S6+T6+U6</f>
        <v>4919641.27999999</v>
      </c>
      <c r="W6" s="471">
        <v>12</v>
      </c>
      <c r="X6" s="470">
        <f t="shared" ref="X6:X34" si="13">V6/W6</f>
        <v>409970.106666666</v>
      </c>
      <c r="Y6" s="470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1540720.61184</v>
      </c>
      <c r="V7" s="470">
        <f t="shared" si="12"/>
        <v>2100720.61184</v>
      </c>
      <c r="W7" s="471">
        <v>12</v>
      </c>
      <c r="X7" s="470">
        <f t="shared" si="13"/>
        <v>175060.050986667</v>
      </c>
      <c r="Y7" s="470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1295306.75</v>
      </c>
      <c r="D8" s="469">
        <v>12</v>
      </c>
      <c r="E8" s="470">
        <f t="shared" si="0"/>
        <v>15543681</v>
      </c>
      <c r="F8" s="470"/>
      <c r="G8" s="470">
        <v>0</v>
      </c>
      <c r="H8" s="470"/>
      <c r="I8" s="470">
        <f t="shared" si="1"/>
        <v>15543681</v>
      </c>
      <c r="J8" s="470">
        <v>200000</v>
      </c>
      <c r="K8" s="470">
        <v>0.2</v>
      </c>
      <c r="L8" s="470">
        <f t="shared" si="2"/>
        <v>3108736.2</v>
      </c>
      <c r="M8" s="470">
        <f t="shared" si="3"/>
        <v>3308736.2</v>
      </c>
      <c r="N8" s="470">
        <f t="shared" si="4"/>
        <v>3308736.2</v>
      </c>
      <c r="O8" s="470">
        <f t="shared" si="5"/>
        <v>12234944.8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2168386.752</v>
      </c>
      <c r="V8" s="470">
        <f t="shared" si="12"/>
        <v>2728386.752</v>
      </c>
      <c r="W8" s="471">
        <v>12</v>
      </c>
      <c r="X8" s="470">
        <f t="shared" si="13"/>
        <v>227365.562666667</v>
      </c>
      <c r="Y8" s="470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1485731.64864</v>
      </c>
      <c r="V9" s="470">
        <f t="shared" si="12"/>
        <v>2045731.64864</v>
      </c>
      <c r="W9" s="471">
        <v>12</v>
      </c>
      <c r="X9" s="470">
        <f t="shared" si="13"/>
        <v>170477.637386667</v>
      </c>
      <c r="Y9" s="470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1019008.91666667</v>
      </c>
      <c r="D10" s="469">
        <v>12</v>
      </c>
      <c r="E10" s="470">
        <f t="shared" si="0"/>
        <v>12228107</v>
      </c>
      <c r="F10" s="470">
        <v>157015.95</v>
      </c>
      <c r="G10" s="470">
        <v>818602.64</v>
      </c>
      <c r="H10" s="470"/>
      <c r="I10" s="470">
        <f t="shared" si="1"/>
        <v>11252488.41</v>
      </c>
      <c r="J10" s="470">
        <v>200000</v>
      </c>
      <c r="K10" s="470">
        <v>0.2</v>
      </c>
      <c r="L10" s="470">
        <f t="shared" si="2"/>
        <v>2250497.682</v>
      </c>
      <c r="M10" s="470">
        <f t="shared" si="3"/>
        <v>2450497.682</v>
      </c>
      <c r="N10" s="470">
        <f t="shared" si="4"/>
        <v>3426116.272</v>
      </c>
      <c r="O10" s="470">
        <f t="shared" si="5"/>
        <v>8801990.728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1344477.77472</v>
      </c>
      <c r="V10" s="470">
        <f t="shared" si="12"/>
        <v>1904477.77472</v>
      </c>
      <c r="W10" s="471">
        <v>12</v>
      </c>
      <c r="X10" s="470">
        <f t="shared" si="13"/>
        <v>158706.481226667</v>
      </c>
      <c r="Y10" s="470"/>
      <c r="Z10" s="929">
        <f t="shared" si="14"/>
        <v>158706.481226667</v>
      </c>
      <c r="AA10" s="806">
        <v>129694.695226667</v>
      </c>
      <c r="AB10" s="806">
        <f t="shared" si="15"/>
        <v>29011.7859999997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1519421.86944</v>
      </c>
      <c r="V11" s="470">
        <f t="shared" si="12"/>
        <v>2079421.86944</v>
      </c>
      <c r="W11" s="471">
        <v>12</v>
      </c>
      <c r="X11" s="470">
        <f t="shared" si="13"/>
        <v>173285.155786667</v>
      </c>
      <c r="Y11" s="470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659657</v>
      </c>
      <c r="D12" s="469">
        <v>12</v>
      </c>
      <c r="E12" s="470">
        <f t="shared" si="0"/>
        <v>7915884</v>
      </c>
      <c r="F12" s="470"/>
      <c r="G12" s="470">
        <v>566070.72</v>
      </c>
      <c r="H12" s="470"/>
      <c r="I12" s="470">
        <f t="shared" si="1"/>
        <v>7349813.28</v>
      </c>
      <c r="J12" s="470">
        <v>200000</v>
      </c>
      <c r="K12" s="470">
        <v>0.2</v>
      </c>
      <c r="L12" s="470">
        <f t="shared" si="2"/>
        <v>1469962.656</v>
      </c>
      <c r="M12" s="470">
        <f t="shared" si="3"/>
        <v>1669962.656</v>
      </c>
      <c r="N12" s="470">
        <f t="shared" si="4"/>
        <v>2236033.376</v>
      </c>
      <c r="O12" s="470">
        <f t="shared" si="5"/>
        <v>5679850.624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595164.14976</v>
      </c>
      <c r="V12" s="470">
        <f t="shared" si="12"/>
        <v>1155164.14976</v>
      </c>
      <c r="W12" s="471">
        <v>12</v>
      </c>
      <c r="X12" s="470">
        <f t="shared" si="13"/>
        <v>96263.6791466667</v>
      </c>
      <c r="Y12" s="470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932595.5</v>
      </c>
      <c r="D13" s="469">
        <v>12</v>
      </c>
      <c r="E13" s="470">
        <f t="shared" si="0"/>
        <v>11191146</v>
      </c>
      <c r="F13" s="470"/>
      <c r="G13" s="470">
        <v>693691.68</v>
      </c>
      <c r="H13" s="470"/>
      <c r="I13" s="470">
        <f t="shared" si="1"/>
        <v>10497454.32</v>
      </c>
      <c r="J13" s="470">
        <v>200000</v>
      </c>
      <c r="K13" s="470">
        <v>0.2</v>
      </c>
      <c r="L13" s="470">
        <f t="shared" si="2"/>
        <v>2099490.864</v>
      </c>
      <c r="M13" s="470">
        <f t="shared" si="3"/>
        <v>2299490.864</v>
      </c>
      <c r="N13" s="470">
        <f t="shared" si="4"/>
        <v>2993182.544</v>
      </c>
      <c r="O13" s="470">
        <f t="shared" si="5"/>
        <v>8197963.456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1199511.22944</v>
      </c>
      <c r="V13" s="470">
        <f t="shared" si="12"/>
        <v>1759511.22944</v>
      </c>
      <c r="W13" s="471">
        <v>12</v>
      </c>
      <c r="X13" s="470">
        <f t="shared" si="13"/>
        <v>146625.935786667</v>
      </c>
      <c r="Y13" s="470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1265691.71712</v>
      </c>
      <c r="V14" s="470">
        <f t="shared" si="12"/>
        <v>1825691.71712</v>
      </c>
      <c r="W14" s="471">
        <v>12</v>
      </c>
      <c r="X14" s="470">
        <f t="shared" si="13"/>
        <v>152140.976426667</v>
      </c>
      <c r="Y14" s="470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968809.274879998</v>
      </c>
      <c r="V15" s="470">
        <f t="shared" si="12"/>
        <v>1528809.27488</v>
      </c>
      <c r="W15" s="471">
        <v>12</v>
      </c>
      <c r="X15" s="470">
        <f t="shared" si="13"/>
        <v>127400.772906667</v>
      </c>
      <c r="Y15" s="470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661351.333333333</v>
      </c>
      <c r="D16" s="469">
        <v>12</v>
      </c>
      <c r="E16" s="470">
        <f t="shared" si="0"/>
        <v>7936216</v>
      </c>
      <c r="F16" s="470"/>
      <c r="G16" s="470">
        <v>519697.279999999</v>
      </c>
      <c r="H16" s="470"/>
      <c r="I16" s="470">
        <f t="shared" si="1"/>
        <v>7416518.72</v>
      </c>
      <c r="J16" s="470">
        <v>200000</v>
      </c>
      <c r="K16" s="470">
        <v>0.2</v>
      </c>
      <c r="L16" s="470">
        <f t="shared" si="2"/>
        <v>1483303.744</v>
      </c>
      <c r="M16" s="470">
        <f t="shared" si="3"/>
        <v>1683303.744</v>
      </c>
      <c r="N16" s="470">
        <f t="shared" si="4"/>
        <v>2203001.024</v>
      </c>
      <c r="O16" s="470">
        <f t="shared" si="5"/>
        <v>5733214.976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607971.594239999</v>
      </c>
      <c r="V16" s="470">
        <f t="shared" si="12"/>
        <v>1167971.59424</v>
      </c>
      <c r="W16" s="471">
        <v>12</v>
      </c>
      <c r="X16" s="470">
        <f t="shared" si="13"/>
        <v>97330.9661866666</v>
      </c>
      <c r="Y16" s="470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1018815.63744</v>
      </c>
      <c r="V17" s="470">
        <f t="shared" si="12"/>
        <v>1578815.63744</v>
      </c>
      <c r="W17" s="471">
        <v>12</v>
      </c>
      <c r="X17" s="470">
        <f t="shared" si="13"/>
        <v>131567.969786667</v>
      </c>
      <c r="Y17" s="470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381810.65952</v>
      </c>
      <c r="V18" s="470">
        <f t="shared" si="12"/>
        <v>941810.65952</v>
      </c>
      <c r="W18" s="471">
        <v>12</v>
      </c>
      <c r="X18" s="470">
        <f t="shared" si="13"/>
        <v>78484.2216266667</v>
      </c>
      <c r="Y18" s="470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514963.03872</v>
      </c>
      <c r="V19" s="470">
        <f t="shared" si="12"/>
        <v>1074963.03872</v>
      </c>
      <c r="W19" s="471">
        <v>12</v>
      </c>
      <c r="X19" s="470">
        <f t="shared" si="13"/>
        <v>89580.2532266667</v>
      </c>
      <c r="Y19" s="470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806497.166666667</v>
      </c>
      <c r="D20" s="469">
        <v>12</v>
      </c>
      <c r="E20" s="470">
        <f t="shared" si="0"/>
        <v>9677966</v>
      </c>
      <c r="F20" s="470">
        <v>93328.325</v>
      </c>
      <c r="G20" s="470">
        <v>476637.28</v>
      </c>
      <c r="H20" s="470"/>
      <c r="I20" s="470">
        <f t="shared" si="1"/>
        <v>9108000.39500001</v>
      </c>
      <c r="J20" s="470">
        <v>200000</v>
      </c>
      <c r="K20" s="470">
        <v>0.2</v>
      </c>
      <c r="L20" s="470">
        <f t="shared" si="2"/>
        <v>1821600.079</v>
      </c>
      <c r="M20" s="470">
        <f t="shared" si="3"/>
        <v>2021600.079</v>
      </c>
      <c r="N20" s="470">
        <f t="shared" si="4"/>
        <v>2591565.684</v>
      </c>
      <c r="O20" s="470">
        <f t="shared" si="5"/>
        <v>7086400.316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932736.075840001</v>
      </c>
      <c r="V20" s="470">
        <f t="shared" si="12"/>
        <v>1492736.07584</v>
      </c>
      <c r="W20" s="471">
        <v>12</v>
      </c>
      <c r="X20" s="470">
        <f t="shared" si="13"/>
        <v>124394.672986667</v>
      </c>
      <c r="Y20" s="470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692662.666666667</v>
      </c>
      <c r="D21" s="469">
        <v>12</v>
      </c>
      <c r="E21" s="470">
        <f t="shared" si="0"/>
        <v>8311952</v>
      </c>
      <c r="F21" s="470"/>
      <c r="G21" s="470">
        <v>463356.160000001</v>
      </c>
      <c r="H21" s="470"/>
      <c r="I21" s="470">
        <f t="shared" si="1"/>
        <v>7848595.84</v>
      </c>
      <c r="J21" s="470">
        <v>200000</v>
      </c>
      <c r="K21" s="470">
        <v>0.2</v>
      </c>
      <c r="L21" s="470">
        <f t="shared" si="2"/>
        <v>1569719.168</v>
      </c>
      <c r="M21" s="470">
        <f t="shared" si="3"/>
        <v>1769719.168</v>
      </c>
      <c r="N21" s="470">
        <f t="shared" si="4"/>
        <v>2233075.328</v>
      </c>
      <c r="O21" s="470">
        <f t="shared" si="5"/>
        <v>6078876.672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690930.40128</v>
      </c>
      <c r="V21" s="470">
        <f t="shared" si="12"/>
        <v>1250930.40128</v>
      </c>
      <c r="W21" s="471">
        <v>12</v>
      </c>
      <c r="X21" s="470">
        <f t="shared" si="13"/>
        <v>104244.200106667</v>
      </c>
      <c r="Y21" s="470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839640.798719999</v>
      </c>
      <c r="V22" s="470">
        <f t="shared" si="12"/>
        <v>1399640.79872</v>
      </c>
      <c r="W22" s="471">
        <v>12</v>
      </c>
      <c r="X22" s="470">
        <f t="shared" si="13"/>
        <v>116636.733226667</v>
      </c>
      <c r="Y22" s="470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401880.798719999</v>
      </c>
      <c r="V23" s="470">
        <f t="shared" si="12"/>
        <v>961880.798719999</v>
      </c>
      <c r="W23" s="471">
        <v>12</v>
      </c>
      <c r="X23" s="470">
        <f t="shared" si="13"/>
        <v>80156.7332266666</v>
      </c>
      <c r="Y23" s="470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336000</v>
      </c>
      <c r="U24" s="470">
        <f t="shared" ref="U24:U34" si="16">24%*(O24-3200000)</f>
        <v>590936.248319999</v>
      </c>
      <c r="V24" s="470">
        <f t="shared" si="12"/>
        <v>1150936.24832</v>
      </c>
      <c r="W24" s="471">
        <v>12</v>
      </c>
      <c r="X24" s="470">
        <f t="shared" si="13"/>
        <v>95911.3540266666</v>
      </c>
      <c r="Y24" s="470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336000</v>
      </c>
      <c r="U25" s="470">
        <f t="shared" si="16"/>
        <v>130136.248319998</v>
      </c>
      <c r="V25" s="470">
        <f t="shared" si="12"/>
        <v>690136.248319998</v>
      </c>
      <c r="W25" s="471">
        <v>12</v>
      </c>
      <c r="X25" s="470">
        <f t="shared" si="13"/>
        <v>57511.3540266665</v>
      </c>
      <c r="Y25" s="470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478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336000</v>
      </c>
      <c r="U26" s="470">
        <f t="shared" si="16"/>
        <v>75406.1107200006</v>
      </c>
      <c r="V26" s="470">
        <f t="shared" si="12"/>
        <v>635406.110720001</v>
      </c>
      <c r="W26" s="471">
        <v>12</v>
      </c>
      <c r="X26" s="470">
        <f t="shared" si="13"/>
        <v>52950.5092266667</v>
      </c>
      <c r="Y26" s="470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415320.666666667</v>
      </c>
      <c r="D27" s="469">
        <v>12</v>
      </c>
      <c r="E27" s="470">
        <f t="shared" si="0"/>
        <v>4983848</v>
      </c>
      <c r="F27" s="470"/>
      <c r="G27" s="470">
        <v>341107.840000001</v>
      </c>
      <c r="H27" s="470"/>
      <c r="I27" s="470">
        <f t="shared" si="1"/>
        <v>4642740.16</v>
      </c>
      <c r="J27" s="470">
        <v>200000</v>
      </c>
      <c r="K27" s="470">
        <v>0.2</v>
      </c>
      <c r="L27" s="470">
        <f t="shared" si="2"/>
        <v>928548.032000001</v>
      </c>
      <c r="M27" s="470">
        <f t="shared" si="3"/>
        <v>1128548.032</v>
      </c>
      <c r="N27" s="470">
        <f t="shared" si="4"/>
        <v>1469655.872</v>
      </c>
      <c r="O27" s="470">
        <f t="shared" si="5"/>
        <v>3514192.128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336000</v>
      </c>
      <c r="U27" s="470">
        <f t="shared" si="16"/>
        <v>75406.1107200006</v>
      </c>
      <c r="V27" s="470">
        <f t="shared" si="12"/>
        <v>635406.110720001</v>
      </c>
      <c r="W27" s="471">
        <v>12</v>
      </c>
      <c r="X27" s="470">
        <f t="shared" si="13"/>
        <v>52950.5092266667</v>
      </c>
      <c r="Y27" s="470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455320.666666667</v>
      </c>
      <c r="D28" s="469">
        <v>12</v>
      </c>
      <c r="E28" s="470">
        <f t="shared" si="0"/>
        <v>5463848</v>
      </c>
      <c r="F28" s="470"/>
      <c r="G28" s="470">
        <v>341107.840000001</v>
      </c>
      <c r="H28" s="470"/>
      <c r="I28" s="470">
        <f t="shared" si="1"/>
        <v>5122740.16</v>
      </c>
      <c r="J28" s="470">
        <v>200000</v>
      </c>
      <c r="K28" s="470">
        <v>0.2</v>
      </c>
      <c r="L28" s="470">
        <f t="shared" si="2"/>
        <v>1024548.032</v>
      </c>
      <c r="M28" s="470">
        <f t="shared" si="3"/>
        <v>1224548.032</v>
      </c>
      <c r="N28" s="470">
        <f t="shared" si="4"/>
        <v>1565655.872</v>
      </c>
      <c r="O28" s="470">
        <f t="shared" si="5"/>
        <v>3898192.128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336000</v>
      </c>
      <c r="U28" s="470">
        <f t="shared" si="16"/>
        <v>167566.110720001</v>
      </c>
      <c r="V28" s="470">
        <f t="shared" si="12"/>
        <v>727566.110720001</v>
      </c>
      <c r="W28" s="471">
        <v>12</v>
      </c>
      <c r="X28" s="470">
        <f t="shared" si="13"/>
        <v>60630.5092266667</v>
      </c>
      <c r="Y28" s="470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336000</v>
      </c>
      <c r="U29" s="470">
        <f t="shared" si="16"/>
        <v>57803.2281599984</v>
      </c>
      <c r="V29" s="470">
        <f t="shared" si="12"/>
        <v>617803.228159998</v>
      </c>
      <c r="W29" s="471">
        <v>12</v>
      </c>
      <c r="X29" s="470">
        <f t="shared" si="13"/>
        <v>51483.6023466665</v>
      </c>
      <c r="Y29" s="470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336000</v>
      </c>
      <c r="U30" s="470">
        <f t="shared" si="16"/>
        <v>40200.3456000005</v>
      </c>
      <c r="V30" s="470">
        <f t="shared" si="12"/>
        <v>600200.345600001</v>
      </c>
      <c r="W30" s="471">
        <v>12</v>
      </c>
      <c r="X30" s="470">
        <f t="shared" si="13"/>
        <v>50016.6954666667</v>
      </c>
      <c r="Y30" s="470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398711.666666667</v>
      </c>
      <c r="D31" s="469">
        <v>12</v>
      </c>
      <c r="E31" s="470">
        <f t="shared" si="0"/>
        <v>4784540</v>
      </c>
      <c r="F31" s="470"/>
      <c r="G31" s="474">
        <v>325163.200000001</v>
      </c>
      <c r="H31" s="470"/>
      <c r="I31" s="470">
        <f t="shared" si="1"/>
        <v>4459376.8</v>
      </c>
      <c r="J31" s="470">
        <v>200000</v>
      </c>
      <c r="K31" s="470">
        <v>0.2</v>
      </c>
      <c r="L31" s="470">
        <f t="shared" si="2"/>
        <v>891875.360000001</v>
      </c>
      <c r="M31" s="470">
        <f t="shared" si="3"/>
        <v>1091875.36</v>
      </c>
      <c r="N31" s="470">
        <f t="shared" si="4"/>
        <v>1417038.56</v>
      </c>
      <c r="O31" s="470">
        <f t="shared" si="5"/>
        <v>3367501.44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336000</v>
      </c>
      <c r="U31" s="470">
        <f t="shared" si="16"/>
        <v>40200.3456000005</v>
      </c>
      <c r="V31" s="470">
        <f t="shared" si="12"/>
        <v>600200.345600001</v>
      </c>
      <c r="W31" s="471">
        <v>12</v>
      </c>
      <c r="X31" s="470">
        <f t="shared" si="13"/>
        <v>50016.6954666667</v>
      </c>
      <c r="Y31" s="470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415320.666666667</v>
      </c>
      <c r="D32" s="469">
        <v>12</v>
      </c>
      <c r="E32" s="470">
        <f t="shared" si="0"/>
        <v>4983848</v>
      </c>
      <c r="F32" s="470"/>
      <c r="G32" s="474">
        <v>341107.840000001</v>
      </c>
      <c r="H32" s="470"/>
      <c r="I32" s="470">
        <f t="shared" si="1"/>
        <v>4642740.16</v>
      </c>
      <c r="J32" s="470">
        <v>200000</v>
      </c>
      <c r="K32" s="470">
        <v>0.2</v>
      </c>
      <c r="L32" s="470">
        <f t="shared" si="2"/>
        <v>928548.032000001</v>
      </c>
      <c r="M32" s="470">
        <f t="shared" si="3"/>
        <v>1128548.032</v>
      </c>
      <c r="N32" s="470">
        <f t="shared" si="4"/>
        <v>1469655.872</v>
      </c>
      <c r="O32" s="470">
        <f t="shared" si="5"/>
        <v>3514192.128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336000</v>
      </c>
      <c r="U32" s="470">
        <f t="shared" si="16"/>
        <v>75406.1107200006</v>
      </c>
      <c r="V32" s="470">
        <f t="shared" si="12"/>
        <v>635406.110720001</v>
      </c>
      <c r="W32" s="471">
        <v>12</v>
      </c>
      <c r="X32" s="470">
        <f t="shared" si="13"/>
        <v>52950.5092266667</v>
      </c>
      <c r="Y32" s="470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6"/>
        <v>21000</v>
      </c>
      <c r="Q33" s="470">
        <f t="shared" si="7"/>
        <v>33000</v>
      </c>
      <c r="R33" s="470">
        <f t="shared" si="8"/>
        <v>75000</v>
      </c>
      <c r="S33" s="470">
        <f t="shared" si="9"/>
        <v>95000</v>
      </c>
      <c r="T33" s="470">
        <f t="shared" si="10"/>
        <v>336000</v>
      </c>
      <c r="U33" s="470">
        <f t="shared" si="16"/>
        <v>37138.9747200005</v>
      </c>
      <c r="V33" s="470">
        <f t="shared" si="12"/>
        <v>597138.974720001</v>
      </c>
      <c r="W33" s="471">
        <v>12</v>
      </c>
      <c r="X33" s="470">
        <f t="shared" si="13"/>
        <v>49761.5812266667</v>
      </c>
      <c r="Y33" s="470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398711.666666667</v>
      </c>
      <c r="D34" s="469">
        <v>12</v>
      </c>
      <c r="E34" s="470">
        <f t="shared" si="0"/>
        <v>4784540</v>
      </c>
      <c r="F34" s="470"/>
      <c r="G34" s="474">
        <v>341107.840000001</v>
      </c>
      <c r="H34" s="470"/>
      <c r="I34" s="470">
        <f t="shared" si="1"/>
        <v>4443432.16</v>
      </c>
      <c r="J34" s="470">
        <v>200000</v>
      </c>
      <c r="K34" s="470">
        <v>0.2</v>
      </c>
      <c r="L34" s="470">
        <f t="shared" si="2"/>
        <v>888686.432000001</v>
      </c>
      <c r="M34" s="470">
        <f t="shared" si="3"/>
        <v>1088686.432</v>
      </c>
      <c r="N34" s="470">
        <f t="shared" si="4"/>
        <v>1429794.272</v>
      </c>
      <c r="O34" s="470">
        <f t="shared" si="5"/>
        <v>3354745.728</v>
      </c>
      <c r="P34" s="470">
        <f t="shared" si="6"/>
        <v>21000</v>
      </c>
      <c r="Q34" s="470">
        <f t="shared" si="7"/>
        <v>33000</v>
      </c>
      <c r="R34" s="470">
        <f t="shared" si="8"/>
        <v>75000</v>
      </c>
      <c r="S34" s="470">
        <f t="shared" si="9"/>
        <v>95000</v>
      </c>
      <c r="T34" s="470">
        <f t="shared" si="10"/>
        <v>336000</v>
      </c>
      <c r="U34" s="470">
        <f t="shared" si="16"/>
        <v>37138.9747200005</v>
      </c>
      <c r="V34" s="470">
        <f t="shared" si="12"/>
        <v>597138.974720001</v>
      </c>
      <c r="W34" s="471">
        <v>12</v>
      </c>
      <c r="X34" s="470">
        <f t="shared" si="13"/>
        <v>49761.5812266667</v>
      </c>
      <c r="Y34" s="470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3"/>
      <c r="AD34" s="473"/>
      <c r="AE34" s="473"/>
    </row>
    <row r="35" ht="15.5" spans="1:31">
      <c r="A35" s="467">
        <v>33</v>
      </c>
      <c r="B35" s="351" t="s">
        <v>103</v>
      </c>
      <c r="C35" s="477">
        <v>351910.75</v>
      </c>
      <c r="D35" s="469">
        <v>12</v>
      </c>
      <c r="E35" s="470">
        <f t="shared" ref="E35:E42" si="17">C35*D35</f>
        <v>4222929</v>
      </c>
      <c r="F35" s="470"/>
      <c r="G35" s="474">
        <v>289834.32</v>
      </c>
      <c r="H35" s="470"/>
      <c r="I35" s="470">
        <f t="shared" ref="I35:I42" si="18">E35-F35-G35-H35</f>
        <v>3933094.68</v>
      </c>
      <c r="J35" s="470">
        <v>200000</v>
      </c>
      <c r="K35" s="470">
        <v>0.2</v>
      </c>
      <c r="L35" s="470">
        <f t="shared" ref="L35:L42" si="19">I35*K35</f>
        <v>786618.936</v>
      </c>
      <c r="M35" s="470">
        <f t="shared" ref="M35:M42" si="20">J35+L35</f>
        <v>986618.936</v>
      </c>
      <c r="N35" s="470">
        <f t="shared" ref="N35:N42" si="21">F35+G35+H35+M35</f>
        <v>1276453.256</v>
      </c>
      <c r="O35" s="470">
        <f t="shared" ref="O35:O42" si="22">E35-N35</f>
        <v>2946475.744</v>
      </c>
      <c r="P35" s="470">
        <f t="shared" ref="P35:P42" si="23">IF(O35&lt;300000,0.07*O35,21000)</f>
        <v>21000</v>
      </c>
      <c r="Q35" s="470">
        <f t="shared" ref="Q35:Q42" si="24">IF((O35-300000)&lt;0,0,IF((O35-300000)&lt;300000,0.11*(O35-300000),33000))</f>
        <v>33000</v>
      </c>
      <c r="R35" s="470">
        <f t="shared" ref="R35:R42" si="25">IF((O35-600000)&lt;0,0,IF((O35-600000)&lt;500000,0.15*(O35-600000),75000))</f>
        <v>75000</v>
      </c>
      <c r="S35" s="470">
        <f t="shared" ref="S35:S42" si="26">IF((O35-1100000)&lt;0,0,IF((O35-1100000)&lt;500000,0.19*(O35-1100000),95000))</f>
        <v>95000</v>
      </c>
      <c r="T35" s="470">
        <f t="shared" ref="T35:T42" si="27">IF((O35-1600000)&lt;0,0,IF((O35-1600000)&lt;1600000,0.21*(O35-1600000),336000))</f>
        <v>282759.90624</v>
      </c>
      <c r="U35" s="470"/>
      <c r="V35" s="470">
        <f t="shared" ref="V35:V42" si="28">P35+Q35+R35+S35+T35+U35</f>
        <v>506759.90624</v>
      </c>
      <c r="W35" s="470">
        <v>12</v>
      </c>
      <c r="X35" s="470">
        <f t="shared" ref="X35:X42" si="29">V35/W35</f>
        <v>42229.9921866667</v>
      </c>
      <c r="Y35" s="470"/>
      <c r="Z35" s="929">
        <f t="shared" ref="Z35:Z42" si="30">X35</f>
        <v>42229.9921866667</v>
      </c>
      <c r="AA35" s="470">
        <v>30259.1656266667</v>
      </c>
      <c r="AB35" s="806">
        <f t="shared" si="15"/>
        <v>11970.82656</v>
      </c>
      <c r="AC35" s="473"/>
      <c r="AD35" s="473"/>
      <c r="AE35" s="473"/>
    </row>
    <row r="36" ht="31" spans="1:31">
      <c r="A36" s="467">
        <v>34</v>
      </c>
      <c r="B36" s="351" t="s">
        <v>106</v>
      </c>
      <c r="C36" s="470">
        <v>344900.833333334</v>
      </c>
      <c r="D36" s="469">
        <v>12</v>
      </c>
      <c r="E36" s="470">
        <f t="shared" si="17"/>
        <v>4138810.00000001</v>
      </c>
      <c r="F36" s="470"/>
      <c r="G36" s="474">
        <v>283104.8</v>
      </c>
      <c r="H36" s="470"/>
      <c r="I36" s="470">
        <f t="shared" si="18"/>
        <v>3855705.20000001</v>
      </c>
      <c r="J36" s="470">
        <v>200000</v>
      </c>
      <c r="K36" s="470">
        <v>0.2</v>
      </c>
      <c r="L36" s="470">
        <f t="shared" si="19"/>
        <v>771141.040000002</v>
      </c>
      <c r="M36" s="470">
        <f t="shared" si="20"/>
        <v>971141.040000002</v>
      </c>
      <c r="N36" s="470">
        <f t="shared" si="21"/>
        <v>1254245.84</v>
      </c>
      <c r="O36" s="470">
        <f t="shared" si="22"/>
        <v>2884564.16000001</v>
      </c>
      <c r="P36" s="470">
        <f t="shared" si="23"/>
        <v>21000</v>
      </c>
      <c r="Q36" s="470">
        <f t="shared" si="24"/>
        <v>33000</v>
      </c>
      <c r="R36" s="470">
        <f t="shared" si="25"/>
        <v>75000</v>
      </c>
      <c r="S36" s="470">
        <f t="shared" si="26"/>
        <v>95000</v>
      </c>
      <c r="T36" s="470">
        <f t="shared" si="27"/>
        <v>269758.473600001</v>
      </c>
      <c r="U36" s="470"/>
      <c r="V36" s="470">
        <f t="shared" si="28"/>
        <v>493758.473600001</v>
      </c>
      <c r="W36" s="470">
        <v>12</v>
      </c>
      <c r="X36" s="470">
        <f t="shared" si="29"/>
        <v>41146.5394666668</v>
      </c>
      <c r="Y36" s="470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si="17"/>
        <v>22165276.9999999</v>
      </c>
      <c r="F39" s="470"/>
      <c r="G39" s="470">
        <v>1677222.16</v>
      </c>
      <c r="H39" s="470"/>
      <c r="I39" s="470">
        <f t="shared" si="18"/>
        <v>20488054.8399999</v>
      </c>
      <c r="J39" s="470">
        <v>200000</v>
      </c>
      <c r="K39" s="470">
        <v>0.2</v>
      </c>
      <c r="L39" s="470">
        <f t="shared" si="19"/>
        <v>4097610.96799998</v>
      </c>
      <c r="M39" s="470">
        <f t="shared" si="20"/>
        <v>4297610.96799998</v>
      </c>
      <c r="N39" s="470">
        <f t="shared" si="21"/>
        <v>5974833.12799998</v>
      </c>
      <c r="O39" s="470">
        <f t="shared" si="22"/>
        <v>16190443.8719999</v>
      </c>
      <c r="P39" s="470">
        <f t="shared" si="23"/>
        <v>21000</v>
      </c>
      <c r="Q39" s="470">
        <f t="shared" si="24"/>
        <v>33000</v>
      </c>
      <c r="R39" s="470">
        <f t="shared" si="25"/>
        <v>75000</v>
      </c>
      <c r="S39" s="470">
        <f t="shared" si="26"/>
        <v>95000</v>
      </c>
      <c r="T39" s="470">
        <f t="shared" si="27"/>
        <v>336000</v>
      </c>
      <c r="U39" s="470">
        <f t="shared" ref="U35:U42" si="31">24%*(O39-3200000)</f>
        <v>3117706.52927999</v>
      </c>
      <c r="V39" s="470">
        <f t="shared" si="28"/>
        <v>3677706.52927999</v>
      </c>
      <c r="W39" s="471">
        <v>12</v>
      </c>
      <c r="X39" s="470">
        <f t="shared" si="29"/>
        <v>306475.544106665</v>
      </c>
      <c r="Y39" s="470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7"/>
        <v>5293687.99999999</v>
      </c>
      <c r="F40" s="470"/>
      <c r="G40" s="470">
        <v>365895.04</v>
      </c>
      <c r="H40" s="470"/>
      <c r="I40" s="470">
        <f t="shared" si="18"/>
        <v>4927792.95999999</v>
      </c>
      <c r="J40" s="470">
        <v>200000</v>
      </c>
      <c r="K40" s="470">
        <v>0.2</v>
      </c>
      <c r="L40" s="470">
        <f t="shared" si="19"/>
        <v>985558.591999998</v>
      </c>
      <c r="M40" s="470">
        <f t="shared" si="20"/>
        <v>1185558.592</v>
      </c>
      <c r="N40" s="470">
        <f t="shared" si="21"/>
        <v>1551453.632</v>
      </c>
      <c r="O40" s="470">
        <f t="shared" si="22"/>
        <v>3742234.36799999</v>
      </c>
      <c r="P40" s="470">
        <f t="shared" si="23"/>
        <v>21000</v>
      </c>
      <c r="Q40" s="470">
        <f t="shared" si="24"/>
        <v>33000</v>
      </c>
      <c r="R40" s="470">
        <f t="shared" si="25"/>
        <v>75000</v>
      </c>
      <c r="S40" s="470">
        <f t="shared" si="26"/>
        <v>95000</v>
      </c>
      <c r="T40" s="470">
        <f t="shared" si="27"/>
        <v>336000</v>
      </c>
      <c r="U40" s="470">
        <f t="shared" si="31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450135.833333334</v>
      </c>
      <c r="D41" s="469">
        <v>12</v>
      </c>
      <c r="E41" s="470">
        <f t="shared" si="17"/>
        <v>5401630.00000001</v>
      </c>
      <c r="F41" s="470"/>
      <c r="G41" s="470">
        <v>374530.4</v>
      </c>
      <c r="H41" s="470"/>
      <c r="I41" s="470">
        <f t="shared" si="18"/>
        <v>5027099.60000001</v>
      </c>
      <c r="J41" s="470">
        <v>200000</v>
      </c>
      <c r="K41" s="470">
        <v>0.2</v>
      </c>
      <c r="L41" s="470">
        <f t="shared" si="19"/>
        <v>1005419.92</v>
      </c>
      <c r="M41" s="470">
        <f t="shared" si="20"/>
        <v>1205419.92</v>
      </c>
      <c r="N41" s="470">
        <f t="shared" si="21"/>
        <v>1579950.32</v>
      </c>
      <c r="O41" s="470">
        <f t="shared" si="22"/>
        <v>3821679.68000001</v>
      </c>
      <c r="P41" s="470">
        <f t="shared" si="23"/>
        <v>21000</v>
      </c>
      <c r="Q41" s="470">
        <f t="shared" si="24"/>
        <v>33000</v>
      </c>
      <c r="R41" s="470">
        <f t="shared" si="25"/>
        <v>75000</v>
      </c>
      <c r="S41" s="470">
        <f t="shared" si="26"/>
        <v>95000</v>
      </c>
      <c r="T41" s="470">
        <f t="shared" si="27"/>
        <v>336000</v>
      </c>
      <c r="U41" s="470">
        <f t="shared" si="31"/>
        <v>149203.123200001</v>
      </c>
      <c r="V41" s="470">
        <f t="shared" si="28"/>
        <v>709203.123200001</v>
      </c>
      <c r="W41" s="471">
        <v>12</v>
      </c>
      <c r="X41" s="470">
        <f t="shared" si="29"/>
        <v>59100.2602666668</v>
      </c>
      <c r="Y41" s="470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7"/>
        <v>4784540</v>
      </c>
      <c r="F42" s="470"/>
      <c r="G42" s="474">
        <v>325163.200000001</v>
      </c>
      <c r="H42" s="470"/>
      <c r="I42" s="470">
        <f t="shared" si="18"/>
        <v>4459376.8</v>
      </c>
      <c r="J42" s="470">
        <v>200000</v>
      </c>
      <c r="K42" s="470">
        <v>0.2</v>
      </c>
      <c r="L42" s="470">
        <f t="shared" si="19"/>
        <v>891875.360000001</v>
      </c>
      <c r="M42" s="470">
        <f t="shared" si="20"/>
        <v>1091875.36</v>
      </c>
      <c r="N42" s="470">
        <f t="shared" si="21"/>
        <v>1417038.56</v>
      </c>
      <c r="O42" s="470">
        <f t="shared" si="22"/>
        <v>3367501.44</v>
      </c>
      <c r="P42" s="470">
        <f t="shared" si="23"/>
        <v>21000</v>
      </c>
      <c r="Q42" s="470">
        <f t="shared" si="24"/>
        <v>33000</v>
      </c>
      <c r="R42" s="470">
        <f t="shared" si="25"/>
        <v>75000</v>
      </c>
      <c r="S42" s="470">
        <f t="shared" si="26"/>
        <v>95000</v>
      </c>
      <c r="T42" s="470">
        <f t="shared" si="27"/>
        <v>336000</v>
      </c>
      <c r="U42" s="470">
        <f t="shared" si="31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1847612</v>
      </c>
      <c r="D45" s="469">
        <v>12</v>
      </c>
      <c r="E45" s="470">
        <f t="shared" ref="E45:E55" si="33">C45*D45</f>
        <v>22171344</v>
      </c>
      <c r="F45" s="470"/>
      <c r="G45" s="474">
        <v>869094.48</v>
      </c>
      <c r="H45" s="470"/>
      <c r="I45" s="470">
        <f t="shared" ref="I45:I55" si="34">E45-F45-G45-H45</f>
        <v>21302249.52</v>
      </c>
      <c r="J45" s="470">
        <v>200000</v>
      </c>
      <c r="K45" s="470">
        <v>0.2</v>
      </c>
      <c r="L45" s="470">
        <f t="shared" ref="L45:L55" si="35">I45*K45</f>
        <v>4260449.904</v>
      </c>
      <c r="M45" s="470">
        <f t="shared" ref="M45:M55" si="36">J45+L45</f>
        <v>4460449.904</v>
      </c>
      <c r="N45" s="470">
        <f t="shared" ref="N45:N55" si="37">F45+G45+H45+M45</f>
        <v>5329544.384</v>
      </c>
      <c r="O45" s="470">
        <f t="shared" ref="O45:O55" si="38">E45-N45</f>
        <v>16841799.616</v>
      </c>
      <c r="P45" s="470">
        <f t="shared" ref="P45:P55" si="39">IF(O45&lt;300000,0.07*O45,21000)</f>
        <v>21000</v>
      </c>
      <c r="Q45" s="470">
        <f t="shared" ref="Q45:Q55" si="40">IF((O45-300000)&lt;0,0,IF((O45-300000)&lt;300000,0.11*(O45-300000),33000))</f>
        <v>33000</v>
      </c>
      <c r="R45" s="470">
        <f t="shared" ref="R45:R55" si="41">IF((O45-600000)&lt;0,0,IF((O45-600000)&lt;500000,0.15*(O45-600000),75000))</f>
        <v>75000</v>
      </c>
      <c r="S45" s="470">
        <f t="shared" ref="S45:S55" si="42">IF((O45-1100000)&lt;0,0,IF((O45-1100000)&lt;500000,0.19*(O45-1100000),95000))</f>
        <v>95000</v>
      </c>
      <c r="T45" s="470">
        <f t="shared" ref="T45:T55" si="43">IF((O45-1600000)&lt;0,0,IF((O45-1600000)&lt;1600000,0.21*(O45-1600000),336000))</f>
        <v>336000</v>
      </c>
      <c r="U45" s="470">
        <f>0.24*(O45-3200000)</f>
        <v>3274031.90784</v>
      </c>
      <c r="V45" s="470">
        <f t="shared" ref="V45:V55" si="44">P45+Q45+R45+S45+T45+U45</f>
        <v>3834031.90784</v>
      </c>
      <c r="W45" s="471">
        <v>12</v>
      </c>
      <c r="X45" s="470">
        <f t="shared" ref="X45:X55" si="45">V45/W45</f>
        <v>319502.658986667</v>
      </c>
      <c r="Y45" s="470"/>
      <c r="Z45" s="929">
        <f t="shared" ref="Z45:Z55" si="46">X45</f>
        <v>319502.658986667</v>
      </c>
      <c r="AA45" s="806">
        <v>162999.59</v>
      </c>
      <c r="AB45" s="806">
        <f t="shared" si="32"/>
        <v>156503.068986667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3"/>
        <v>10853724</v>
      </c>
      <c r="F46" s="476"/>
      <c r="G46" s="474">
        <v>714697.92</v>
      </c>
      <c r="H46" s="476"/>
      <c r="I46" s="470">
        <f t="shared" si="34"/>
        <v>10139026.08</v>
      </c>
      <c r="J46" s="470">
        <v>200000</v>
      </c>
      <c r="K46" s="470">
        <v>0.2</v>
      </c>
      <c r="L46" s="470">
        <f t="shared" si="35"/>
        <v>2027805.216</v>
      </c>
      <c r="M46" s="470">
        <f t="shared" si="36"/>
        <v>2227805.216</v>
      </c>
      <c r="N46" s="470">
        <f t="shared" si="37"/>
        <v>2942503.136</v>
      </c>
      <c r="O46" s="470">
        <f t="shared" si="38"/>
        <v>7911220.864</v>
      </c>
      <c r="P46" s="470">
        <f t="shared" si="39"/>
        <v>21000</v>
      </c>
      <c r="Q46" s="470">
        <f t="shared" si="40"/>
        <v>33000</v>
      </c>
      <c r="R46" s="470">
        <f t="shared" si="41"/>
        <v>75000</v>
      </c>
      <c r="S46" s="470">
        <f t="shared" si="42"/>
        <v>95000</v>
      </c>
      <c r="T46" s="470">
        <f t="shared" si="43"/>
        <v>336000</v>
      </c>
      <c r="U46" s="470">
        <f t="shared" ref="U46:U52" si="47">24%*(O46-3200000)</f>
        <v>1130693.00736</v>
      </c>
      <c r="V46" s="470">
        <f t="shared" si="44"/>
        <v>1690693.00736</v>
      </c>
      <c r="W46" s="471">
        <v>12</v>
      </c>
      <c r="X46" s="470">
        <f t="shared" si="45"/>
        <v>140891.083946667</v>
      </c>
      <c r="Y46" s="476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968360</v>
      </c>
      <c r="D47" s="469">
        <v>12</v>
      </c>
      <c r="E47" s="470">
        <f t="shared" si="33"/>
        <v>11620320</v>
      </c>
      <c r="F47" s="476"/>
      <c r="G47" s="474"/>
      <c r="H47" s="476"/>
      <c r="I47" s="470">
        <f t="shared" si="34"/>
        <v>11620320</v>
      </c>
      <c r="J47" s="470">
        <v>200000</v>
      </c>
      <c r="K47" s="470">
        <v>0.2</v>
      </c>
      <c r="L47" s="470">
        <f t="shared" si="35"/>
        <v>2324064</v>
      </c>
      <c r="M47" s="470">
        <f t="shared" si="36"/>
        <v>2524064</v>
      </c>
      <c r="N47" s="470">
        <f t="shared" si="37"/>
        <v>2524064</v>
      </c>
      <c r="O47" s="470">
        <f t="shared" si="38"/>
        <v>9096256</v>
      </c>
      <c r="P47" s="470">
        <f t="shared" si="39"/>
        <v>21000</v>
      </c>
      <c r="Q47" s="470">
        <f t="shared" si="40"/>
        <v>33000</v>
      </c>
      <c r="R47" s="470">
        <f t="shared" si="41"/>
        <v>75000</v>
      </c>
      <c r="S47" s="470">
        <f t="shared" si="42"/>
        <v>95000</v>
      </c>
      <c r="T47" s="470">
        <f t="shared" si="43"/>
        <v>336000</v>
      </c>
      <c r="U47" s="470">
        <f t="shared" si="47"/>
        <v>1415101.44</v>
      </c>
      <c r="V47" s="470">
        <f t="shared" si="44"/>
        <v>1975101.44</v>
      </c>
      <c r="W47" s="471">
        <v>12</v>
      </c>
      <c r="X47" s="470">
        <f t="shared" si="45"/>
        <v>164591.786666667</v>
      </c>
      <c r="Y47" s="476"/>
      <c r="Z47" s="929">
        <f t="shared" si="46"/>
        <v>164591.786666667</v>
      </c>
      <c r="AA47" s="806">
        <v>118861.965706667</v>
      </c>
      <c r="AB47" s="806">
        <f t="shared" si="32"/>
        <v>45729.8209599996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3"/>
        <v>10591146</v>
      </c>
      <c r="F48" s="476"/>
      <c r="G48" s="474">
        <v>693691.68</v>
      </c>
      <c r="H48" s="476"/>
      <c r="I48" s="470">
        <f t="shared" si="34"/>
        <v>9897454.32</v>
      </c>
      <c r="J48" s="470">
        <v>200000</v>
      </c>
      <c r="K48" s="470">
        <v>0.2</v>
      </c>
      <c r="L48" s="470">
        <f t="shared" si="35"/>
        <v>1979490.864</v>
      </c>
      <c r="M48" s="470">
        <f t="shared" si="36"/>
        <v>2179490.864</v>
      </c>
      <c r="N48" s="470">
        <f t="shared" si="37"/>
        <v>2873182.544</v>
      </c>
      <c r="O48" s="470">
        <f t="shared" si="38"/>
        <v>7717963.456</v>
      </c>
      <c r="P48" s="470">
        <f t="shared" si="39"/>
        <v>21000</v>
      </c>
      <c r="Q48" s="470">
        <f t="shared" si="40"/>
        <v>33000</v>
      </c>
      <c r="R48" s="470">
        <f t="shared" si="41"/>
        <v>75000</v>
      </c>
      <c r="S48" s="470">
        <f t="shared" si="42"/>
        <v>95000</v>
      </c>
      <c r="T48" s="470">
        <f t="shared" si="43"/>
        <v>336000</v>
      </c>
      <c r="U48" s="470">
        <f t="shared" si="47"/>
        <v>1084311.22944</v>
      </c>
      <c r="V48" s="470">
        <f t="shared" si="44"/>
        <v>1644311.22944</v>
      </c>
      <c r="W48" s="471">
        <v>12</v>
      </c>
      <c r="X48" s="470">
        <f t="shared" si="45"/>
        <v>137025.935786667</v>
      </c>
      <c r="Y48" s="476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3"/>
        <v>10328567</v>
      </c>
      <c r="F49" s="470"/>
      <c r="G49" s="474">
        <v>672685.36</v>
      </c>
      <c r="H49" s="476"/>
      <c r="I49" s="470">
        <f t="shared" si="34"/>
        <v>9655881.63999999</v>
      </c>
      <c r="J49" s="470">
        <v>200000</v>
      </c>
      <c r="K49" s="470">
        <v>0.2</v>
      </c>
      <c r="L49" s="470">
        <f t="shared" si="35"/>
        <v>1931176.328</v>
      </c>
      <c r="M49" s="470">
        <f t="shared" si="36"/>
        <v>2131176.328</v>
      </c>
      <c r="N49" s="470">
        <f t="shared" si="37"/>
        <v>2803861.688</v>
      </c>
      <c r="O49" s="470">
        <f t="shared" si="38"/>
        <v>7524705.31199999</v>
      </c>
      <c r="P49" s="470">
        <f t="shared" si="39"/>
        <v>21000</v>
      </c>
      <c r="Q49" s="470">
        <f t="shared" si="40"/>
        <v>33000</v>
      </c>
      <c r="R49" s="470">
        <f t="shared" si="41"/>
        <v>75000</v>
      </c>
      <c r="S49" s="470">
        <f t="shared" si="42"/>
        <v>95000</v>
      </c>
      <c r="T49" s="470">
        <f t="shared" si="43"/>
        <v>336000</v>
      </c>
      <c r="U49" s="470">
        <f t="shared" si="47"/>
        <v>1037929.27488</v>
      </c>
      <c r="V49" s="470">
        <f t="shared" si="44"/>
        <v>1597929.27488</v>
      </c>
      <c r="W49" s="471">
        <v>12</v>
      </c>
      <c r="X49" s="470">
        <f t="shared" si="45"/>
        <v>133160.772906667</v>
      </c>
      <c r="Y49" s="476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3"/>
        <v>5881630.00000001</v>
      </c>
      <c r="F50" s="470"/>
      <c r="G50" s="474">
        <v>374530.4</v>
      </c>
      <c r="H50" s="476"/>
      <c r="I50" s="470">
        <f t="shared" si="34"/>
        <v>5507099.60000001</v>
      </c>
      <c r="J50" s="470">
        <v>200000</v>
      </c>
      <c r="K50" s="470">
        <v>0.2</v>
      </c>
      <c r="L50" s="470">
        <f t="shared" si="35"/>
        <v>1101419.92</v>
      </c>
      <c r="M50" s="470">
        <f t="shared" si="36"/>
        <v>1301419.92</v>
      </c>
      <c r="N50" s="470">
        <f t="shared" si="37"/>
        <v>1675950.32</v>
      </c>
      <c r="O50" s="470">
        <f t="shared" si="38"/>
        <v>4205679.68000001</v>
      </c>
      <c r="P50" s="470">
        <f t="shared" si="39"/>
        <v>21000</v>
      </c>
      <c r="Q50" s="470">
        <f t="shared" si="40"/>
        <v>33000</v>
      </c>
      <c r="R50" s="470">
        <f t="shared" si="41"/>
        <v>75000</v>
      </c>
      <c r="S50" s="470">
        <f t="shared" si="42"/>
        <v>95000</v>
      </c>
      <c r="T50" s="470">
        <f t="shared" si="43"/>
        <v>336000</v>
      </c>
      <c r="U50" s="470">
        <f t="shared" si="47"/>
        <v>241363.123200002</v>
      </c>
      <c r="V50" s="470">
        <f t="shared" si="44"/>
        <v>801363.123200002</v>
      </c>
      <c r="W50" s="471">
        <v>12</v>
      </c>
      <c r="X50" s="470">
        <f t="shared" si="45"/>
        <v>66780.2602666668</v>
      </c>
      <c r="Y50" s="476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3"/>
        <v>5364193.99999999</v>
      </c>
      <c r="F51" s="470"/>
      <c r="G51" s="474">
        <v>333135.52</v>
      </c>
      <c r="H51" s="476"/>
      <c r="I51" s="470">
        <f t="shared" si="34"/>
        <v>5031058.47999999</v>
      </c>
      <c r="J51" s="470">
        <v>200000</v>
      </c>
      <c r="K51" s="470">
        <v>0.2</v>
      </c>
      <c r="L51" s="470">
        <f t="shared" si="35"/>
        <v>1006211.696</v>
      </c>
      <c r="M51" s="470">
        <f t="shared" si="36"/>
        <v>1206211.696</v>
      </c>
      <c r="N51" s="470">
        <f t="shared" si="37"/>
        <v>1539347.216</v>
      </c>
      <c r="O51" s="470">
        <f t="shared" si="38"/>
        <v>3824846.78399999</v>
      </c>
      <c r="P51" s="470">
        <f t="shared" si="39"/>
        <v>21000</v>
      </c>
      <c r="Q51" s="470">
        <f t="shared" si="40"/>
        <v>33000</v>
      </c>
      <c r="R51" s="470">
        <f t="shared" si="41"/>
        <v>75000</v>
      </c>
      <c r="S51" s="470">
        <f t="shared" si="42"/>
        <v>95000</v>
      </c>
      <c r="T51" s="470">
        <f t="shared" si="43"/>
        <v>336000</v>
      </c>
      <c r="U51" s="470">
        <f t="shared" si="47"/>
        <v>149963.228159998</v>
      </c>
      <c r="V51" s="470">
        <f t="shared" si="44"/>
        <v>709963.228159998</v>
      </c>
      <c r="W51" s="471">
        <v>12</v>
      </c>
      <c r="X51" s="470">
        <f t="shared" si="45"/>
        <v>59163.6023466665</v>
      </c>
      <c r="Y51" s="476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3"/>
        <v>5364193.99999999</v>
      </c>
      <c r="F52" s="470"/>
      <c r="G52" s="474">
        <v>333135.52</v>
      </c>
      <c r="H52" s="476"/>
      <c r="I52" s="470">
        <f t="shared" si="34"/>
        <v>5031058.47999999</v>
      </c>
      <c r="J52" s="470">
        <v>200000</v>
      </c>
      <c r="K52" s="470">
        <v>0.2</v>
      </c>
      <c r="L52" s="470">
        <f t="shared" si="35"/>
        <v>1006211.696</v>
      </c>
      <c r="M52" s="470">
        <f t="shared" si="36"/>
        <v>1206211.696</v>
      </c>
      <c r="N52" s="470">
        <f t="shared" si="37"/>
        <v>1539347.216</v>
      </c>
      <c r="O52" s="470">
        <f t="shared" si="38"/>
        <v>3824846.78399999</v>
      </c>
      <c r="P52" s="470">
        <f t="shared" si="39"/>
        <v>21000</v>
      </c>
      <c r="Q52" s="470">
        <f t="shared" si="40"/>
        <v>33000</v>
      </c>
      <c r="R52" s="470">
        <f t="shared" si="41"/>
        <v>75000</v>
      </c>
      <c r="S52" s="470">
        <f t="shared" si="42"/>
        <v>95000</v>
      </c>
      <c r="T52" s="470">
        <f t="shared" si="43"/>
        <v>336000</v>
      </c>
      <c r="U52" s="470">
        <f t="shared" si="47"/>
        <v>149963.228159998</v>
      </c>
      <c r="V52" s="470">
        <f t="shared" si="44"/>
        <v>709963.228159998</v>
      </c>
      <c r="W52" s="471">
        <v>12</v>
      </c>
      <c r="X52" s="470">
        <f t="shared" si="45"/>
        <v>59163.6023466665</v>
      </c>
      <c r="Y52" s="476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8" si="48">C55*D55</f>
        <v>23365276.9999999</v>
      </c>
      <c r="F55" s="470"/>
      <c r="G55" s="474">
        <v>1677222.16</v>
      </c>
      <c r="H55" s="476"/>
      <c r="I55" s="470">
        <f t="shared" ref="I55:I68" si="49">E55-F55-G55-H55</f>
        <v>21688054.8399999</v>
      </c>
      <c r="J55" s="470">
        <v>200000</v>
      </c>
      <c r="K55" s="470">
        <v>0.2</v>
      </c>
      <c r="L55" s="470">
        <f t="shared" ref="L55:L68" si="50">I55*K55</f>
        <v>4337610.96799998</v>
      </c>
      <c r="M55" s="470">
        <f t="shared" ref="M55:M68" si="51">J55+L55</f>
        <v>4537610.96799998</v>
      </c>
      <c r="N55" s="470">
        <f t="shared" ref="N55:N68" si="52">F55+G55+H55+M55</f>
        <v>6214833.12799998</v>
      </c>
      <c r="O55" s="470">
        <f t="shared" ref="O55:O68" si="53">E55-N55</f>
        <v>17150443.8719999</v>
      </c>
      <c r="P55" s="470">
        <f t="shared" ref="P55:P68" si="54">IF(O55&lt;300000,0.07*O55,21000)</f>
        <v>21000</v>
      </c>
      <c r="Q55" s="470">
        <f t="shared" ref="Q55:Q68" si="55">IF((O55-300000)&lt;0,0,IF((O55-300000)&lt;300000,0.11*(O55-300000),33000))</f>
        <v>33000</v>
      </c>
      <c r="R55" s="470">
        <f t="shared" ref="R55:R68" si="56">IF((O55-600000)&lt;0,0,IF((O55-600000)&lt;500000,0.15*(O55-600000),75000))</f>
        <v>75000</v>
      </c>
      <c r="S55" s="470">
        <f t="shared" ref="S55:S68" si="57">IF((O55-1100000)&lt;0,0,IF((O55-1100000)&lt;500000,0.19*(O55-1100000),95000))</f>
        <v>95000</v>
      </c>
      <c r="T55" s="470">
        <f t="shared" ref="T55:T68" si="58">IF((O55-1600000)&lt;0,0,IF((O55-1600000)&lt;1600000,0.21*(O55-1600000),336000))</f>
        <v>336000</v>
      </c>
      <c r="U55" s="470">
        <f t="shared" ref="U55:U68" si="59">24%*(O55-3200000)</f>
        <v>3348106.52927998</v>
      </c>
      <c r="V55" s="470">
        <f t="shared" ref="V55:V68" si="60">P55+Q55+R55+S55+T55+U55</f>
        <v>3908106.52927998</v>
      </c>
      <c r="W55" s="471">
        <v>12</v>
      </c>
      <c r="X55" s="470">
        <f t="shared" ref="X55:X68" si="61">V55/W55</f>
        <v>325675.544106665</v>
      </c>
      <c r="Y55" s="476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</v>
      </c>
      <c r="V61" s="470">
        <f t="shared" si="60"/>
        <v>991205.68832</v>
      </c>
      <c r="W61" s="471">
        <v>12</v>
      </c>
      <c r="X61" s="470">
        <f t="shared" si="61"/>
        <v>82600.4740266666</v>
      </c>
      <c r="Y61" s="476"/>
      <c r="Z61" s="929">
        <f t="shared" si="62"/>
        <v>82600.4740266666</v>
      </c>
      <c r="AA61" s="806">
        <v>64384.5917866667</v>
      </c>
      <c r="AB61" s="806">
        <f t="shared" si="32"/>
        <v>18215.8822399999</v>
      </c>
      <c r="AC61" s="473"/>
      <c r="AD61" s="473"/>
      <c r="AE61" s="473"/>
    </row>
    <row r="62" ht="15.5" spans="1:31">
      <c r="A62" s="467">
        <v>53</v>
      </c>
      <c r="B62" s="351" t="s">
        <v>172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</v>
      </c>
      <c r="V62" s="470">
        <f t="shared" si="60"/>
        <v>991205.68832</v>
      </c>
      <c r="W62" s="471">
        <v>12</v>
      </c>
      <c r="X62" s="470">
        <f t="shared" si="61"/>
        <v>82600.4740266666</v>
      </c>
      <c r="Y62" s="476"/>
      <c r="Z62" s="929">
        <f t="shared" si="62"/>
        <v>82600.4740266666</v>
      </c>
      <c r="AA62" s="806">
        <v>64384.5917866667</v>
      </c>
      <c r="AB62" s="806">
        <f t="shared" si="32"/>
        <v>18215.8822399999</v>
      </c>
      <c r="AC62" s="473"/>
      <c r="AD62" s="473"/>
      <c r="AE62" s="473"/>
    </row>
    <row r="63" ht="15.5" spans="1:31">
      <c r="A63" s="467">
        <v>54</v>
      </c>
      <c r="B63" s="643" t="s">
        <v>174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</v>
      </c>
      <c r="V63" s="470">
        <f t="shared" si="60"/>
        <v>991205.68832</v>
      </c>
      <c r="W63" s="471">
        <v>12</v>
      </c>
      <c r="X63" s="470">
        <f t="shared" si="61"/>
        <v>82600.4740266666</v>
      </c>
      <c r="Y63" s="476"/>
      <c r="Z63" s="929">
        <f t="shared" si="62"/>
        <v>82600.4740266666</v>
      </c>
      <c r="AA63" s="806">
        <v>64384.5917866667</v>
      </c>
      <c r="AB63" s="806">
        <f t="shared" si="32"/>
        <v>18215.8822399999</v>
      </c>
      <c r="AC63" s="473"/>
      <c r="AD63" s="473"/>
      <c r="AE63" s="473"/>
    </row>
    <row r="64" ht="15.5" spans="1:31">
      <c r="A64" s="467">
        <v>55</v>
      </c>
      <c r="B64" s="651" t="s">
        <v>175</v>
      </c>
      <c r="C64" s="470">
        <v>592662.666666667</v>
      </c>
      <c r="D64" s="469">
        <v>12</v>
      </c>
      <c r="E64" s="470">
        <f t="shared" si="48"/>
        <v>7111952</v>
      </c>
      <c r="F64" s="470"/>
      <c r="G64" s="474">
        <v>463356.160000001</v>
      </c>
      <c r="H64" s="476"/>
      <c r="I64" s="470">
        <f t="shared" si="49"/>
        <v>6648595.84</v>
      </c>
      <c r="J64" s="470">
        <v>200000</v>
      </c>
      <c r="K64" s="470">
        <v>0.2</v>
      </c>
      <c r="L64" s="470">
        <f t="shared" si="50"/>
        <v>1329719.168</v>
      </c>
      <c r="M64" s="470">
        <f t="shared" si="51"/>
        <v>1529719.168</v>
      </c>
      <c r="N64" s="470">
        <f t="shared" si="52"/>
        <v>1993075.328</v>
      </c>
      <c r="O64" s="470">
        <f t="shared" si="53"/>
        <v>5118876.672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460530.40128</v>
      </c>
      <c r="V64" s="470">
        <f t="shared" si="60"/>
        <v>1020530.40128</v>
      </c>
      <c r="W64" s="471">
        <v>12</v>
      </c>
      <c r="X64" s="470">
        <f t="shared" si="61"/>
        <v>85044.2001066667</v>
      </c>
      <c r="Y64" s="476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3"/>
      <c r="AD64" s="473"/>
      <c r="AE64" s="473"/>
    </row>
    <row r="65" ht="15.5" spans="1:31">
      <c r="A65" s="467">
        <v>56</v>
      </c>
      <c r="B65" s="651" t="s">
        <v>179</v>
      </c>
      <c r="C65" s="470">
        <v>490135.833333334</v>
      </c>
      <c r="D65" s="469">
        <v>12</v>
      </c>
      <c r="E65" s="470">
        <f t="shared" si="48"/>
        <v>5881630.00000001</v>
      </c>
      <c r="F65" s="470">
        <f>6154.27916666668*12</f>
        <v>73851.3500000002</v>
      </c>
      <c r="G65" s="474">
        <v>374530.4</v>
      </c>
      <c r="H65" s="476"/>
      <c r="I65" s="470">
        <f t="shared" si="49"/>
        <v>5433248.25000001</v>
      </c>
      <c r="J65" s="470">
        <v>200000</v>
      </c>
      <c r="K65" s="470">
        <v>0.2</v>
      </c>
      <c r="L65" s="470">
        <f t="shared" si="50"/>
        <v>1086649.65</v>
      </c>
      <c r="M65" s="470">
        <f t="shared" si="51"/>
        <v>1286649.65</v>
      </c>
      <c r="N65" s="470">
        <f t="shared" si="52"/>
        <v>1735031.4</v>
      </c>
      <c r="O65" s="470">
        <f t="shared" si="53"/>
        <v>4146598.60000001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227183.664000002</v>
      </c>
      <c r="V65" s="470">
        <f t="shared" si="60"/>
        <v>787183.664000002</v>
      </c>
      <c r="W65" s="471">
        <v>12</v>
      </c>
      <c r="X65" s="470">
        <f t="shared" si="61"/>
        <v>65598.6386666668</v>
      </c>
      <c r="Y65" s="476"/>
      <c r="Z65" s="929">
        <f t="shared" si="62"/>
        <v>65598.6386666668</v>
      </c>
      <c r="AA65" s="806">
        <v>51029.2273066667</v>
      </c>
      <c r="AB65" s="806">
        <f t="shared" si="32"/>
        <v>14569.4113600001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183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184</v>
      </c>
      <c r="C68" s="470">
        <v>1947106.41666666</v>
      </c>
      <c r="D68" s="469">
        <v>12</v>
      </c>
      <c r="E68" s="470">
        <f t="shared" ref="E68:E74" si="63">C68*D68</f>
        <v>23365276.9999999</v>
      </c>
      <c r="F68" s="470"/>
      <c r="G68" s="474">
        <v>1677222.16</v>
      </c>
      <c r="H68" s="476"/>
      <c r="I68" s="470">
        <f t="shared" ref="I68:I74" si="64">E68-F68-G68-H68</f>
        <v>21688054.8399999</v>
      </c>
      <c r="J68" s="470">
        <v>200000</v>
      </c>
      <c r="K68" s="470">
        <v>0.2</v>
      </c>
      <c r="L68" s="470">
        <f t="shared" ref="L68:L74" si="65">I68*K68</f>
        <v>4337610.96799998</v>
      </c>
      <c r="M68" s="470">
        <f t="shared" ref="M68:M74" si="66">J68+L68</f>
        <v>4537610.96799998</v>
      </c>
      <c r="N68" s="470">
        <f t="shared" ref="N68:N74" si="67">F68+G68+H68+M68</f>
        <v>6214833.12799998</v>
      </c>
      <c r="O68" s="470">
        <f t="shared" ref="O68:O74" si="68">E68-N68</f>
        <v>17150443.8719999</v>
      </c>
      <c r="P68" s="470">
        <f t="shared" ref="P68:P74" si="69">IF(O68&lt;300000,0.07*O68,21000)</f>
        <v>21000</v>
      </c>
      <c r="Q68" s="470">
        <f t="shared" ref="Q68:Q74" si="70">IF((O68-300000)&lt;0,0,IF((O68-300000)&lt;300000,0.11*(O68-300000),33000))</f>
        <v>33000</v>
      </c>
      <c r="R68" s="470">
        <f t="shared" ref="R68:R74" si="71">IF((O68-600000)&lt;0,0,IF((O68-600000)&lt;500000,0.15*(O68-600000),75000))</f>
        <v>75000</v>
      </c>
      <c r="S68" s="470">
        <f t="shared" ref="S68:S74" si="72">IF((O68-1100000)&lt;0,0,IF((O68-1100000)&lt;500000,0.19*(O68-1100000),95000))</f>
        <v>95000</v>
      </c>
      <c r="T68" s="470">
        <f t="shared" ref="T68:T74" si="73">IF((O68-1600000)&lt;0,0,IF((O68-1600000)&lt;1600000,0.21*(O68-1600000),336000))</f>
        <v>336000</v>
      </c>
      <c r="U68" s="470">
        <f t="shared" ref="U68:U71" si="74">24%*(O68-3200000)</f>
        <v>3348106.52927999</v>
      </c>
      <c r="V68" s="470">
        <f t="shared" ref="V68:V74" si="75">P68+Q68+R68+S68+T68+U68</f>
        <v>3908106.52927999</v>
      </c>
      <c r="W68" s="471">
        <v>12</v>
      </c>
      <c r="X68" s="470">
        <f t="shared" ref="X68:X74" si="76">V68/W68</f>
        <v>325675.544106665</v>
      </c>
      <c r="Y68" s="476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188</v>
      </c>
      <c r="C69" s="470">
        <v>882595.5</v>
      </c>
      <c r="D69" s="469">
        <v>12</v>
      </c>
      <c r="E69" s="470">
        <f t="shared" si="63"/>
        <v>10591146</v>
      </c>
      <c r="F69" s="470"/>
      <c r="G69" s="474">
        <v>693691.68</v>
      </c>
      <c r="H69" s="476"/>
      <c r="I69" s="470">
        <f t="shared" si="64"/>
        <v>9897454.32</v>
      </c>
      <c r="J69" s="470">
        <v>200000</v>
      </c>
      <c r="K69" s="470">
        <v>0.2</v>
      </c>
      <c r="L69" s="470">
        <f t="shared" si="65"/>
        <v>1979490.864</v>
      </c>
      <c r="M69" s="470">
        <f t="shared" si="66"/>
        <v>2179490.864</v>
      </c>
      <c r="N69" s="470">
        <f t="shared" si="67"/>
        <v>2873182.544</v>
      </c>
      <c r="O69" s="470">
        <f t="shared" si="68"/>
        <v>7717963.456</v>
      </c>
      <c r="P69" s="470">
        <f t="shared" si="69"/>
        <v>21000</v>
      </c>
      <c r="Q69" s="470">
        <f t="shared" si="70"/>
        <v>33000</v>
      </c>
      <c r="R69" s="470">
        <f t="shared" si="71"/>
        <v>75000</v>
      </c>
      <c r="S69" s="470">
        <f t="shared" si="72"/>
        <v>95000</v>
      </c>
      <c r="T69" s="470">
        <f t="shared" si="73"/>
        <v>336000</v>
      </c>
      <c r="U69" s="470">
        <f t="shared" si="74"/>
        <v>1084311.22944</v>
      </c>
      <c r="V69" s="470">
        <f t="shared" si="75"/>
        <v>1644311.22944</v>
      </c>
      <c r="W69" s="471">
        <v>12</v>
      </c>
      <c r="X69" s="470">
        <f t="shared" si="76"/>
        <v>137025.935786667</v>
      </c>
      <c r="Y69" s="476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190</v>
      </c>
      <c r="C70" s="470">
        <v>713911.083333334</v>
      </c>
      <c r="D70" s="469">
        <v>12</v>
      </c>
      <c r="E70" s="470">
        <f t="shared" si="63"/>
        <v>8566933.00000001</v>
      </c>
      <c r="F70" s="470">
        <v>107120</v>
      </c>
      <c r="G70" s="474">
        <v>550954.64</v>
      </c>
      <c r="H70" s="476"/>
      <c r="I70" s="470">
        <f t="shared" si="64"/>
        <v>7908858.36000001</v>
      </c>
      <c r="J70" s="470">
        <v>200000</v>
      </c>
      <c r="K70" s="470">
        <v>0.2</v>
      </c>
      <c r="L70" s="470">
        <f t="shared" si="65"/>
        <v>1581771.672</v>
      </c>
      <c r="M70" s="470">
        <f t="shared" si="66"/>
        <v>1781771.672</v>
      </c>
      <c r="N70" s="470">
        <f t="shared" si="67"/>
        <v>2439846.312</v>
      </c>
      <c r="O70" s="470">
        <f t="shared" si="68"/>
        <v>6127086.68800001</v>
      </c>
      <c r="P70" s="470">
        <f t="shared" si="69"/>
        <v>21000</v>
      </c>
      <c r="Q70" s="470">
        <f t="shared" si="70"/>
        <v>33000</v>
      </c>
      <c r="R70" s="470">
        <f t="shared" si="71"/>
        <v>75000</v>
      </c>
      <c r="S70" s="470">
        <f t="shared" si="72"/>
        <v>95000</v>
      </c>
      <c r="T70" s="470">
        <f t="shared" si="73"/>
        <v>336000</v>
      </c>
      <c r="U70" s="470">
        <f t="shared" si="74"/>
        <v>702500.805120001</v>
      </c>
      <c r="V70" s="470">
        <f t="shared" si="75"/>
        <v>1262500.80512</v>
      </c>
      <c r="W70" s="471">
        <v>12</v>
      </c>
      <c r="X70" s="470">
        <f t="shared" si="76"/>
        <v>105208.400426667</v>
      </c>
      <c r="Y70" s="476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197</v>
      </c>
      <c r="C71" s="470">
        <v>564993.583333333</v>
      </c>
      <c r="D71" s="469">
        <v>12</v>
      </c>
      <c r="E71" s="470">
        <f t="shared" si="63"/>
        <v>6779923</v>
      </c>
      <c r="F71" s="470"/>
      <c r="G71" s="474">
        <v>436793.839999999</v>
      </c>
      <c r="H71" s="476"/>
      <c r="I71" s="470">
        <f t="shared" si="64"/>
        <v>6343129.16</v>
      </c>
      <c r="J71" s="470">
        <v>200000</v>
      </c>
      <c r="K71" s="470">
        <v>0.2</v>
      </c>
      <c r="L71" s="470">
        <f t="shared" si="65"/>
        <v>1268625.832</v>
      </c>
      <c r="M71" s="470">
        <f t="shared" si="66"/>
        <v>1468625.832</v>
      </c>
      <c r="N71" s="470">
        <f t="shared" si="67"/>
        <v>1905419.672</v>
      </c>
      <c r="O71" s="470">
        <f t="shared" si="68"/>
        <v>4874503.328</v>
      </c>
      <c r="P71" s="470">
        <f t="shared" si="69"/>
        <v>21000</v>
      </c>
      <c r="Q71" s="470">
        <f t="shared" si="70"/>
        <v>33000</v>
      </c>
      <c r="R71" s="470">
        <f t="shared" si="71"/>
        <v>75000</v>
      </c>
      <c r="S71" s="470">
        <f t="shared" si="72"/>
        <v>95000</v>
      </c>
      <c r="T71" s="470">
        <f t="shared" si="73"/>
        <v>336000</v>
      </c>
      <c r="U71" s="470">
        <f t="shared" si="74"/>
        <v>401880.798719999</v>
      </c>
      <c r="V71" s="470">
        <f t="shared" si="75"/>
        <v>961880.798719999</v>
      </c>
      <c r="W71" s="471">
        <v>12</v>
      </c>
      <c r="X71" s="470">
        <f t="shared" si="76"/>
        <v>80156.7332266666</v>
      </c>
      <c r="Y71" s="476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201</v>
      </c>
      <c r="C72" s="470">
        <v>447016.166666666</v>
      </c>
      <c r="D72" s="469">
        <v>12</v>
      </c>
      <c r="E72" s="470">
        <f t="shared" si="63"/>
        <v>5364193.99999999</v>
      </c>
      <c r="F72" s="470"/>
      <c r="G72" s="474">
        <v>333135.52</v>
      </c>
      <c r="H72" s="476"/>
      <c r="I72" s="470">
        <f t="shared" si="64"/>
        <v>5031058.47999999</v>
      </c>
      <c r="J72" s="470">
        <v>200000</v>
      </c>
      <c r="K72" s="470">
        <v>0.2</v>
      </c>
      <c r="L72" s="470">
        <f t="shared" si="65"/>
        <v>1006211.696</v>
      </c>
      <c r="M72" s="470">
        <f t="shared" si="66"/>
        <v>1206211.696</v>
      </c>
      <c r="N72" s="470">
        <f t="shared" si="67"/>
        <v>1539347.216</v>
      </c>
      <c r="O72" s="470">
        <f t="shared" si="68"/>
        <v>3824846.78399999</v>
      </c>
      <c r="P72" s="470">
        <f t="shared" si="69"/>
        <v>21000</v>
      </c>
      <c r="Q72" s="470">
        <f t="shared" si="70"/>
        <v>33000</v>
      </c>
      <c r="R72" s="470">
        <f t="shared" si="71"/>
        <v>75000</v>
      </c>
      <c r="S72" s="470">
        <f t="shared" si="72"/>
        <v>95000</v>
      </c>
      <c r="T72" s="470">
        <f t="shared" si="73"/>
        <v>336000</v>
      </c>
      <c r="U72" s="470">
        <f>0.24*(O72-3200000)</f>
        <v>149963.228159998</v>
      </c>
      <c r="V72" s="470">
        <f t="shared" si="75"/>
        <v>709963.228159998</v>
      </c>
      <c r="W72" s="471">
        <v>12</v>
      </c>
      <c r="X72" s="470">
        <f t="shared" si="76"/>
        <v>59163.6023466665</v>
      </c>
      <c r="Y72" s="476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3"/>
      <c r="AD72" s="473"/>
      <c r="AE72" s="473"/>
    </row>
    <row r="73" ht="24.75" customHeight="1" spans="1:31">
      <c r="A73" s="467"/>
      <c r="B73" s="651" t="s">
        <v>203</v>
      </c>
      <c r="C73" s="470">
        <v>401910.75</v>
      </c>
      <c r="D73" s="469">
        <v>12</v>
      </c>
      <c r="E73" s="470">
        <f t="shared" si="63"/>
        <v>4822929</v>
      </c>
      <c r="F73" s="470"/>
      <c r="G73" s="474">
        <v>289834.32</v>
      </c>
      <c r="H73" s="476"/>
      <c r="I73" s="470">
        <f t="shared" si="64"/>
        <v>4533094.68</v>
      </c>
      <c r="J73" s="470">
        <v>200000</v>
      </c>
      <c r="K73" s="470">
        <v>0.2</v>
      </c>
      <c r="L73" s="470">
        <f t="shared" si="65"/>
        <v>906618.936</v>
      </c>
      <c r="M73" s="470">
        <f t="shared" si="66"/>
        <v>1106618.936</v>
      </c>
      <c r="N73" s="470">
        <f t="shared" si="67"/>
        <v>1396453.256</v>
      </c>
      <c r="O73" s="470">
        <f t="shared" si="68"/>
        <v>3426475.744</v>
      </c>
      <c r="P73" s="470">
        <f t="shared" si="69"/>
        <v>21000</v>
      </c>
      <c r="Q73" s="470">
        <f t="shared" si="70"/>
        <v>33000</v>
      </c>
      <c r="R73" s="470">
        <f t="shared" si="71"/>
        <v>75000</v>
      </c>
      <c r="S73" s="470">
        <f t="shared" si="72"/>
        <v>95000</v>
      </c>
      <c r="T73" s="470">
        <f t="shared" si="73"/>
        <v>336000</v>
      </c>
      <c r="U73" s="470">
        <f>0.24*(O73-3200000)</f>
        <v>54354.17856</v>
      </c>
      <c r="V73" s="470">
        <f t="shared" si="75"/>
        <v>614354.17856</v>
      </c>
      <c r="W73" s="471">
        <v>12</v>
      </c>
      <c r="X73" s="470">
        <f t="shared" si="76"/>
        <v>51196.1815466667</v>
      </c>
      <c r="Y73" s="476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205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206</v>
      </c>
      <c r="C76" s="470">
        <v>1847612</v>
      </c>
      <c r="D76" s="469">
        <v>12</v>
      </c>
      <c r="E76" s="470">
        <f t="shared" ref="E76:E85" si="79">C76*D76</f>
        <v>22171344</v>
      </c>
      <c r="F76" s="470">
        <v>307730.499999999</v>
      </c>
      <c r="G76" s="474">
        <v>1581707.52</v>
      </c>
      <c r="H76" s="476"/>
      <c r="I76" s="470">
        <f t="shared" ref="I76:I85" si="80">E76-F76-G76-H76</f>
        <v>20281905.98</v>
      </c>
      <c r="J76" s="470">
        <v>200000</v>
      </c>
      <c r="K76" s="470">
        <v>0.2</v>
      </c>
      <c r="L76" s="470">
        <f t="shared" ref="L76:L85" si="81">I76*K76</f>
        <v>4056381.196</v>
      </c>
      <c r="M76" s="470">
        <f t="shared" ref="M76:M85" si="82">J76+L76</f>
        <v>4256381.196</v>
      </c>
      <c r="N76" s="470">
        <f t="shared" ref="N76:N85" si="83">F76+G76+H76+M76</f>
        <v>6145819.216</v>
      </c>
      <c r="O76" s="470">
        <f t="shared" ref="O76:O85" si="84">E76-N76</f>
        <v>16025524.784</v>
      </c>
      <c r="P76" s="470">
        <f t="shared" ref="P76:P85" si="85">IF(O76&lt;300000,0.07*O76,21000)</f>
        <v>21000</v>
      </c>
      <c r="Q76" s="470">
        <f t="shared" ref="Q76:Q85" si="86">IF((O76-300000)&lt;0,0,IF((O76-300000)&lt;300000,0.11*(O76-300000),33000))</f>
        <v>33000</v>
      </c>
      <c r="R76" s="470">
        <f t="shared" ref="R76:R85" si="87">IF((O76-600000)&lt;0,0,IF((O76-600000)&lt;500000,0.15*(O76-600000),75000))</f>
        <v>75000</v>
      </c>
      <c r="S76" s="470">
        <f t="shared" ref="S76:S85" si="88">IF((O76-1100000)&lt;0,0,IF((O76-1100000)&lt;500000,0.19*(O76-1100000),95000))</f>
        <v>95000</v>
      </c>
      <c r="T76" s="470">
        <f t="shared" ref="T76:T85" si="89">IF((O76-1600000)&lt;0,0,IF((O76-1600000)&lt;1600000,0.21*(O76-1600000),336000))</f>
        <v>336000</v>
      </c>
      <c r="U76" s="470">
        <f t="shared" ref="U76:U85" si="90">24%*(O76-3200000)</f>
        <v>3078125.94816</v>
      </c>
      <c r="V76" s="470">
        <f t="shared" ref="V76:V85" si="91">P76+Q76+R76+S76+T76+U76</f>
        <v>3638125.94816</v>
      </c>
      <c r="W76" s="471">
        <v>12</v>
      </c>
      <c r="X76" s="470">
        <f t="shared" ref="X76:X85" si="92">V76/W76</f>
        <v>303177.162346667</v>
      </c>
      <c r="Y76" s="476"/>
      <c r="Z76" s="929">
        <f t="shared" ref="Z76:Z85" si="93">X76</f>
        <v>303177.162346667</v>
      </c>
      <c r="AA76" s="470">
        <v>251101.24</v>
      </c>
      <c r="AB76" s="806">
        <f t="shared" si="78"/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208</v>
      </c>
      <c r="C77" s="470">
        <v>1232711.08333333</v>
      </c>
      <c r="D77" s="469">
        <v>12</v>
      </c>
      <c r="E77" s="470">
        <f t="shared" si="79"/>
        <v>14792533</v>
      </c>
      <c r="F77" s="470"/>
      <c r="G77" s="474">
        <v>818602.639999999</v>
      </c>
      <c r="H77" s="476"/>
      <c r="I77" s="470">
        <f t="shared" si="80"/>
        <v>13973930.36</v>
      </c>
      <c r="J77" s="470">
        <v>200000</v>
      </c>
      <c r="K77" s="470">
        <v>0.2</v>
      </c>
      <c r="L77" s="470">
        <f t="shared" si="81"/>
        <v>2794786.07199999</v>
      </c>
      <c r="M77" s="470">
        <f t="shared" si="82"/>
        <v>2994786.07199999</v>
      </c>
      <c r="N77" s="470">
        <f t="shared" si="83"/>
        <v>3813388.71199999</v>
      </c>
      <c r="O77" s="470">
        <f t="shared" si="84"/>
        <v>10979144.288</v>
      </c>
      <c r="P77" s="470">
        <f t="shared" si="85"/>
        <v>21000</v>
      </c>
      <c r="Q77" s="470">
        <f t="shared" si="86"/>
        <v>33000</v>
      </c>
      <c r="R77" s="470">
        <f t="shared" si="87"/>
        <v>75000</v>
      </c>
      <c r="S77" s="470">
        <f t="shared" si="88"/>
        <v>95000</v>
      </c>
      <c r="T77" s="470">
        <f t="shared" si="89"/>
        <v>336000</v>
      </c>
      <c r="U77" s="470">
        <f t="shared" si="90"/>
        <v>1866994.62911999</v>
      </c>
      <c r="V77" s="470">
        <f t="shared" si="91"/>
        <v>2426994.62911999</v>
      </c>
      <c r="W77" s="471">
        <v>12</v>
      </c>
      <c r="X77" s="470">
        <f t="shared" si="92"/>
        <v>202249.552426666</v>
      </c>
      <c r="Y77" s="476"/>
      <c r="Z77" s="929">
        <f t="shared" si="93"/>
        <v>202249.552426666</v>
      </c>
      <c r="AA77" s="470">
        <v>177751.03</v>
      </c>
      <c r="AB77" s="806">
        <f t="shared" si="78"/>
        <v>24498.522426666</v>
      </c>
      <c r="AC77" s="473"/>
      <c r="AD77" s="473"/>
      <c r="AE77" s="473"/>
    </row>
    <row r="78" ht="31" spans="1:31">
      <c r="A78" s="467">
        <v>70</v>
      </c>
      <c r="B78" s="651" t="s">
        <v>479</v>
      </c>
      <c r="C78" s="470">
        <v>882595.5</v>
      </c>
      <c r="D78" s="469">
        <v>12</v>
      </c>
      <c r="E78" s="470">
        <f t="shared" si="79"/>
        <v>10591146</v>
      </c>
      <c r="F78" s="470"/>
      <c r="G78" s="474">
        <v>693691.68</v>
      </c>
      <c r="H78" s="476"/>
      <c r="I78" s="470">
        <f t="shared" si="80"/>
        <v>9897454.32</v>
      </c>
      <c r="J78" s="470">
        <v>200000</v>
      </c>
      <c r="K78" s="470">
        <v>0.2</v>
      </c>
      <c r="L78" s="470">
        <f t="shared" si="81"/>
        <v>1979490.864</v>
      </c>
      <c r="M78" s="470">
        <f t="shared" si="82"/>
        <v>2179490.864</v>
      </c>
      <c r="N78" s="470">
        <f t="shared" si="83"/>
        <v>2873182.544</v>
      </c>
      <c r="O78" s="470">
        <f t="shared" si="84"/>
        <v>7717963.456</v>
      </c>
      <c r="P78" s="470">
        <f t="shared" si="85"/>
        <v>21000</v>
      </c>
      <c r="Q78" s="470">
        <f t="shared" si="86"/>
        <v>33000</v>
      </c>
      <c r="R78" s="470">
        <f t="shared" si="87"/>
        <v>75000</v>
      </c>
      <c r="S78" s="470">
        <f t="shared" si="88"/>
        <v>95000</v>
      </c>
      <c r="T78" s="470">
        <f t="shared" si="89"/>
        <v>336000</v>
      </c>
      <c r="U78" s="470">
        <f t="shared" si="90"/>
        <v>1084311.22944</v>
      </c>
      <c r="V78" s="470">
        <f t="shared" si="91"/>
        <v>1644311.22944</v>
      </c>
      <c r="W78" s="471">
        <v>12</v>
      </c>
      <c r="X78" s="470">
        <f t="shared" si="92"/>
        <v>137025.935786667</v>
      </c>
      <c r="Y78" s="476"/>
      <c r="Z78" s="929">
        <f t="shared" si="93"/>
        <v>137025.935786667</v>
      </c>
      <c r="AA78" s="470">
        <v>112212.004906667</v>
      </c>
      <c r="AB78" s="806">
        <f t="shared" si="78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211</v>
      </c>
      <c r="C79" s="470">
        <v>698165.25</v>
      </c>
      <c r="D79" s="469">
        <v>12</v>
      </c>
      <c r="E79" s="470">
        <f t="shared" si="79"/>
        <v>8377983</v>
      </c>
      <c r="F79" s="470"/>
      <c r="G79" s="474">
        <v>535838.64</v>
      </c>
      <c r="H79" s="476"/>
      <c r="I79" s="470">
        <f t="shared" si="80"/>
        <v>7842144.36</v>
      </c>
      <c r="J79" s="470">
        <v>200000</v>
      </c>
      <c r="K79" s="470">
        <v>0.2</v>
      </c>
      <c r="L79" s="470">
        <f t="shared" si="81"/>
        <v>1568428.872</v>
      </c>
      <c r="M79" s="470">
        <f t="shared" si="82"/>
        <v>1768428.872</v>
      </c>
      <c r="N79" s="470">
        <f t="shared" si="83"/>
        <v>2304267.512</v>
      </c>
      <c r="O79" s="470">
        <f t="shared" si="84"/>
        <v>6073715.488</v>
      </c>
      <c r="P79" s="470">
        <f t="shared" si="85"/>
        <v>21000</v>
      </c>
      <c r="Q79" s="470">
        <f t="shared" si="86"/>
        <v>33000</v>
      </c>
      <c r="R79" s="470">
        <f t="shared" si="87"/>
        <v>75000</v>
      </c>
      <c r="S79" s="470">
        <f t="shared" si="88"/>
        <v>95000</v>
      </c>
      <c r="T79" s="470">
        <f t="shared" si="89"/>
        <v>336000</v>
      </c>
      <c r="U79" s="470">
        <f t="shared" si="90"/>
        <v>689691.717119999</v>
      </c>
      <c r="V79" s="470">
        <f t="shared" si="91"/>
        <v>1249691.71712</v>
      </c>
      <c r="W79" s="471">
        <v>12</v>
      </c>
      <c r="X79" s="470">
        <f t="shared" si="92"/>
        <v>104140.976426667</v>
      </c>
      <c r="Y79" s="476"/>
      <c r="Z79" s="929">
        <f t="shared" si="93"/>
        <v>104140.976426667</v>
      </c>
      <c r="AA79" s="470">
        <v>83767.87</v>
      </c>
      <c r="AB79" s="806">
        <f t="shared" si="78"/>
        <v>20373.1064266666</v>
      </c>
      <c r="AC79" s="473"/>
      <c r="AD79" s="473"/>
      <c r="AE79" s="473"/>
    </row>
    <row r="80" ht="15.5" spans="1:31">
      <c r="A80" s="467">
        <v>72</v>
      </c>
      <c r="B80" s="651" t="s">
        <v>212</v>
      </c>
      <c r="C80" s="470">
        <v>698166.25</v>
      </c>
      <c r="D80" s="469">
        <v>12</v>
      </c>
      <c r="E80" s="470">
        <f t="shared" si="79"/>
        <v>8377995</v>
      </c>
      <c r="F80" s="470">
        <v>104315.075</v>
      </c>
      <c r="G80" s="474">
        <v>535839.6</v>
      </c>
      <c r="H80" s="476"/>
      <c r="I80" s="470">
        <f t="shared" si="80"/>
        <v>7737840.325</v>
      </c>
      <c r="J80" s="470">
        <v>200000</v>
      </c>
      <c r="K80" s="470">
        <v>0.2</v>
      </c>
      <c r="L80" s="470">
        <f t="shared" si="81"/>
        <v>1547568.065</v>
      </c>
      <c r="M80" s="470">
        <f t="shared" si="82"/>
        <v>1747568.065</v>
      </c>
      <c r="N80" s="470">
        <f t="shared" si="83"/>
        <v>2387722.74</v>
      </c>
      <c r="O80" s="470">
        <f t="shared" si="84"/>
        <v>5990272.26</v>
      </c>
      <c r="P80" s="470">
        <f t="shared" si="85"/>
        <v>21000</v>
      </c>
      <c r="Q80" s="470">
        <f t="shared" si="86"/>
        <v>33000</v>
      </c>
      <c r="R80" s="470">
        <f t="shared" si="87"/>
        <v>75000</v>
      </c>
      <c r="S80" s="470">
        <f t="shared" si="88"/>
        <v>95000</v>
      </c>
      <c r="T80" s="470">
        <f t="shared" si="89"/>
        <v>336000</v>
      </c>
      <c r="U80" s="470">
        <f t="shared" si="90"/>
        <v>669665.342399999</v>
      </c>
      <c r="V80" s="470">
        <f t="shared" si="91"/>
        <v>1229665.3424</v>
      </c>
      <c r="W80" s="471">
        <v>12</v>
      </c>
      <c r="X80" s="470">
        <f t="shared" si="92"/>
        <v>102472.111866667</v>
      </c>
      <c r="Y80" s="476"/>
      <c r="Z80" s="929">
        <f t="shared" si="93"/>
        <v>102472.111866667</v>
      </c>
      <c r="AA80" s="470">
        <v>83753.4084266666</v>
      </c>
      <c r="AB80" s="806">
        <f t="shared" si="78"/>
        <v>18718.70344</v>
      </c>
      <c r="AC80" s="473"/>
      <c r="AD80" s="473"/>
      <c r="AE80" s="473"/>
    </row>
    <row r="81" ht="31" spans="1:31">
      <c r="A81" s="467">
        <v>73</v>
      </c>
      <c r="B81" s="651" t="s">
        <v>213</v>
      </c>
      <c r="C81" s="470">
        <v>682419.5</v>
      </c>
      <c r="D81" s="469">
        <v>12</v>
      </c>
      <c r="E81" s="470">
        <f t="shared" si="79"/>
        <v>8189034</v>
      </c>
      <c r="F81" s="470"/>
      <c r="G81" s="474">
        <v>520722.72</v>
      </c>
      <c r="H81" s="476"/>
      <c r="I81" s="470">
        <f t="shared" si="80"/>
        <v>7668311.28</v>
      </c>
      <c r="J81" s="470">
        <v>200000</v>
      </c>
      <c r="K81" s="470">
        <v>0.2</v>
      </c>
      <c r="L81" s="470">
        <f t="shared" si="81"/>
        <v>1533662.256</v>
      </c>
      <c r="M81" s="470">
        <f t="shared" si="82"/>
        <v>1733662.256</v>
      </c>
      <c r="N81" s="470">
        <f t="shared" si="83"/>
        <v>2254384.976</v>
      </c>
      <c r="O81" s="470">
        <f t="shared" si="84"/>
        <v>5934649.024</v>
      </c>
      <c r="P81" s="470">
        <f t="shared" si="85"/>
        <v>21000</v>
      </c>
      <c r="Q81" s="470">
        <f t="shared" si="86"/>
        <v>33000</v>
      </c>
      <c r="R81" s="470">
        <f t="shared" si="87"/>
        <v>75000</v>
      </c>
      <c r="S81" s="470">
        <f t="shared" si="88"/>
        <v>95000</v>
      </c>
      <c r="T81" s="470">
        <f t="shared" si="89"/>
        <v>336000</v>
      </c>
      <c r="U81" s="470">
        <f t="shared" si="90"/>
        <v>656315.76576</v>
      </c>
      <c r="V81" s="470">
        <f t="shared" si="91"/>
        <v>1216315.76576</v>
      </c>
      <c r="W81" s="471">
        <v>12</v>
      </c>
      <c r="X81" s="470">
        <f t="shared" si="92"/>
        <v>101359.647146667</v>
      </c>
      <c r="Y81" s="476"/>
      <c r="Z81" s="929">
        <f t="shared" si="93"/>
        <v>101359.647146667</v>
      </c>
      <c r="AA81" s="470">
        <v>81302.3959466667</v>
      </c>
      <c r="AB81" s="806">
        <f t="shared" si="78"/>
        <v>20057.2512</v>
      </c>
      <c r="AC81" s="473"/>
      <c r="AD81" s="473"/>
      <c r="AE81" s="473"/>
    </row>
    <row r="82" ht="15.5" spans="1:31">
      <c r="A82" s="467">
        <v>74</v>
      </c>
      <c r="B82" s="651" t="s">
        <v>215</v>
      </c>
      <c r="C82" s="470">
        <v>578828.166666667</v>
      </c>
      <c r="D82" s="469">
        <v>12</v>
      </c>
      <c r="E82" s="470">
        <f t="shared" si="79"/>
        <v>6945938</v>
      </c>
      <c r="F82" s="470"/>
      <c r="G82" s="479">
        <v>450075.040000001</v>
      </c>
      <c r="H82" s="476"/>
      <c r="I82" s="470">
        <f t="shared" si="80"/>
        <v>6495862.96</v>
      </c>
      <c r="J82" s="470">
        <v>200000</v>
      </c>
      <c r="K82" s="470">
        <v>0.2</v>
      </c>
      <c r="L82" s="470">
        <f t="shared" si="81"/>
        <v>1299172.592</v>
      </c>
      <c r="M82" s="470">
        <f t="shared" si="82"/>
        <v>1499172.592</v>
      </c>
      <c r="N82" s="470">
        <f t="shared" si="83"/>
        <v>1949247.632</v>
      </c>
      <c r="O82" s="470">
        <f t="shared" si="84"/>
        <v>4996690.368</v>
      </c>
      <c r="P82" s="470">
        <f t="shared" si="85"/>
        <v>21000</v>
      </c>
      <c r="Q82" s="470">
        <f t="shared" si="86"/>
        <v>33000</v>
      </c>
      <c r="R82" s="470">
        <f t="shared" si="87"/>
        <v>75000</v>
      </c>
      <c r="S82" s="470">
        <f t="shared" si="88"/>
        <v>95000</v>
      </c>
      <c r="T82" s="470">
        <f t="shared" si="89"/>
        <v>336000</v>
      </c>
      <c r="U82" s="470">
        <f t="shared" si="90"/>
        <v>431205.688320001</v>
      </c>
      <c r="V82" s="470">
        <f t="shared" si="91"/>
        <v>991205.688320001</v>
      </c>
      <c r="W82" s="471">
        <v>12</v>
      </c>
      <c r="X82" s="470">
        <f t="shared" si="92"/>
        <v>82600.4740266667</v>
      </c>
      <c r="Y82" s="476"/>
      <c r="Z82" s="929">
        <f t="shared" si="93"/>
        <v>82600.4740266667</v>
      </c>
      <c r="AA82" s="470">
        <v>64384.5917866667</v>
      </c>
      <c r="AB82" s="806">
        <f t="shared" si="78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216</v>
      </c>
      <c r="C83" s="470">
        <v>617472.75</v>
      </c>
      <c r="D83" s="469">
        <v>12</v>
      </c>
      <c r="E83" s="470">
        <f t="shared" si="79"/>
        <v>7409673</v>
      </c>
      <c r="F83" s="470">
        <v>93501.975</v>
      </c>
      <c r="G83" s="474">
        <v>477573.84</v>
      </c>
      <c r="H83" s="476"/>
      <c r="I83" s="470">
        <f t="shared" si="80"/>
        <v>6838597.185</v>
      </c>
      <c r="J83" s="470">
        <v>200000</v>
      </c>
      <c r="K83" s="470">
        <v>0.2</v>
      </c>
      <c r="L83" s="470">
        <f t="shared" si="81"/>
        <v>1367719.437</v>
      </c>
      <c r="M83" s="470">
        <f t="shared" si="82"/>
        <v>1567719.437</v>
      </c>
      <c r="N83" s="470">
        <f t="shared" si="83"/>
        <v>2138795.252</v>
      </c>
      <c r="O83" s="470">
        <f t="shared" si="84"/>
        <v>5270877.748</v>
      </c>
      <c r="P83" s="470">
        <f t="shared" si="85"/>
        <v>21000</v>
      </c>
      <c r="Q83" s="470">
        <f t="shared" si="86"/>
        <v>33000</v>
      </c>
      <c r="R83" s="470">
        <f t="shared" si="87"/>
        <v>75000</v>
      </c>
      <c r="S83" s="470">
        <f t="shared" si="88"/>
        <v>95000</v>
      </c>
      <c r="T83" s="470">
        <f t="shared" si="89"/>
        <v>336000</v>
      </c>
      <c r="U83" s="470">
        <f t="shared" si="90"/>
        <v>497010.65952</v>
      </c>
      <c r="V83" s="470">
        <f t="shared" si="91"/>
        <v>1057010.65952</v>
      </c>
      <c r="W83" s="471">
        <v>12</v>
      </c>
      <c r="X83" s="470">
        <f t="shared" si="92"/>
        <v>88084.2216266667</v>
      </c>
      <c r="Y83" s="476"/>
      <c r="Z83" s="929">
        <f t="shared" si="93"/>
        <v>88084.2216266667</v>
      </c>
      <c r="AA83" s="470">
        <v>70529.4753546667</v>
      </c>
      <c r="AB83" s="806">
        <f t="shared" si="78"/>
        <v>17554.746272</v>
      </c>
      <c r="AC83" s="473"/>
      <c r="AD83" s="473"/>
      <c r="AE83" s="473"/>
    </row>
    <row r="84" ht="15.5" spans="1:31">
      <c r="A84" s="467">
        <v>76</v>
      </c>
      <c r="B84" s="651" t="s">
        <v>220</v>
      </c>
      <c r="C84" s="470">
        <v>490135.833333334</v>
      </c>
      <c r="D84" s="469">
        <v>12</v>
      </c>
      <c r="E84" s="470">
        <f t="shared" si="79"/>
        <v>5881630.00000001</v>
      </c>
      <c r="F84" s="470"/>
      <c r="G84" s="474">
        <v>374530.4</v>
      </c>
      <c r="H84" s="476"/>
      <c r="I84" s="470">
        <f t="shared" si="80"/>
        <v>5507099.60000001</v>
      </c>
      <c r="J84" s="470">
        <v>200000</v>
      </c>
      <c r="K84" s="470">
        <v>0.2</v>
      </c>
      <c r="L84" s="470">
        <f t="shared" si="81"/>
        <v>1101419.92</v>
      </c>
      <c r="M84" s="470">
        <f t="shared" si="82"/>
        <v>1301419.92</v>
      </c>
      <c r="N84" s="470">
        <f t="shared" si="83"/>
        <v>1675950.32</v>
      </c>
      <c r="O84" s="470">
        <f t="shared" si="84"/>
        <v>4205679.68000001</v>
      </c>
      <c r="P84" s="470">
        <f t="shared" si="85"/>
        <v>21000</v>
      </c>
      <c r="Q84" s="470">
        <f t="shared" si="86"/>
        <v>33000</v>
      </c>
      <c r="R84" s="470">
        <f t="shared" si="87"/>
        <v>75000</v>
      </c>
      <c r="S84" s="470">
        <f t="shared" si="88"/>
        <v>95000</v>
      </c>
      <c r="T84" s="470">
        <f t="shared" si="89"/>
        <v>336000</v>
      </c>
      <c r="U84" s="470">
        <f t="shared" si="90"/>
        <v>241363.123200002</v>
      </c>
      <c r="V84" s="470">
        <f t="shared" si="91"/>
        <v>801363.123200002</v>
      </c>
      <c r="W84" s="471">
        <v>12</v>
      </c>
      <c r="X84" s="470">
        <f t="shared" si="92"/>
        <v>66780.2602666668</v>
      </c>
      <c r="Y84" s="476"/>
      <c r="Z84" s="929">
        <f t="shared" si="93"/>
        <v>66780.2602666668</v>
      </c>
      <c r="AA84" s="470">
        <v>51029.2273066667</v>
      </c>
      <c r="AB84" s="806">
        <f t="shared" si="78"/>
        <v>15751.0329600001</v>
      </c>
      <c r="AC84" s="473"/>
      <c r="AD84" s="473"/>
      <c r="AE84" s="473"/>
    </row>
    <row r="85" ht="15.5" spans="1:31">
      <c r="A85" s="467"/>
      <c r="B85" s="651" t="s">
        <v>224</v>
      </c>
      <c r="C85" s="470">
        <v>408920.666666667</v>
      </c>
      <c r="D85" s="469">
        <v>12</v>
      </c>
      <c r="E85" s="470">
        <f t="shared" si="79"/>
        <v>4907048</v>
      </c>
      <c r="F85" s="470"/>
      <c r="G85" s="474">
        <v>296563.840000001</v>
      </c>
      <c r="H85" s="476"/>
      <c r="I85" s="470">
        <f t="shared" si="80"/>
        <v>4610484.16</v>
      </c>
      <c r="J85" s="470">
        <v>200000</v>
      </c>
      <c r="K85" s="470">
        <v>0.2</v>
      </c>
      <c r="L85" s="470">
        <f t="shared" si="81"/>
        <v>922096.832000001</v>
      </c>
      <c r="M85" s="470">
        <f t="shared" si="82"/>
        <v>1122096.832</v>
      </c>
      <c r="N85" s="470">
        <f t="shared" si="83"/>
        <v>1418660.672</v>
      </c>
      <c r="O85" s="470">
        <f t="shared" si="84"/>
        <v>3488387.328</v>
      </c>
      <c r="P85" s="470">
        <f t="shared" si="85"/>
        <v>21000</v>
      </c>
      <c r="Q85" s="470">
        <f t="shared" si="86"/>
        <v>33000</v>
      </c>
      <c r="R85" s="470">
        <f t="shared" si="87"/>
        <v>75000</v>
      </c>
      <c r="S85" s="470">
        <f t="shared" si="88"/>
        <v>95000</v>
      </c>
      <c r="T85" s="470">
        <f t="shared" si="89"/>
        <v>336000</v>
      </c>
      <c r="U85" s="470">
        <f t="shared" si="90"/>
        <v>69212.9587200005</v>
      </c>
      <c r="V85" s="470">
        <f t="shared" si="91"/>
        <v>629212.95872</v>
      </c>
      <c r="W85" s="471">
        <v>12</v>
      </c>
      <c r="X85" s="470">
        <f t="shared" si="92"/>
        <v>52434.4132266667</v>
      </c>
      <c r="Y85" s="476"/>
      <c r="Z85" s="929">
        <f t="shared" si="93"/>
        <v>52434.4132266667</v>
      </c>
      <c r="AA85" s="470">
        <v>39613.1357066667</v>
      </c>
      <c r="AB85" s="806">
        <f t="shared" si="78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226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227</v>
      </c>
      <c r="C89" s="470">
        <v>1797359.33333333</v>
      </c>
      <c r="D89" s="469">
        <v>12</v>
      </c>
      <c r="E89" s="470">
        <f t="shared" ref="E89:E93" si="94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5">E89-F89-G89-H89</f>
        <v>19621965.19</v>
      </c>
      <c r="J89" s="470">
        <v>200000</v>
      </c>
      <c r="K89" s="470">
        <v>0.2</v>
      </c>
      <c r="L89" s="470">
        <f t="shared" ref="L89:L93" si="96">I89*K89</f>
        <v>3924393.03799999</v>
      </c>
      <c r="M89" s="470">
        <f t="shared" ref="M89:M93" si="97">J89+L89</f>
        <v>4124393.03799999</v>
      </c>
      <c r="N89" s="470">
        <f t="shared" ref="N89:N93" si="98">F89+G89+H89+M89</f>
        <v>6070739.84799998</v>
      </c>
      <c r="O89" s="470">
        <f t="shared" ref="O89:O93" si="99">E89-N89</f>
        <v>15497572.152</v>
      </c>
      <c r="P89" s="470">
        <f t="shared" ref="P89:P93" si="100">IF(O89&lt;300000,0.07*O89,21000)</f>
        <v>21000</v>
      </c>
      <c r="Q89" s="470">
        <f t="shared" ref="Q89:Q93" si="101">IF((O89-300000)&lt;0,0,IF((O89-300000)&lt;300000,0.11*(O89-300000),33000))</f>
        <v>33000</v>
      </c>
      <c r="R89" s="470">
        <f t="shared" ref="R89:R93" si="102">IF((O89-600000)&lt;0,0,IF((O89-600000)&lt;500000,0.15*(O89-600000),75000))</f>
        <v>75000</v>
      </c>
      <c r="S89" s="470">
        <f t="shared" ref="S89:S93" si="103">IF((O89-1100000)&lt;0,0,IF((O89-1100000)&lt;500000,0.19*(O89-1100000),95000))</f>
        <v>95000</v>
      </c>
      <c r="T89" s="470">
        <f t="shared" ref="T89:T93" si="104">IF((O89-1600000)&lt;0,0,IF((O89-1600000)&lt;1600000,0.21*(O89-1600000),336000))</f>
        <v>336000</v>
      </c>
      <c r="U89" s="470">
        <f t="shared" ref="U89:U93" si="105">24%*(O89-3200000)</f>
        <v>2951417.31647999</v>
      </c>
      <c r="V89" s="470">
        <f t="shared" ref="V89:V93" si="106">P89+Q89+R89+S89+T89+U89</f>
        <v>3511417.31647999</v>
      </c>
      <c r="W89" s="471">
        <v>12</v>
      </c>
      <c r="X89" s="470">
        <f t="shared" ref="X89:X93" si="107">V89/W89</f>
        <v>292618.109706666</v>
      </c>
      <c r="Y89" s="476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56131.3610271992</v>
      </c>
      <c r="AC89" s="473"/>
      <c r="AD89" s="473"/>
      <c r="AE89" s="473"/>
    </row>
    <row r="90" ht="18" spans="1:31">
      <c r="A90" s="467">
        <v>80</v>
      </c>
      <c r="B90" s="651" t="s">
        <v>229</v>
      </c>
      <c r="C90" s="937">
        <v>870286.75</v>
      </c>
      <c r="D90" s="469">
        <v>12</v>
      </c>
      <c r="E90" s="470">
        <f t="shared" si="94"/>
        <v>10443441</v>
      </c>
      <c r="F90" s="470"/>
      <c r="G90" s="474">
        <v>550954.64</v>
      </c>
      <c r="H90" s="476"/>
      <c r="I90" s="470">
        <f t="shared" si="95"/>
        <v>9892486.36</v>
      </c>
      <c r="J90" s="470">
        <v>200000</v>
      </c>
      <c r="K90" s="470">
        <v>0.2</v>
      </c>
      <c r="L90" s="470">
        <f t="shared" si="96"/>
        <v>1978497.272</v>
      </c>
      <c r="M90" s="470">
        <f t="shared" si="97"/>
        <v>2178497.272</v>
      </c>
      <c r="N90" s="470">
        <f t="shared" si="98"/>
        <v>2729451.912</v>
      </c>
      <c r="O90" s="470">
        <f t="shared" si="99"/>
        <v>7713989.088</v>
      </c>
      <c r="P90" s="470">
        <f t="shared" si="100"/>
        <v>21000</v>
      </c>
      <c r="Q90" s="470">
        <f t="shared" si="101"/>
        <v>33000</v>
      </c>
      <c r="R90" s="470">
        <f t="shared" si="102"/>
        <v>75000</v>
      </c>
      <c r="S90" s="470">
        <f t="shared" si="103"/>
        <v>95000</v>
      </c>
      <c r="T90" s="470">
        <f t="shared" si="104"/>
        <v>336000</v>
      </c>
      <c r="U90" s="470">
        <f t="shared" si="105"/>
        <v>1083357.38112</v>
      </c>
      <c r="V90" s="470">
        <f t="shared" si="106"/>
        <v>1643357.38112</v>
      </c>
      <c r="W90" s="471">
        <v>12</v>
      </c>
      <c r="X90" s="470">
        <f t="shared" si="107"/>
        <v>136946.448426667</v>
      </c>
      <c r="Y90" s="476"/>
      <c r="Z90" s="929">
        <f t="shared" si="108"/>
        <v>136946.448426667</v>
      </c>
      <c r="AA90" s="806">
        <v>72764.4209066667</v>
      </c>
      <c r="AB90" s="806">
        <f t="shared" si="78"/>
        <v>64182.0275199999</v>
      </c>
      <c r="AC90" s="473"/>
      <c r="AD90" s="473"/>
      <c r="AE90" s="473"/>
    </row>
    <row r="91" ht="15.5" spans="1:31">
      <c r="A91" s="467">
        <v>81</v>
      </c>
      <c r="B91" s="651" t="s">
        <v>231</v>
      </c>
      <c r="C91" s="470">
        <v>567472.75</v>
      </c>
      <c r="D91" s="469">
        <v>12</v>
      </c>
      <c r="E91" s="470">
        <f t="shared" si="94"/>
        <v>6809673</v>
      </c>
      <c r="F91" s="470">
        <v>93501.975</v>
      </c>
      <c r="G91" s="474">
        <v>477573.84</v>
      </c>
      <c r="H91" s="476"/>
      <c r="I91" s="470">
        <f t="shared" si="95"/>
        <v>6238597.185</v>
      </c>
      <c r="J91" s="470">
        <v>200000</v>
      </c>
      <c r="K91" s="470">
        <v>0.2</v>
      </c>
      <c r="L91" s="470">
        <f t="shared" si="96"/>
        <v>1247719.437</v>
      </c>
      <c r="M91" s="470">
        <f t="shared" si="97"/>
        <v>1447719.437</v>
      </c>
      <c r="N91" s="470">
        <f t="shared" si="98"/>
        <v>2018795.252</v>
      </c>
      <c r="O91" s="470">
        <f t="shared" si="99"/>
        <v>4790877.748</v>
      </c>
      <c r="P91" s="470">
        <f t="shared" si="100"/>
        <v>21000</v>
      </c>
      <c r="Q91" s="470">
        <f t="shared" si="101"/>
        <v>33000</v>
      </c>
      <c r="R91" s="470">
        <f t="shared" si="102"/>
        <v>75000</v>
      </c>
      <c r="S91" s="470">
        <f t="shared" si="103"/>
        <v>95000</v>
      </c>
      <c r="T91" s="470">
        <f t="shared" si="104"/>
        <v>336000</v>
      </c>
      <c r="U91" s="470">
        <f t="shared" si="105"/>
        <v>381810.65952</v>
      </c>
      <c r="V91" s="470">
        <f t="shared" si="106"/>
        <v>941810.65952</v>
      </c>
      <c r="W91" s="471">
        <v>12</v>
      </c>
      <c r="X91" s="470">
        <f t="shared" si="107"/>
        <v>78484.2216266667</v>
      </c>
      <c r="Y91" s="476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3"/>
      <c r="AD91" s="473"/>
      <c r="AE91" s="473"/>
    </row>
    <row r="92" ht="15.5" spans="1:31">
      <c r="A92" s="467"/>
      <c r="B92" s="651" t="s">
        <v>235</v>
      </c>
      <c r="C92" s="470">
        <v>542662.666666667</v>
      </c>
      <c r="D92" s="469">
        <v>12</v>
      </c>
      <c r="E92" s="470">
        <f t="shared" si="94"/>
        <v>6511952</v>
      </c>
      <c r="F92" s="470"/>
      <c r="G92" s="474">
        <v>463356.160000001</v>
      </c>
      <c r="H92" s="476"/>
      <c r="I92" s="470">
        <f t="shared" si="95"/>
        <v>6048595.84</v>
      </c>
      <c r="J92" s="470">
        <v>200000</v>
      </c>
      <c r="K92" s="470">
        <v>0.2</v>
      </c>
      <c r="L92" s="470">
        <f t="shared" si="96"/>
        <v>1209719.168</v>
      </c>
      <c r="M92" s="470">
        <f t="shared" si="97"/>
        <v>1409719.168</v>
      </c>
      <c r="N92" s="470">
        <f t="shared" si="98"/>
        <v>1873075.328</v>
      </c>
      <c r="O92" s="470">
        <f t="shared" si="99"/>
        <v>4638876.672</v>
      </c>
      <c r="P92" s="470">
        <f t="shared" si="100"/>
        <v>21000</v>
      </c>
      <c r="Q92" s="470">
        <f t="shared" si="101"/>
        <v>33000</v>
      </c>
      <c r="R92" s="470">
        <f t="shared" si="102"/>
        <v>75000</v>
      </c>
      <c r="S92" s="470">
        <f t="shared" si="103"/>
        <v>95000</v>
      </c>
      <c r="T92" s="470">
        <f t="shared" si="104"/>
        <v>336000</v>
      </c>
      <c r="U92" s="470">
        <f t="shared" si="105"/>
        <v>345330.401280001</v>
      </c>
      <c r="V92" s="470">
        <f t="shared" si="106"/>
        <v>905330.401280001</v>
      </c>
      <c r="W92" s="471">
        <v>12</v>
      </c>
      <c r="X92" s="470">
        <f t="shared" si="107"/>
        <v>75444.2001066667</v>
      </c>
      <c r="Y92" s="476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3"/>
      <c r="AD92" s="473"/>
      <c r="AE92" s="473"/>
    </row>
    <row r="93" ht="15.5" spans="1:31">
      <c r="A93" s="467"/>
      <c r="B93" s="651" t="s">
        <v>236</v>
      </c>
      <c r="C93" s="470">
        <v>450135.833333334</v>
      </c>
      <c r="D93" s="469">
        <v>12</v>
      </c>
      <c r="E93" s="470">
        <f t="shared" si="94"/>
        <v>5401630.00000001</v>
      </c>
      <c r="F93" s="470"/>
      <c r="G93" s="474">
        <v>374530.4</v>
      </c>
      <c r="H93" s="476"/>
      <c r="I93" s="470">
        <f t="shared" si="95"/>
        <v>5027099.60000001</v>
      </c>
      <c r="J93" s="470">
        <v>200000</v>
      </c>
      <c r="K93" s="470">
        <v>0.2</v>
      </c>
      <c r="L93" s="470">
        <f t="shared" si="96"/>
        <v>1005419.92</v>
      </c>
      <c r="M93" s="470">
        <f t="shared" si="97"/>
        <v>1205419.92</v>
      </c>
      <c r="N93" s="470">
        <f t="shared" si="98"/>
        <v>1579950.32</v>
      </c>
      <c r="O93" s="470">
        <f t="shared" si="99"/>
        <v>3821679.68000001</v>
      </c>
      <c r="P93" s="470">
        <f t="shared" si="100"/>
        <v>21000</v>
      </c>
      <c r="Q93" s="470">
        <f t="shared" si="101"/>
        <v>33000</v>
      </c>
      <c r="R93" s="470">
        <f t="shared" si="102"/>
        <v>75000</v>
      </c>
      <c r="S93" s="470">
        <f t="shared" si="103"/>
        <v>95000</v>
      </c>
      <c r="T93" s="470">
        <f t="shared" si="104"/>
        <v>336000</v>
      </c>
      <c r="U93" s="470">
        <f t="shared" si="105"/>
        <v>149203.123200002</v>
      </c>
      <c r="V93" s="470">
        <f t="shared" si="106"/>
        <v>709203.123200002</v>
      </c>
      <c r="W93" s="471">
        <v>12</v>
      </c>
      <c r="X93" s="470">
        <f t="shared" si="107"/>
        <v>59100.2602666668</v>
      </c>
      <c r="Y93" s="476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239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652</v>
      </c>
      <c r="C96" s="470">
        <v>1947106.41666666</v>
      </c>
      <c r="D96" s="469">
        <v>12</v>
      </c>
      <c r="E96" s="470">
        <f t="shared" ref="E96:E102" si="109">C96*D96</f>
        <v>23365276.9999999</v>
      </c>
      <c r="F96" s="470"/>
      <c r="G96" s="474">
        <v>1677222.16</v>
      </c>
      <c r="H96" s="476"/>
      <c r="I96" s="470">
        <f t="shared" ref="I96:I102" si="110">E96-F96-G96-H96</f>
        <v>21688054.8399999</v>
      </c>
      <c r="J96" s="470">
        <v>200000</v>
      </c>
      <c r="K96" s="470">
        <v>0.2</v>
      </c>
      <c r="L96" s="470">
        <f t="shared" ref="L96:L102" si="111">I96*K96</f>
        <v>4337610.96799998</v>
      </c>
      <c r="M96" s="470">
        <f t="shared" ref="M96:M102" si="112">J96+L96</f>
        <v>4537610.96799998</v>
      </c>
      <c r="N96" s="470">
        <f t="shared" ref="N96:N102" si="113">F96+G96+H96+M96</f>
        <v>6214833.12799998</v>
      </c>
      <c r="O96" s="470">
        <f t="shared" ref="O96:O102" si="114">E96-N96</f>
        <v>17150443.8719999</v>
      </c>
      <c r="P96" s="470">
        <f t="shared" ref="P96:P102" si="115">IF(O96&lt;300000,0.07*O96,21000)</f>
        <v>21000</v>
      </c>
      <c r="Q96" s="470">
        <f t="shared" ref="Q96:Q102" si="116">IF((O96-300000)&lt;0,0,IF((O96-300000)&lt;300000,0.11*(O96-300000),33000))</f>
        <v>33000</v>
      </c>
      <c r="R96" s="470">
        <f t="shared" ref="R96:R102" si="117">IF((O96-600000)&lt;0,0,IF((O96-600000)&lt;500000,0.15*(O96-600000),75000))</f>
        <v>75000</v>
      </c>
      <c r="S96" s="470">
        <f t="shared" ref="S96:S102" si="118">IF((O96-1100000)&lt;0,0,IF((O96-1100000)&lt;500000,0.19*(O96-1100000),95000))</f>
        <v>95000</v>
      </c>
      <c r="T96" s="470">
        <f t="shared" ref="T96:T102" si="119">IF((O96-1600000)&lt;0,0,IF((O96-1600000)&lt;1600000,0.21*(O96-1600000),336000))</f>
        <v>336000</v>
      </c>
      <c r="U96" s="470">
        <f t="shared" ref="U96:U98" si="120">24%*(O96-3200000)</f>
        <v>3348106.52927998</v>
      </c>
      <c r="V96" s="470">
        <f t="shared" ref="V96:V102" si="121">P96+Q96+R96+S96+T96+U96</f>
        <v>3908106.52927998</v>
      </c>
      <c r="W96" s="471">
        <v>12</v>
      </c>
      <c r="X96" s="470">
        <f t="shared" ref="X96:X102" si="122">V96/W96</f>
        <v>325675.544106665</v>
      </c>
      <c r="Y96" s="476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242</v>
      </c>
      <c r="C97" s="470">
        <v>1085306.75</v>
      </c>
      <c r="D97" s="469">
        <v>12</v>
      </c>
      <c r="E97" s="470">
        <f t="shared" si="109"/>
        <v>13023681</v>
      </c>
      <c r="F97" s="470">
        <v>166400.85</v>
      </c>
      <c r="G97" s="474">
        <v>869094.48</v>
      </c>
      <c r="H97" s="476"/>
      <c r="I97" s="470">
        <f t="shared" si="110"/>
        <v>11988185.67</v>
      </c>
      <c r="J97" s="470">
        <v>200000</v>
      </c>
      <c r="K97" s="470">
        <v>0.2</v>
      </c>
      <c r="L97" s="470">
        <f t="shared" si="111"/>
        <v>2397637.134</v>
      </c>
      <c r="M97" s="470">
        <f t="shared" si="112"/>
        <v>2597637.134</v>
      </c>
      <c r="N97" s="470">
        <f t="shared" si="113"/>
        <v>3633132.464</v>
      </c>
      <c r="O97" s="470">
        <f t="shared" si="114"/>
        <v>9390548.536</v>
      </c>
      <c r="P97" s="470">
        <f t="shared" si="115"/>
        <v>21000</v>
      </c>
      <c r="Q97" s="470">
        <f t="shared" si="116"/>
        <v>33000</v>
      </c>
      <c r="R97" s="470">
        <f t="shared" si="117"/>
        <v>75000</v>
      </c>
      <c r="S97" s="470">
        <f t="shared" si="118"/>
        <v>95000</v>
      </c>
      <c r="T97" s="470">
        <f t="shared" si="119"/>
        <v>336000</v>
      </c>
      <c r="U97" s="470">
        <f t="shared" si="120"/>
        <v>1485731.64864</v>
      </c>
      <c r="V97" s="470">
        <f t="shared" si="121"/>
        <v>2045731.64864</v>
      </c>
      <c r="W97" s="471">
        <v>12</v>
      </c>
      <c r="X97" s="470">
        <f t="shared" si="122"/>
        <v>170477.637386667</v>
      </c>
      <c r="Y97" s="476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244</v>
      </c>
      <c r="C98" s="470">
        <v>742085.645</v>
      </c>
      <c r="D98" s="469">
        <v>12</v>
      </c>
      <c r="E98" s="470">
        <f t="shared" si="109"/>
        <v>8905027.74</v>
      </c>
      <c r="F98" s="470">
        <v>101319.25</v>
      </c>
      <c r="G98" s="474">
        <v>519697.279999999</v>
      </c>
      <c r="H98" s="476"/>
      <c r="I98" s="470">
        <f t="shared" si="110"/>
        <v>8284011.21</v>
      </c>
      <c r="J98" s="470">
        <v>200000</v>
      </c>
      <c r="K98" s="470">
        <v>0.2</v>
      </c>
      <c r="L98" s="470">
        <f t="shared" si="111"/>
        <v>1656802.242</v>
      </c>
      <c r="M98" s="470">
        <f t="shared" si="112"/>
        <v>1856802.242</v>
      </c>
      <c r="N98" s="470">
        <f t="shared" si="113"/>
        <v>2477818.772</v>
      </c>
      <c r="O98" s="470">
        <f t="shared" si="114"/>
        <v>6427208.968</v>
      </c>
      <c r="P98" s="470">
        <f t="shared" si="115"/>
        <v>21000</v>
      </c>
      <c r="Q98" s="470">
        <f t="shared" si="116"/>
        <v>33000</v>
      </c>
      <c r="R98" s="470">
        <f t="shared" si="117"/>
        <v>75000</v>
      </c>
      <c r="S98" s="470">
        <f t="shared" si="118"/>
        <v>95000</v>
      </c>
      <c r="T98" s="470">
        <f t="shared" si="119"/>
        <v>336000</v>
      </c>
      <c r="U98" s="470">
        <f t="shared" si="120"/>
        <v>774530.15232</v>
      </c>
      <c r="V98" s="470">
        <f t="shared" si="121"/>
        <v>1334530.15232</v>
      </c>
      <c r="W98" s="471">
        <v>12</v>
      </c>
      <c r="X98" s="470">
        <f t="shared" si="122"/>
        <v>111210.846026667</v>
      </c>
      <c r="Y98" s="476"/>
      <c r="Z98" s="929">
        <f t="shared" si="123"/>
        <v>111210.846026667</v>
      </c>
      <c r="AA98" s="806">
        <v>87575.7827034667</v>
      </c>
      <c r="AB98" s="806">
        <f t="shared" si="78"/>
        <v>23635.0633232</v>
      </c>
      <c r="AC98" s="473"/>
      <c r="AD98" s="473"/>
      <c r="AE98" s="473"/>
    </row>
    <row r="99" ht="15.5" spans="1:31">
      <c r="A99" s="467">
        <v>88</v>
      </c>
      <c r="B99" s="651" t="s">
        <v>246</v>
      </c>
      <c r="C99" s="470">
        <v>742085.645</v>
      </c>
      <c r="D99" s="469">
        <v>12</v>
      </c>
      <c r="E99" s="470">
        <f t="shared" si="109"/>
        <v>8905027.74</v>
      </c>
      <c r="F99" s="470"/>
      <c r="G99" s="474">
        <v>519697.279999999</v>
      </c>
      <c r="H99" s="476"/>
      <c r="I99" s="470">
        <f t="shared" si="110"/>
        <v>8385330.46</v>
      </c>
      <c r="J99" s="470">
        <v>200000</v>
      </c>
      <c r="K99" s="470">
        <v>0.2</v>
      </c>
      <c r="L99" s="470">
        <f t="shared" si="111"/>
        <v>1677066.092</v>
      </c>
      <c r="M99" s="470">
        <f t="shared" si="112"/>
        <v>1877066.092</v>
      </c>
      <c r="N99" s="470">
        <f t="shared" si="113"/>
        <v>2396763.372</v>
      </c>
      <c r="O99" s="470">
        <f t="shared" si="114"/>
        <v>6508264.368</v>
      </c>
      <c r="P99" s="470">
        <f t="shared" si="115"/>
        <v>21000</v>
      </c>
      <c r="Q99" s="470">
        <f t="shared" si="116"/>
        <v>33000</v>
      </c>
      <c r="R99" s="470">
        <f t="shared" si="117"/>
        <v>75000</v>
      </c>
      <c r="S99" s="470">
        <f t="shared" si="118"/>
        <v>95000</v>
      </c>
      <c r="T99" s="470">
        <f t="shared" si="119"/>
        <v>336000</v>
      </c>
      <c r="U99" s="470">
        <f t="shared" ref="U99:U102" si="124">0.24*(O99-3200000)</f>
        <v>793983.44832</v>
      </c>
      <c r="V99" s="470">
        <f t="shared" si="121"/>
        <v>1353983.44832</v>
      </c>
      <c r="W99" s="471">
        <v>12</v>
      </c>
      <c r="X99" s="470">
        <f t="shared" si="122"/>
        <v>112831.954026667</v>
      </c>
      <c r="Y99" s="476"/>
      <c r="Z99" s="929">
        <f t="shared" si="123"/>
        <v>112831.954026667</v>
      </c>
      <c r="AA99" s="806">
        <v>87392.5495444267</v>
      </c>
      <c r="AB99" s="806">
        <f t="shared" si="78"/>
        <v>25439.40448224</v>
      </c>
      <c r="AC99" s="473"/>
      <c r="AD99" s="473"/>
      <c r="AE99" s="473"/>
    </row>
    <row r="100" ht="15.5" spans="1:31">
      <c r="A100" s="467">
        <v>89</v>
      </c>
      <c r="B100" s="651" t="s">
        <v>249</v>
      </c>
      <c r="C100" s="470">
        <v>466244.9625</v>
      </c>
      <c r="D100" s="469">
        <v>12</v>
      </c>
      <c r="E100" s="470">
        <f t="shared" si="109"/>
        <v>5594939.55</v>
      </c>
      <c r="F100" s="470"/>
      <c r="G100" s="474">
        <v>316752.400000001</v>
      </c>
      <c r="H100" s="476"/>
      <c r="I100" s="470">
        <f t="shared" si="110"/>
        <v>5278187.15</v>
      </c>
      <c r="J100" s="470">
        <v>200000</v>
      </c>
      <c r="K100" s="470">
        <v>0.2</v>
      </c>
      <c r="L100" s="470">
        <f t="shared" si="111"/>
        <v>1055637.43</v>
      </c>
      <c r="M100" s="470">
        <f t="shared" si="112"/>
        <v>1255637.43</v>
      </c>
      <c r="N100" s="470">
        <f t="shared" si="113"/>
        <v>1572389.83</v>
      </c>
      <c r="O100" s="470">
        <f t="shared" si="114"/>
        <v>4022549.72</v>
      </c>
      <c r="P100" s="470">
        <f t="shared" si="115"/>
        <v>21000</v>
      </c>
      <c r="Q100" s="470">
        <f t="shared" si="116"/>
        <v>33000</v>
      </c>
      <c r="R100" s="470">
        <f t="shared" si="117"/>
        <v>75000</v>
      </c>
      <c r="S100" s="470">
        <f t="shared" si="118"/>
        <v>95000</v>
      </c>
      <c r="T100" s="470">
        <f t="shared" si="119"/>
        <v>336000</v>
      </c>
      <c r="U100" s="470">
        <f t="shared" si="124"/>
        <v>197411.9328</v>
      </c>
      <c r="V100" s="470">
        <f t="shared" si="121"/>
        <v>757411.9328</v>
      </c>
      <c r="W100" s="471">
        <v>12</v>
      </c>
      <c r="X100" s="470">
        <f t="shared" si="122"/>
        <v>63117.6610666667</v>
      </c>
      <c r="Y100" s="476"/>
      <c r="Z100" s="929">
        <f t="shared" si="123"/>
        <v>63117.6610666667</v>
      </c>
      <c r="AA100" s="806">
        <v>46740.2649028267</v>
      </c>
      <c r="AB100" s="806">
        <f t="shared" si="78"/>
        <v>16377.39616384</v>
      </c>
      <c r="AC100" s="473"/>
      <c r="AD100" s="473"/>
      <c r="AE100" s="473"/>
    </row>
    <row r="101" ht="31" spans="1:31">
      <c r="A101" s="467"/>
      <c r="B101" s="351" t="s">
        <v>252</v>
      </c>
      <c r="C101" s="470">
        <v>466751.8625</v>
      </c>
      <c r="D101" s="469">
        <v>12</v>
      </c>
      <c r="E101" s="470">
        <f t="shared" si="109"/>
        <v>5601022.35</v>
      </c>
      <c r="F101" s="470"/>
      <c r="G101" s="474">
        <v>317190.799999999</v>
      </c>
      <c r="H101" s="476"/>
      <c r="I101" s="470">
        <f t="shared" si="110"/>
        <v>5283831.55</v>
      </c>
      <c r="J101" s="470">
        <v>200000</v>
      </c>
      <c r="K101" s="470">
        <v>0.2</v>
      </c>
      <c r="L101" s="470">
        <f t="shared" si="111"/>
        <v>1056766.31</v>
      </c>
      <c r="M101" s="470">
        <f t="shared" si="112"/>
        <v>1256766.31</v>
      </c>
      <c r="N101" s="470">
        <f t="shared" si="113"/>
        <v>1573957.11</v>
      </c>
      <c r="O101" s="470">
        <f t="shared" si="114"/>
        <v>4027065.24</v>
      </c>
      <c r="P101" s="470">
        <f t="shared" si="115"/>
        <v>21000</v>
      </c>
      <c r="Q101" s="470">
        <f t="shared" si="116"/>
        <v>33000</v>
      </c>
      <c r="R101" s="470">
        <f t="shared" si="117"/>
        <v>75000</v>
      </c>
      <c r="S101" s="470">
        <f t="shared" si="118"/>
        <v>95000</v>
      </c>
      <c r="T101" s="470">
        <f t="shared" si="119"/>
        <v>336000</v>
      </c>
      <c r="U101" s="470">
        <f t="shared" si="124"/>
        <v>198495.6576</v>
      </c>
      <c r="V101" s="470">
        <f t="shared" si="121"/>
        <v>758495.6576</v>
      </c>
      <c r="W101" s="471">
        <v>12</v>
      </c>
      <c r="X101" s="470">
        <f t="shared" si="122"/>
        <v>63207.9714666667</v>
      </c>
      <c r="Y101" s="476"/>
      <c r="Z101" s="929">
        <f t="shared" si="123"/>
        <v>63207.9714666667</v>
      </c>
      <c r="AA101" s="806">
        <v>87883.38</v>
      </c>
      <c r="AB101" s="806">
        <f t="shared" si="78"/>
        <v>-24675.4085333333</v>
      </c>
      <c r="AC101" s="473"/>
      <c r="AD101" s="473"/>
      <c r="AE101" s="473"/>
    </row>
    <row r="102" ht="15.5" spans="1:31">
      <c r="A102" s="467"/>
      <c r="B102" s="351" t="s">
        <v>253</v>
      </c>
      <c r="C102" s="470">
        <v>442901.94</v>
      </c>
      <c r="D102" s="469">
        <v>12</v>
      </c>
      <c r="E102" s="470">
        <f t="shared" si="109"/>
        <v>5314823.28</v>
      </c>
      <c r="G102" s="474">
        <v>296563.840000001</v>
      </c>
      <c r="H102" s="476"/>
      <c r="I102" s="470">
        <f t="shared" si="110"/>
        <v>5018259.44</v>
      </c>
      <c r="J102" s="470">
        <v>200000</v>
      </c>
      <c r="K102" s="470">
        <v>0.2</v>
      </c>
      <c r="L102" s="470">
        <f t="shared" si="111"/>
        <v>1003651.888</v>
      </c>
      <c r="M102" s="470">
        <f t="shared" si="112"/>
        <v>1203651.888</v>
      </c>
      <c r="N102" s="470">
        <f t="shared" si="113"/>
        <v>1500215.728</v>
      </c>
      <c r="O102" s="470">
        <f t="shared" si="114"/>
        <v>3814607.552</v>
      </c>
      <c r="P102" s="470">
        <f t="shared" si="115"/>
        <v>21000</v>
      </c>
      <c r="Q102" s="470">
        <f t="shared" si="116"/>
        <v>33000</v>
      </c>
      <c r="R102" s="470">
        <f t="shared" si="117"/>
        <v>75000</v>
      </c>
      <c r="S102" s="470">
        <f t="shared" si="118"/>
        <v>95000</v>
      </c>
      <c r="T102" s="470">
        <f t="shared" si="119"/>
        <v>336000</v>
      </c>
      <c r="U102" s="470">
        <f t="shared" si="124"/>
        <v>147505.81248</v>
      </c>
      <c r="V102" s="470">
        <f t="shared" si="121"/>
        <v>707505.81248</v>
      </c>
      <c r="W102" s="471">
        <v>12</v>
      </c>
      <c r="X102" s="470">
        <f t="shared" si="122"/>
        <v>58958.8177066667</v>
      </c>
      <c r="Y102" s="476"/>
      <c r="Z102" s="929">
        <f t="shared" si="123"/>
        <v>58958.8177066667</v>
      </c>
      <c r="AA102" s="806">
        <v>43740.2565414267</v>
      </c>
      <c r="AB102" s="806">
        <f t="shared" si="78"/>
        <v>15218.56116524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257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259</v>
      </c>
      <c r="C105" s="470">
        <v>592662.666666667</v>
      </c>
      <c r="D105" s="469">
        <v>12</v>
      </c>
      <c r="E105" s="470">
        <f t="shared" ref="E105:E107" si="125">C105*D105</f>
        <v>7111952</v>
      </c>
      <c r="F105" s="470"/>
      <c r="G105" s="474">
        <v>463356.160000001</v>
      </c>
      <c r="H105" s="476"/>
      <c r="I105" s="470">
        <f t="shared" ref="I105:I107" si="126">E105-F105-G105-H105</f>
        <v>6648595.84</v>
      </c>
      <c r="J105" s="470">
        <v>200000</v>
      </c>
      <c r="K105" s="470">
        <v>0.2</v>
      </c>
      <c r="L105" s="470">
        <f t="shared" ref="L105:L107" si="127">I105*K105</f>
        <v>1329719.168</v>
      </c>
      <c r="M105" s="470">
        <f t="shared" ref="M105:M107" si="128">J105+L105</f>
        <v>1529719.168</v>
      </c>
      <c r="N105" s="470">
        <f t="shared" ref="N105:N107" si="129">F105+G105+H105+M105</f>
        <v>1993075.328</v>
      </c>
      <c r="O105" s="470">
        <f t="shared" ref="O105:O107" si="130">E105-N105</f>
        <v>5118876.672</v>
      </c>
      <c r="P105" s="470">
        <f t="shared" ref="P105:P107" si="131">IF(O105&lt;300000,0.07*O105,21000)</f>
        <v>21000</v>
      </c>
      <c r="Q105" s="470">
        <f t="shared" ref="Q105:Q107" si="132">IF((O105-300000)&lt;0,0,IF((O105-300000)&lt;300000,0.11*(O105-300000),33000))</f>
        <v>33000</v>
      </c>
      <c r="R105" s="470">
        <f t="shared" ref="R105:R107" si="133">IF((O105-600000)&lt;0,0,IF((O105-600000)&lt;500000,0.15*(O105-600000),75000))</f>
        <v>75000</v>
      </c>
      <c r="S105" s="470">
        <f t="shared" ref="S105:S107" si="134">IF((O105-1100000)&lt;0,0,IF((O105-1100000)&lt;500000,0.19*(O105-1100000),95000))</f>
        <v>95000</v>
      </c>
      <c r="T105" s="470">
        <f t="shared" ref="T105:T107" si="135">IF((O105-1600000)&lt;0,0,IF((O105-1600000)&lt;1600000,0.21*(O105-1600000),336000))</f>
        <v>336000</v>
      </c>
      <c r="U105" s="470">
        <f t="shared" ref="U105:U107" si="136">0.24*(O105-3200000)</f>
        <v>460530.401280001</v>
      </c>
      <c r="V105" s="470">
        <f t="shared" ref="V105:V107" si="137">P105+Q105+R105+S105+T105+U105</f>
        <v>1020530.40128</v>
      </c>
      <c r="W105" s="471">
        <v>12</v>
      </c>
      <c r="X105" s="470">
        <f t="shared" ref="X105:X107" si="138">V105/W105</f>
        <v>85044.2001066667</v>
      </c>
      <c r="Y105" s="476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480</v>
      </c>
      <c r="C106" s="470">
        <v>578828.166666667</v>
      </c>
      <c r="D106" s="469">
        <v>12</v>
      </c>
      <c r="E106" s="470">
        <f t="shared" si="125"/>
        <v>6945938</v>
      </c>
      <c r="F106" s="470"/>
      <c r="G106" s="474">
        <v>450075.040000001</v>
      </c>
      <c r="H106" s="476"/>
      <c r="I106" s="470">
        <f t="shared" si="126"/>
        <v>6495862.96</v>
      </c>
      <c r="J106" s="470">
        <v>200000</v>
      </c>
      <c r="K106" s="470">
        <v>0.2</v>
      </c>
      <c r="L106" s="470">
        <f t="shared" si="127"/>
        <v>1299172.592</v>
      </c>
      <c r="M106" s="470">
        <f t="shared" si="128"/>
        <v>1499172.592</v>
      </c>
      <c r="N106" s="470">
        <f t="shared" si="129"/>
        <v>1949247.632</v>
      </c>
      <c r="O106" s="470">
        <f t="shared" si="130"/>
        <v>4996690.368</v>
      </c>
      <c r="P106" s="470">
        <f t="shared" si="131"/>
        <v>21000</v>
      </c>
      <c r="Q106" s="470">
        <f t="shared" si="132"/>
        <v>33000</v>
      </c>
      <c r="R106" s="470">
        <f t="shared" si="133"/>
        <v>75000</v>
      </c>
      <c r="S106" s="470">
        <f t="shared" si="134"/>
        <v>95000</v>
      </c>
      <c r="T106" s="470">
        <f t="shared" si="135"/>
        <v>336000</v>
      </c>
      <c r="U106" s="470">
        <f t="shared" si="136"/>
        <v>431205.688320001</v>
      </c>
      <c r="V106" s="470">
        <f t="shared" si="137"/>
        <v>991205.688320001</v>
      </c>
      <c r="W106" s="471">
        <v>12</v>
      </c>
      <c r="X106" s="470">
        <f t="shared" si="138"/>
        <v>82600.4740266667</v>
      </c>
      <c r="Y106" s="476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193</v>
      </c>
      <c r="C107" s="479">
        <v>981346.583333334</v>
      </c>
      <c r="D107" s="469">
        <v>12</v>
      </c>
      <c r="E107" s="470">
        <f t="shared" si="125"/>
        <v>11776159</v>
      </c>
      <c r="F107" s="470">
        <v>90896.2250000001</v>
      </c>
      <c r="G107" s="474">
        <v>463532.72</v>
      </c>
      <c r="H107" s="476"/>
      <c r="I107" s="470">
        <f t="shared" si="126"/>
        <v>11221730.055</v>
      </c>
      <c r="J107" s="470">
        <v>200000</v>
      </c>
      <c r="K107" s="470">
        <v>0.2</v>
      </c>
      <c r="L107" s="470">
        <f t="shared" si="127"/>
        <v>2244346.011</v>
      </c>
      <c r="M107" s="470">
        <f t="shared" si="128"/>
        <v>2444346.011</v>
      </c>
      <c r="N107" s="470">
        <f t="shared" si="129"/>
        <v>2998774.956</v>
      </c>
      <c r="O107" s="470">
        <f t="shared" si="130"/>
        <v>8777384.04400001</v>
      </c>
      <c r="P107" s="470">
        <f t="shared" si="131"/>
        <v>21000</v>
      </c>
      <c r="Q107" s="470">
        <f t="shared" si="132"/>
        <v>33000</v>
      </c>
      <c r="R107" s="470">
        <f t="shared" si="133"/>
        <v>75000</v>
      </c>
      <c r="S107" s="470">
        <f t="shared" si="134"/>
        <v>95000</v>
      </c>
      <c r="T107" s="470">
        <f t="shared" si="135"/>
        <v>336000</v>
      </c>
      <c r="U107" s="470">
        <f t="shared" si="136"/>
        <v>1338572.17056</v>
      </c>
      <c r="V107" s="470">
        <f t="shared" si="137"/>
        <v>1898572.17056</v>
      </c>
      <c r="W107" s="471">
        <v>12</v>
      </c>
      <c r="X107" s="470">
        <f t="shared" si="138"/>
        <v>158214.347546667</v>
      </c>
      <c r="Y107" s="476"/>
      <c r="Z107" s="929">
        <f t="shared" si="139"/>
        <v>158214.347546667</v>
      </c>
      <c r="AA107" s="806">
        <v>59711.1152554667</v>
      </c>
      <c r="AB107" s="806">
        <f t="shared" si="140"/>
        <v>98503.2322912001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696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271</v>
      </c>
      <c r="C110" s="470">
        <v>337890.916666667</v>
      </c>
      <c r="D110" s="469">
        <v>12</v>
      </c>
      <c r="E110" s="470">
        <f>C110*D110</f>
        <v>4054691</v>
      </c>
      <c r="F110" s="470"/>
      <c r="G110" s="474">
        <v>276375.280000001</v>
      </c>
      <c r="H110" s="476"/>
      <c r="I110" s="470">
        <f>E110-F110-G110-H110</f>
        <v>3778315.72</v>
      </c>
      <c r="J110" s="470">
        <v>200000</v>
      </c>
      <c r="K110" s="470">
        <v>0.2</v>
      </c>
      <c r="L110" s="470">
        <f>I110*K110</f>
        <v>755663.144000001</v>
      </c>
      <c r="M110" s="470">
        <f>J110+L110</f>
        <v>955663.144000001</v>
      </c>
      <c r="N110" s="470">
        <f>F110+G110+H110+M110</f>
        <v>1232038.424</v>
      </c>
      <c r="O110" s="470">
        <f>E110-N110</f>
        <v>2822652.576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256757.04096</v>
      </c>
      <c r="U110" s="470"/>
      <c r="V110" s="470">
        <f>P110+Q110+R110+S110+T110+U110</f>
        <v>480757.04096</v>
      </c>
      <c r="W110" s="471">
        <v>12</v>
      </c>
      <c r="X110" s="470">
        <f>V110/W110</f>
        <v>40063.0867466667</v>
      </c>
      <c r="Y110" s="476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276</v>
      </c>
      <c r="C111" s="470">
        <v>337890.916666667</v>
      </c>
      <c r="D111" s="469">
        <v>12</v>
      </c>
      <c r="E111" s="470">
        <f>C111*D111</f>
        <v>4054691</v>
      </c>
      <c r="F111" s="470"/>
      <c r="G111" s="474">
        <v>276375.280000001</v>
      </c>
      <c r="H111" s="476"/>
      <c r="I111" s="470">
        <f>E111-F111-G111-H111</f>
        <v>3778315.72</v>
      </c>
      <c r="J111" s="470">
        <v>200000</v>
      </c>
      <c r="K111" s="470">
        <v>0.2</v>
      </c>
      <c r="L111" s="470">
        <f>I111*K111</f>
        <v>755663.144000001</v>
      </c>
      <c r="M111" s="470">
        <f>J111+L111</f>
        <v>955663.144000001</v>
      </c>
      <c r="N111" s="470">
        <f>F111+G111+H111+M111</f>
        <v>1232038.424</v>
      </c>
      <c r="O111" s="470">
        <f>E111-N111</f>
        <v>2822652.576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256757.04096</v>
      </c>
      <c r="U111" s="470"/>
      <c r="V111" s="470">
        <f>P111+Q111+R111+S111+T111+U111</f>
        <v>480757.04096</v>
      </c>
      <c r="W111" s="471">
        <v>12</v>
      </c>
      <c r="X111" s="470">
        <f>V111/W111</f>
        <v>40063.0867466667</v>
      </c>
      <c r="Y111" s="476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278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279</v>
      </c>
      <c r="C115" s="470">
        <v>1947106.41666666</v>
      </c>
      <c r="D115" s="469">
        <v>12</v>
      </c>
      <c r="E115" s="470">
        <f t="shared" ref="E115:E124" si="141">C115*D115</f>
        <v>23365276.9999999</v>
      </c>
      <c r="F115" s="470">
        <v>326033.124999999</v>
      </c>
      <c r="G115" s="474">
        <v>1677222.16</v>
      </c>
      <c r="H115" s="476"/>
      <c r="I115" s="470">
        <f t="shared" ref="I115:I124" si="142">E115-F115-G115-H115</f>
        <v>21362021.7149999</v>
      </c>
      <c r="J115" s="470">
        <v>200000</v>
      </c>
      <c r="K115" s="470">
        <v>0.2</v>
      </c>
      <c r="L115" s="470">
        <f t="shared" ref="L115:L124" si="143">I115*K115</f>
        <v>4272404.34299998</v>
      </c>
      <c r="M115" s="470">
        <f t="shared" ref="M115:M124" si="144">J115+L115</f>
        <v>4472404.34299998</v>
      </c>
      <c r="N115" s="470">
        <f t="shared" ref="N115:N124" si="145">F115+G115+H115+M115</f>
        <v>6475659.62799998</v>
      </c>
      <c r="O115" s="470">
        <f t="shared" ref="O115:O124" si="146">E115-N115</f>
        <v>16889617.3719999</v>
      </c>
      <c r="P115" s="470">
        <f t="shared" ref="P115:P124" si="147">IF(O115&lt;300000,0.07*O115,21000)</f>
        <v>21000</v>
      </c>
      <c r="Q115" s="470">
        <f t="shared" ref="Q115:Q124" si="148">IF((O115-300000)&lt;0,0,IF((O115-300000)&lt;300000,0.11*(O115-300000),33000))</f>
        <v>33000</v>
      </c>
      <c r="R115" s="470">
        <f t="shared" ref="R115:R124" si="149">IF((O115-600000)&lt;0,0,IF((O115-600000)&lt;500000,0.15*(O115-600000),75000))</f>
        <v>75000</v>
      </c>
      <c r="S115" s="470">
        <f t="shared" ref="S115:S124" si="150">IF((O115-1100000)&lt;0,0,IF((O115-1100000)&lt;500000,0.19*(O115-1100000),95000))</f>
        <v>95000</v>
      </c>
      <c r="T115" s="470">
        <f t="shared" ref="T115:T124" si="151">IF((O115-1600000)&lt;0,0,IF((O115-1600000)&lt;1600000,0.21*(O115-1600000),336000))</f>
        <v>336000</v>
      </c>
      <c r="U115" s="470">
        <f t="shared" ref="U115:U121" si="152">0.24*(O115-3200000)</f>
        <v>3285508.16927998</v>
      </c>
      <c r="V115" s="470">
        <f t="shared" ref="V115:V124" si="153">P115+Q115+R115+S115+T115+U115</f>
        <v>3845508.16927998</v>
      </c>
      <c r="W115" s="471">
        <v>12</v>
      </c>
      <c r="X115" s="470">
        <f t="shared" ref="X115:X124" si="154">V115/W115</f>
        <v>320459.014106665</v>
      </c>
      <c r="Y115" s="476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281</v>
      </c>
      <c r="C116" s="470">
        <v>1095306.75</v>
      </c>
      <c r="D116" s="469">
        <v>12</v>
      </c>
      <c r="E116" s="470">
        <f t="shared" si="141"/>
        <v>13143681</v>
      </c>
      <c r="F116" s="470">
        <v>166400.85</v>
      </c>
      <c r="G116" s="474">
        <v>869094.48</v>
      </c>
      <c r="H116" s="476"/>
      <c r="I116" s="470">
        <f t="shared" si="142"/>
        <v>12108185.67</v>
      </c>
      <c r="J116" s="470">
        <v>200000</v>
      </c>
      <c r="K116" s="470">
        <v>0.2</v>
      </c>
      <c r="L116" s="470">
        <f t="shared" si="143"/>
        <v>2421637.134</v>
      </c>
      <c r="M116" s="470">
        <f t="shared" si="144"/>
        <v>2621637.134</v>
      </c>
      <c r="N116" s="470">
        <f t="shared" si="145"/>
        <v>3657132.464</v>
      </c>
      <c r="O116" s="470">
        <f t="shared" si="146"/>
        <v>9486548.536</v>
      </c>
      <c r="P116" s="470">
        <f t="shared" si="147"/>
        <v>21000</v>
      </c>
      <c r="Q116" s="470">
        <f t="shared" si="148"/>
        <v>33000</v>
      </c>
      <c r="R116" s="470">
        <f t="shared" si="149"/>
        <v>75000</v>
      </c>
      <c r="S116" s="470">
        <f t="shared" si="150"/>
        <v>95000</v>
      </c>
      <c r="T116" s="470">
        <f t="shared" si="151"/>
        <v>336000</v>
      </c>
      <c r="U116" s="470">
        <f t="shared" si="152"/>
        <v>1508771.64864</v>
      </c>
      <c r="V116" s="470">
        <f t="shared" si="153"/>
        <v>2068771.64864</v>
      </c>
      <c r="W116" s="471">
        <v>12</v>
      </c>
      <c r="X116" s="470">
        <f t="shared" si="154"/>
        <v>172397.637386667</v>
      </c>
      <c r="Y116" s="476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3"/>
      <c r="AD116" s="473"/>
      <c r="AE116" s="473"/>
    </row>
    <row r="117" ht="15.5" spans="1:31">
      <c r="A117" s="467"/>
      <c r="B117" s="643" t="s">
        <v>283</v>
      </c>
      <c r="C117" s="470">
        <v>1099008.91666667</v>
      </c>
      <c r="D117" s="469">
        <v>12</v>
      </c>
      <c r="E117" s="470">
        <f t="shared" si="141"/>
        <v>13188107</v>
      </c>
      <c r="F117" s="470">
        <v>157015.95</v>
      </c>
      <c r="G117" s="474">
        <v>818602.639999999</v>
      </c>
      <c r="H117" s="476"/>
      <c r="I117" s="470">
        <f t="shared" si="142"/>
        <v>12212488.41</v>
      </c>
      <c r="J117" s="470">
        <v>200000</v>
      </c>
      <c r="K117" s="470">
        <v>0.2</v>
      </c>
      <c r="L117" s="470">
        <f t="shared" si="143"/>
        <v>2442497.682</v>
      </c>
      <c r="M117" s="470">
        <f t="shared" si="144"/>
        <v>2642497.682</v>
      </c>
      <c r="N117" s="470">
        <f t="shared" si="145"/>
        <v>3618116.272</v>
      </c>
      <c r="O117" s="470">
        <f t="shared" si="146"/>
        <v>9569990.728</v>
      </c>
      <c r="P117" s="470">
        <f t="shared" si="147"/>
        <v>21000</v>
      </c>
      <c r="Q117" s="470">
        <f t="shared" si="148"/>
        <v>33000</v>
      </c>
      <c r="R117" s="470">
        <f t="shared" si="149"/>
        <v>75000</v>
      </c>
      <c r="S117" s="470">
        <f t="shared" si="150"/>
        <v>95000</v>
      </c>
      <c r="T117" s="470">
        <f t="shared" si="151"/>
        <v>336000</v>
      </c>
      <c r="U117" s="470">
        <f t="shared" si="152"/>
        <v>1528797.77472</v>
      </c>
      <c r="V117" s="470">
        <f t="shared" si="153"/>
        <v>2088797.77472</v>
      </c>
      <c r="W117" s="471">
        <v>12</v>
      </c>
      <c r="X117" s="470">
        <f t="shared" si="154"/>
        <v>174066.481226667</v>
      </c>
      <c r="Y117" s="476"/>
      <c r="Z117" s="929">
        <f t="shared" si="155"/>
        <v>174066.481226667</v>
      </c>
      <c r="AA117" s="806">
        <v>145172.65</v>
      </c>
      <c r="AB117" s="806">
        <f t="shared" si="140"/>
        <v>28893.8312266667</v>
      </c>
      <c r="AC117" s="473"/>
      <c r="AD117" s="473"/>
      <c r="AE117" s="473"/>
    </row>
    <row r="118" ht="15.5" spans="1:31">
      <c r="A118" s="467"/>
      <c r="B118" s="651" t="s">
        <v>286</v>
      </c>
      <c r="C118" s="470">
        <v>659657</v>
      </c>
      <c r="D118" s="469">
        <v>12</v>
      </c>
      <c r="E118" s="470">
        <f t="shared" si="141"/>
        <v>7915884</v>
      </c>
      <c r="F118" s="470"/>
      <c r="G118" s="474">
        <v>566070.72</v>
      </c>
      <c r="H118" s="476"/>
      <c r="I118" s="470">
        <f t="shared" si="142"/>
        <v>7349813.28</v>
      </c>
      <c r="J118" s="470">
        <v>200000</v>
      </c>
      <c r="K118" s="470">
        <v>0.2</v>
      </c>
      <c r="L118" s="470">
        <f t="shared" si="143"/>
        <v>1469962.656</v>
      </c>
      <c r="M118" s="470">
        <f t="shared" si="144"/>
        <v>1669962.656</v>
      </c>
      <c r="N118" s="470">
        <f t="shared" si="145"/>
        <v>2236033.376</v>
      </c>
      <c r="O118" s="470">
        <f t="shared" si="146"/>
        <v>5679850.624</v>
      </c>
      <c r="P118" s="470">
        <f t="shared" si="147"/>
        <v>21000</v>
      </c>
      <c r="Q118" s="470">
        <f t="shared" si="148"/>
        <v>33000</v>
      </c>
      <c r="R118" s="470">
        <f t="shared" si="149"/>
        <v>75000</v>
      </c>
      <c r="S118" s="470">
        <f t="shared" si="150"/>
        <v>95000</v>
      </c>
      <c r="T118" s="470">
        <f t="shared" si="151"/>
        <v>336000</v>
      </c>
      <c r="U118" s="470">
        <f t="shared" si="152"/>
        <v>595164.14976</v>
      </c>
      <c r="V118" s="470">
        <f t="shared" si="153"/>
        <v>1155164.14976</v>
      </c>
      <c r="W118" s="471">
        <v>12</v>
      </c>
      <c r="X118" s="470">
        <f t="shared" si="154"/>
        <v>96263.6791466667</v>
      </c>
      <c r="Y118" s="476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3"/>
      <c r="AD118" s="473"/>
      <c r="AE118" s="473"/>
    </row>
    <row r="119" ht="15.5" spans="1:31">
      <c r="A119" s="467">
        <v>101</v>
      </c>
      <c r="B119" s="651" t="s">
        <v>287</v>
      </c>
      <c r="C119" s="470">
        <v>628165.25</v>
      </c>
      <c r="D119" s="469">
        <v>12</v>
      </c>
      <c r="E119" s="470">
        <f t="shared" si="141"/>
        <v>7537983</v>
      </c>
      <c r="F119" s="470">
        <v>104314.775</v>
      </c>
      <c r="G119" s="474">
        <v>535838.64</v>
      </c>
      <c r="H119" s="476"/>
      <c r="I119" s="470">
        <f t="shared" si="142"/>
        <v>6897829.585</v>
      </c>
      <c r="J119" s="470">
        <v>200000</v>
      </c>
      <c r="K119" s="470">
        <v>0.2</v>
      </c>
      <c r="L119" s="470">
        <f t="shared" si="143"/>
        <v>1379565.917</v>
      </c>
      <c r="M119" s="470">
        <f t="shared" si="144"/>
        <v>1579565.917</v>
      </c>
      <c r="N119" s="470">
        <f t="shared" si="145"/>
        <v>2219719.332</v>
      </c>
      <c r="O119" s="470">
        <f t="shared" si="146"/>
        <v>5318263.668</v>
      </c>
      <c r="P119" s="470">
        <f t="shared" si="147"/>
        <v>21000</v>
      </c>
      <c r="Q119" s="470">
        <f t="shared" si="148"/>
        <v>33000</v>
      </c>
      <c r="R119" s="470">
        <f t="shared" si="149"/>
        <v>75000</v>
      </c>
      <c r="S119" s="470">
        <f t="shared" si="150"/>
        <v>95000</v>
      </c>
      <c r="T119" s="470">
        <f t="shared" si="151"/>
        <v>336000</v>
      </c>
      <c r="U119" s="470">
        <f t="shared" si="152"/>
        <v>508383.28032</v>
      </c>
      <c r="V119" s="470">
        <f t="shared" si="153"/>
        <v>1068383.28032</v>
      </c>
      <c r="W119" s="471">
        <v>12</v>
      </c>
      <c r="X119" s="470">
        <f t="shared" si="154"/>
        <v>89031.9400266667</v>
      </c>
      <c r="Y119" s="476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289</v>
      </c>
      <c r="C120" s="470">
        <v>643911.083333334</v>
      </c>
      <c r="D120" s="469">
        <v>12</v>
      </c>
      <c r="E120" s="470">
        <f t="shared" si="141"/>
        <v>7726933.00000001</v>
      </c>
      <c r="F120" s="479">
        <v>107120</v>
      </c>
      <c r="G120" s="474">
        <v>550954.64</v>
      </c>
      <c r="H120" s="476"/>
      <c r="I120" s="470">
        <f t="shared" si="142"/>
        <v>7068858.36000001</v>
      </c>
      <c r="J120" s="470">
        <v>200000</v>
      </c>
      <c r="K120" s="470">
        <v>0.2</v>
      </c>
      <c r="L120" s="470">
        <f t="shared" si="143"/>
        <v>1413771.672</v>
      </c>
      <c r="M120" s="470">
        <f t="shared" si="144"/>
        <v>1613771.672</v>
      </c>
      <c r="N120" s="470">
        <f t="shared" si="145"/>
        <v>2271846.312</v>
      </c>
      <c r="O120" s="470">
        <f t="shared" si="146"/>
        <v>5455086.68800001</v>
      </c>
      <c r="P120" s="470">
        <f t="shared" si="147"/>
        <v>21000</v>
      </c>
      <c r="Q120" s="470">
        <f t="shared" si="148"/>
        <v>33000</v>
      </c>
      <c r="R120" s="470">
        <f t="shared" si="149"/>
        <v>75000</v>
      </c>
      <c r="S120" s="470">
        <f t="shared" si="150"/>
        <v>95000</v>
      </c>
      <c r="T120" s="470">
        <f t="shared" si="151"/>
        <v>336000</v>
      </c>
      <c r="U120" s="470">
        <f t="shared" si="152"/>
        <v>541220.805120001</v>
      </c>
      <c r="V120" s="470">
        <f t="shared" si="153"/>
        <v>1101220.80512</v>
      </c>
      <c r="W120" s="471">
        <v>12</v>
      </c>
      <c r="X120" s="470">
        <f t="shared" si="154"/>
        <v>91768.4004266668</v>
      </c>
      <c r="Y120" s="476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292</v>
      </c>
      <c r="C121" s="470">
        <v>415320.666666667</v>
      </c>
      <c r="D121" s="469">
        <v>12</v>
      </c>
      <c r="E121" s="470">
        <f t="shared" si="141"/>
        <v>4983848</v>
      </c>
      <c r="F121" s="479"/>
      <c r="G121" s="474">
        <v>341107.840000001</v>
      </c>
      <c r="H121" s="476"/>
      <c r="I121" s="470">
        <f t="shared" si="142"/>
        <v>4642740.16</v>
      </c>
      <c r="J121" s="470">
        <v>200000</v>
      </c>
      <c r="K121" s="470">
        <v>0.2</v>
      </c>
      <c r="L121" s="470">
        <f t="shared" si="143"/>
        <v>928548.032000001</v>
      </c>
      <c r="M121" s="470">
        <f t="shared" si="144"/>
        <v>1128548.032</v>
      </c>
      <c r="N121" s="470">
        <f t="shared" si="145"/>
        <v>1469655.872</v>
      </c>
      <c r="O121" s="470">
        <f t="shared" si="146"/>
        <v>3514192.128</v>
      </c>
      <c r="P121" s="470">
        <f t="shared" si="147"/>
        <v>21000</v>
      </c>
      <c r="Q121" s="470">
        <f t="shared" si="148"/>
        <v>33000</v>
      </c>
      <c r="R121" s="470">
        <f t="shared" si="149"/>
        <v>75000</v>
      </c>
      <c r="S121" s="470">
        <f t="shared" si="150"/>
        <v>95000</v>
      </c>
      <c r="T121" s="470">
        <f t="shared" si="151"/>
        <v>336000</v>
      </c>
      <c r="U121" s="470">
        <f t="shared" si="152"/>
        <v>75406.1107200006</v>
      </c>
      <c r="V121" s="470">
        <f t="shared" si="153"/>
        <v>635406.110720001</v>
      </c>
      <c r="W121" s="471">
        <v>12</v>
      </c>
      <c r="X121" s="470">
        <f t="shared" si="154"/>
        <v>52950.5092266667</v>
      </c>
      <c r="Y121" s="476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3"/>
      <c r="AD121" s="473"/>
      <c r="AE121" s="473"/>
    </row>
    <row r="122" ht="15.5" spans="1:31">
      <c r="A122" s="467">
        <v>106</v>
      </c>
      <c r="B122" s="351" t="s">
        <v>294</v>
      </c>
      <c r="C122" s="470">
        <v>351910.75</v>
      </c>
      <c r="D122" s="469">
        <v>12</v>
      </c>
      <c r="E122" s="470">
        <f t="shared" si="141"/>
        <v>4222929</v>
      </c>
      <c r="F122" s="470"/>
      <c r="G122" s="474">
        <v>289834.32</v>
      </c>
      <c r="H122" s="476"/>
      <c r="I122" s="470">
        <f t="shared" si="142"/>
        <v>3933094.68</v>
      </c>
      <c r="J122" s="470">
        <v>200000</v>
      </c>
      <c r="K122" s="470">
        <v>0.2</v>
      </c>
      <c r="L122" s="470">
        <f t="shared" si="143"/>
        <v>786618.936</v>
      </c>
      <c r="M122" s="470">
        <f t="shared" si="144"/>
        <v>986618.936</v>
      </c>
      <c r="N122" s="470">
        <f t="shared" si="145"/>
        <v>1276453.256</v>
      </c>
      <c r="O122" s="470">
        <f t="shared" si="146"/>
        <v>2946475.744</v>
      </c>
      <c r="P122" s="470">
        <f t="shared" si="147"/>
        <v>21000</v>
      </c>
      <c r="Q122" s="470">
        <f t="shared" si="148"/>
        <v>33000</v>
      </c>
      <c r="R122" s="470">
        <f t="shared" si="149"/>
        <v>75000</v>
      </c>
      <c r="S122" s="470">
        <f t="shared" si="150"/>
        <v>95000</v>
      </c>
      <c r="T122" s="470">
        <f t="shared" si="151"/>
        <v>282759.90624</v>
      </c>
      <c r="U122" s="470"/>
      <c r="V122" s="470">
        <f t="shared" si="153"/>
        <v>506759.90624</v>
      </c>
      <c r="W122" s="471">
        <v>12</v>
      </c>
      <c r="X122" s="470">
        <f t="shared" si="154"/>
        <v>42229.9921866667</v>
      </c>
      <c r="Y122" s="476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296</v>
      </c>
      <c r="C123" s="470">
        <v>351910.75</v>
      </c>
      <c r="D123" s="469">
        <v>12</v>
      </c>
      <c r="E123" s="470">
        <f t="shared" si="141"/>
        <v>4222929</v>
      </c>
      <c r="F123" s="470"/>
      <c r="G123" s="474">
        <v>289834.32</v>
      </c>
      <c r="H123" s="476"/>
      <c r="I123" s="470">
        <f t="shared" si="142"/>
        <v>3933094.68</v>
      </c>
      <c r="J123" s="470">
        <v>200000</v>
      </c>
      <c r="K123" s="470">
        <v>0.2</v>
      </c>
      <c r="L123" s="470">
        <f t="shared" si="143"/>
        <v>786618.936</v>
      </c>
      <c r="M123" s="470">
        <f t="shared" si="144"/>
        <v>986618.936</v>
      </c>
      <c r="N123" s="470">
        <f t="shared" si="145"/>
        <v>1276453.256</v>
      </c>
      <c r="O123" s="470">
        <f t="shared" si="146"/>
        <v>2946475.744</v>
      </c>
      <c r="P123" s="470">
        <f t="shared" si="147"/>
        <v>21000</v>
      </c>
      <c r="Q123" s="470">
        <f t="shared" si="148"/>
        <v>33000</v>
      </c>
      <c r="R123" s="470">
        <f t="shared" si="149"/>
        <v>75000</v>
      </c>
      <c r="S123" s="470">
        <f t="shared" si="150"/>
        <v>95000</v>
      </c>
      <c r="T123" s="470">
        <f t="shared" si="151"/>
        <v>282759.90624</v>
      </c>
      <c r="U123" s="470"/>
      <c r="V123" s="470">
        <f t="shared" si="153"/>
        <v>506759.90624</v>
      </c>
      <c r="W123" s="471">
        <v>12</v>
      </c>
      <c r="X123" s="470">
        <f t="shared" si="154"/>
        <v>42229.9921866667</v>
      </c>
      <c r="Y123" s="476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297</v>
      </c>
      <c r="C124" s="470">
        <v>344900.833333334</v>
      </c>
      <c r="D124" s="469">
        <v>12</v>
      </c>
      <c r="E124" s="470">
        <f t="shared" si="141"/>
        <v>4138810.00000001</v>
      </c>
      <c r="F124" s="470"/>
      <c r="G124" s="474">
        <v>283104.8</v>
      </c>
      <c r="H124" s="476"/>
      <c r="I124" s="470">
        <f t="shared" si="142"/>
        <v>3855705.20000001</v>
      </c>
      <c r="J124" s="470">
        <v>200000</v>
      </c>
      <c r="K124" s="470">
        <v>0.2</v>
      </c>
      <c r="L124" s="470">
        <f t="shared" si="143"/>
        <v>771141.040000002</v>
      </c>
      <c r="M124" s="470">
        <f t="shared" si="144"/>
        <v>971141.040000002</v>
      </c>
      <c r="N124" s="470">
        <f t="shared" si="145"/>
        <v>1254245.84</v>
      </c>
      <c r="O124" s="470">
        <f t="shared" si="146"/>
        <v>2884564.16000001</v>
      </c>
      <c r="P124" s="470">
        <f t="shared" si="147"/>
        <v>21000</v>
      </c>
      <c r="Q124" s="470">
        <f t="shared" si="148"/>
        <v>33000</v>
      </c>
      <c r="R124" s="470">
        <f t="shared" si="149"/>
        <v>75000</v>
      </c>
      <c r="S124" s="470">
        <f t="shared" si="150"/>
        <v>95000</v>
      </c>
      <c r="T124" s="470">
        <f t="shared" si="151"/>
        <v>269758.473600001</v>
      </c>
      <c r="U124" s="470"/>
      <c r="V124" s="470">
        <f t="shared" si="153"/>
        <v>493758.473600001</v>
      </c>
      <c r="W124" s="471">
        <v>12</v>
      </c>
      <c r="X124" s="470">
        <f t="shared" si="154"/>
        <v>41146.5394666668</v>
      </c>
      <c r="Y124" s="476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299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300</v>
      </c>
      <c r="C128" s="470">
        <v>1747612</v>
      </c>
      <c r="D128" s="469">
        <v>12</v>
      </c>
      <c r="E128" s="470">
        <f t="shared" ref="E128:E187" si="156">C128*D128</f>
        <v>20971344</v>
      </c>
      <c r="F128" s="470">
        <v>307730.499999999</v>
      </c>
      <c r="G128" s="474">
        <v>1581707.52</v>
      </c>
      <c r="H128" s="476"/>
      <c r="I128" s="470">
        <f t="shared" ref="I128:I187" si="157">E128-F128-G128-H128</f>
        <v>19081905.98</v>
      </c>
      <c r="J128" s="470">
        <v>200000</v>
      </c>
      <c r="K128" s="470">
        <v>0.2</v>
      </c>
      <c r="L128" s="470">
        <f t="shared" ref="L128:L187" si="158">I128*K128</f>
        <v>3816381.196</v>
      </c>
      <c r="M128" s="470">
        <f t="shared" ref="M128:M187" si="159">J128+L128</f>
        <v>4016381.196</v>
      </c>
      <c r="N128" s="470">
        <f t="shared" ref="N128:N187" si="160">F128+G128+H128+M128</f>
        <v>5905819.216</v>
      </c>
      <c r="O128" s="470">
        <f t="shared" ref="O128:O187" si="161">E128-N128</f>
        <v>15065524.784</v>
      </c>
      <c r="P128" s="470">
        <f t="shared" ref="P128:P187" si="162">IF(O128&lt;300000,0.07*O128,21000)</f>
        <v>21000</v>
      </c>
      <c r="Q128" s="470">
        <f t="shared" ref="Q128:Q187" si="163">IF((O128-300000)&lt;0,0,IF((O128-300000)&lt;300000,0.11*(O128-300000),33000))</f>
        <v>33000</v>
      </c>
      <c r="R128" s="470">
        <f t="shared" ref="R128:R187" si="164">IF((O128-600000)&lt;0,0,IF((O128-600000)&lt;500000,0.15*(O128-600000),75000))</f>
        <v>75000</v>
      </c>
      <c r="S128" s="470">
        <f t="shared" ref="S128:S187" si="165">IF((O128-1100000)&lt;0,0,IF((O128-1100000)&lt;500000,0.19*(O128-1100000),95000))</f>
        <v>95000</v>
      </c>
      <c r="T128" s="470">
        <f t="shared" ref="T128:T187" si="166">IF((O128-1600000)&lt;0,0,IF((O128-1600000)&lt;1600000,0.21*(O128-1600000),336000))</f>
        <v>336000</v>
      </c>
      <c r="U128" s="470">
        <f t="shared" ref="U128:U140" si="167">0.24*(O128-3200000)</f>
        <v>2847725.94816</v>
      </c>
      <c r="V128" s="470">
        <f t="shared" ref="V128:V187" si="168">P128+Q128+R128+S128+T128+U128</f>
        <v>3407725.94816</v>
      </c>
      <c r="W128" s="471">
        <v>12</v>
      </c>
      <c r="X128" s="470">
        <f t="shared" ref="X128:X187" si="169">V128/W128</f>
        <v>283977.162346667</v>
      </c>
      <c r="Y128" s="476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302</v>
      </c>
      <c r="C129" s="470">
        <v>1045306.75</v>
      </c>
      <c r="D129" s="469">
        <v>12</v>
      </c>
      <c r="E129" s="470">
        <f t="shared" si="156"/>
        <v>12543681</v>
      </c>
      <c r="F129" s="470">
        <v>166400.85</v>
      </c>
      <c r="G129" s="474">
        <v>869094.48</v>
      </c>
      <c r="H129" s="476"/>
      <c r="I129" s="470">
        <f t="shared" si="157"/>
        <v>11508185.67</v>
      </c>
      <c r="J129" s="470">
        <v>200000</v>
      </c>
      <c r="K129" s="470">
        <v>0.2</v>
      </c>
      <c r="L129" s="470">
        <f t="shared" si="158"/>
        <v>2301637.134</v>
      </c>
      <c r="M129" s="470">
        <f t="shared" si="159"/>
        <v>2501637.134</v>
      </c>
      <c r="N129" s="470">
        <f t="shared" si="160"/>
        <v>3537132.464</v>
      </c>
      <c r="O129" s="470">
        <f t="shared" si="161"/>
        <v>9006548.536</v>
      </c>
      <c r="P129" s="470">
        <f t="shared" si="162"/>
        <v>21000</v>
      </c>
      <c r="Q129" s="470">
        <f t="shared" si="163"/>
        <v>33000</v>
      </c>
      <c r="R129" s="470">
        <f t="shared" si="164"/>
        <v>75000</v>
      </c>
      <c r="S129" s="470">
        <f t="shared" si="165"/>
        <v>95000</v>
      </c>
      <c r="T129" s="470">
        <f t="shared" si="166"/>
        <v>336000</v>
      </c>
      <c r="U129" s="470">
        <f t="shared" si="167"/>
        <v>1393571.64864</v>
      </c>
      <c r="V129" s="470">
        <f t="shared" si="168"/>
        <v>1953571.64864</v>
      </c>
      <c r="W129" s="471">
        <v>12</v>
      </c>
      <c r="X129" s="470">
        <f t="shared" si="169"/>
        <v>162797.637386667</v>
      </c>
      <c r="Y129" s="476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305</v>
      </c>
      <c r="C130" s="470">
        <v>780713.916666666</v>
      </c>
      <c r="D130" s="469">
        <v>12</v>
      </c>
      <c r="E130" s="470">
        <f t="shared" si="156"/>
        <v>9368566.99999999</v>
      </c>
      <c r="F130" s="470">
        <v>129894.325</v>
      </c>
      <c r="G130" s="474">
        <v>672685.36</v>
      </c>
      <c r="H130" s="476"/>
      <c r="I130" s="470">
        <f t="shared" si="157"/>
        <v>8565987.31499999</v>
      </c>
      <c r="J130" s="470">
        <v>200000</v>
      </c>
      <c r="K130" s="470">
        <v>0.2</v>
      </c>
      <c r="L130" s="470">
        <f t="shared" si="158"/>
        <v>1713197.463</v>
      </c>
      <c r="M130" s="470">
        <f t="shared" si="159"/>
        <v>1913197.463</v>
      </c>
      <c r="N130" s="470">
        <f t="shared" si="160"/>
        <v>2715777.148</v>
      </c>
      <c r="O130" s="470">
        <f t="shared" si="161"/>
        <v>6652789.85199999</v>
      </c>
      <c r="P130" s="470">
        <f t="shared" si="162"/>
        <v>21000</v>
      </c>
      <c r="Q130" s="470">
        <f t="shared" si="163"/>
        <v>33000</v>
      </c>
      <c r="R130" s="470">
        <f t="shared" si="164"/>
        <v>75000</v>
      </c>
      <c r="S130" s="470">
        <f t="shared" si="165"/>
        <v>95000</v>
      </c>
      <c r="T130" s="470">
        <f t="shared" si="166"/>
        <v>336000</v>
      </c>
      <c r="U130" s="470">
        <f t="shared" si="167"/>
        <v>828669.564479999</v>
      </c>
      <c r="V130" s="470">
        <f t="shared" si="168"/>
        <v>1388669.56448</v>
      </c>
      <c r="W130" s="471">
        <v>12</v>
      </c>
      <c r="X130" s="470">
        <f t="shared" si="169"/>
        <v>115722.463706667</v>
      </c>
      <c r="Y130" s="476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307</v>
      </c>
      <c r="C131" s="470">
        <v>780713.916666666</v>
      </c>
      <c r="D131" s="469">
        <v>12</v>
      </c>
      <c r="E131" s="470">
        <f t="shared" si="156"/>
        <v>9368566.99999999</v>
      </c>
      <c r="F131" s="470">
        <v>129894.325</v>
      </c>
      <c r="G131" s="474">
        <v>672685.36</v>
      </c>
      <c r="H131" s="476"/>
      <c r="I131" s="470">
        <f t="shared" si="157"/>
        <v>8565987.31499999</v>
      </c>
      <c r="J131" s="470">
        <v>200000</v>
      </c>
      <c r="K131" s="470">
        <v>0.2</v>
      </c>
      <c r="L131" s="470">
        <f t="shared" si="158"/>
        <v>1713197.463</v>
      </c>
      <c r="M131" s="470">
        <f t="shared" si="159"/>
        <v>1913197.463</v>
      </c>
      <c r="N131" s="470">
        <f t="shared" si="160"/>
        <v>2715777.148</v>
      </c>
      <c r="O131" s="470">
        <f t="shared" si="161"/>
        <v>6652789.85199999</v>
      </c>
      <c r="P131" s="470">
        <f t="shared" si="162"/>
        <v>21000</v>
      </c>
      <c r="Q131" s="470">
        <f t="shared" si="163"/>
        <v>33000</v>
      </c>
      <c r="R131" s="470">
        <f t="shared" si="164"/>
        <v>75000</v>
      </c>
      <c r="S131" s="470">
        <f t="shared" si="165"/>
        <v>95000</v>
      </c>
      <c r="T131" s="470">
        <f t="shared" si="166"/>
        <v>336000</v>
      </c>
      <c r="U131" s="470">
        <f t="shared" si="167"/>
        <v>828669.564479999</v>
      </c>
      <c r="V131" s="470">
        <f t="shared" si="168"/>
        <v>1388669.56448</v>
      </c>
      <c r="W131" s="471">
        <v>12</v>
      </c>
      <c r="X131" s="470">
        <f t="shared" si="169"/>
        <v>115722.463706667</v>
      </c>
      <c r="Y131" s="476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309</v>
      </c>
      <c r="C132" s="470">
        <v>780713.916666666</v>
      </c>
      <c r="D132" s="469">
        <v>12</v>
      </c>
      <c r="E132" s="470">
        <f t="shared" si="156"/>
        <v>9368566.99999999</v>
      </c>
      <c r="F132" s="470">
        <v>129894.325</v>
      </c>
      <c r="G132" s="474">
        <v>672685.36</v>
      </c>
      <c r="H132" s="476"/>
      <c r="I132" s="470">
        <f t="shared" si="157"/>
        <v>8565987.31499999</v>
      </c>
      <c r="J132" s="470">
        <v>200000</v>
      </c>
      <c r="K132" s="470">
        <v>0.2</v>
      </c>
      <c r="L132" s="470">
        <f t="shared" si="158"/>
        <v>1713197.463</v>
      </c>
      <c r="M132" s="470">
        <f t="shared" si="159"/>
        <v>1913197.463</v>
      </c>
      <c r="N132" s="470">
        <f t="shared" si="160"/>
        <v>2715777.148</v>
      </c>
      <c r="O132" s="470">
        <f t="shared" si="161"/>
        <v>6652789.85199999</v>
      </c>
      <c r="P132" s="470">
        <f t="shared" si="162"/>
        <v>21000</v>
      </c>
      <c r="Q132" s="470">
        <f t="shared" si="163"/>
        <v>33000</v>
      </c>
      <c r="R132" s="470">
        <f t="shared" si="164"/>
        <v>75000</v>
      </c>
      <c r="S132" s="470">
        <f t="shared" si="165"/>
        <v>95000</v>
      </c>
      <c r="T132" s="470">
        <f t="shared" si="166"/>
        <v>336000</v>
      </c>
      <c r="U132" s="470">
        <f t="shared" si="167"/>
        <v>828669.564479999</v>
      </c>
      <c r="V132" s="470">
        <f t="shared" si="168"/>
        <v>1388669.56448</v>
      </c>
      <c r="W132" s="471">
        <v>12</v>
      </c>
      <c r="X132" s="470">
        <f t="shared" si="169"/>
        <v>115722.463706667</v>
      </c>
      <c r="Y132" s="476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312</v>
      </c>
      <c r="C133" s="470">
        <v>567472.75</v>
      </c>
      <c r="D133" s="469">
        <v>12</v>
      </c>
      <c r="E133" s="470">
        <f t="shared" si="156"/>
        <v>6809673</v>
      </c>
      <c r="F133" s="470"/>
      <c r="G133" s="474">
        <v>477573.84</v>
      </c>
      <c r="H133" s="476"/>
      <c r="I133" s="470">
        <f t="shared" si="157"/>
        <v>6332099.16</v>
      </c>
      <c r="J133" s="470">
        <v>200000</v>
      </c>
      <c r="K133" s="470">
        <v>0.2</v>
      </c>
      <c r="L133" s="470">
        <f t="shared" si="158"/>
        <v>1266419.832</v>
      </c>
      <c r="M133" s="470">
        <f t="shared" si="159"/>
        <v>1466419.832</v>
      </c>
      <c r="N133" s="470">
        <f t="shared" si="160"/>
        <v>1943993.672</v>
      </c>
      <c r="O133" s="470">
        <f t="shared" si="161"/>
        <v>4865679.328</v>
      </c>
      <c r="P133" s="470">
        <f t="shared" si="162"/>
        <v>21000</v>
      </c>
      <c r="Q133" s="470">
        <f t="shared" si="163"/>
        <v>33000</v>
      </c>
      <c r="R133" s="470">
        <f t="shared" si="164"/>
        <v>75000</v>
      </c>
      <c r="S133" s="470">
        <f t="shared" si="165"/>
        <v>95000</v>
      </c>
      <c r="T133" s="470">
        <f t="shared" si="166"/>
        <v>336000</v>
      </c>
      <c r="U133" s="470">
        <f t="shared" si="167"/>
        <v>399763.03872</v>
      </c>
      <c r="V133" s="470">
        <f t="shared" si="168"/>
        <v>959763.03872</v>
      </c>
      <c r="W133" s="471">
        <v>12</v>
      </c>
      <c r="X133" s="470">
        <f t="shared" si="169"/>
        <v>79980.2532266667</v>
      </c>
      <c r="Y133" s="476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313</v>
      </c>
      <c r="C134" s="470">
        <v>602846.583333334</v>
      </c>
      <c r="D134" s="469">
        <v>12</v>
      </c>
      <c r="E134" s="470">
        <f t="shared" si="156"/>
        <v>7234159.00000001</v>
      </c>
      <c r="F134" s="470"/>
      <c r="G134" s="474">
        <v>463532.72</v>
      </c>
      <c r="H134" s="476"/>
      <c r="I134" s="470">
        <f t="shared" si="157"/>
        <v>6770626.28000001</v>
      </c>
      <c r="J134" s="470">
        <v>200000</v>
      </c>
      <c r="K134" s="470">
        <v>0.2</v>
      </c>
      <c r="L134" s="470">
        <f t="shared" si="158"/>
        <v>1354125.256</v>
      </c>
      <c r="M134" s="470">
        <f t="shared" si="159"/>
        <v>1554125.256</v>
      </c>
      <c r="N134" s="470">
        <f t="shared" si="160"/>
        <v>2017657.976</v>
      </c>
      <c r="O134" s="470">
        <f t="shared" si="161"/>
        <v>5216501.02400001</v>
      </c>
      <c r="P134" s="470">
        <f t="shared" si="162"/>
        <v>21000</v>
      </c>
      <c r="Q134" s="470">
        <f t="shared" si="163"/>
        <v>33000</v>
      </c>
      <c r="R134" s="470">
        <f t="shared" si="164"/>
        <v>75000</v>
      </c>
      <c r="S134" s="470">
        <f t="shared" si="165"/>
        <v>95000</v>
      </c>
      <c r="T134" s="470">
        <f t="shared" si="166"/>
        <v>336000</v>
      </c>
      <c r="U134" s="470">
        <f t="shared" si="167"/>
        <v>483960.245760001</v>
      </c>
      <c r="V134" s="470">
        <f t="shared" si="168"/>
        <v>1043960.24576</v>
      </c>
      <c r="W134" s="471">
        <v>12</v>
      </c>
      <c r="X134" s="470">
        <f t="shared" si="169"/>
        <v>86996.6871466668</v>
      </c>
      <c r="Y134" s="476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315</v>
      </c>
      <c r="C135" s="470">
        <v>542662.666666667</v>
      </c>
      <c r="D135" s="469">
        <v>12</v>
      </c>
      <c r="E135" s="470">
        <f t="shared" si="156"/>
        <v>6511952</v>
      </c>
      <c r="F135" s="470"/>
      <c r="G135" s="474">
        <v>463356.160000001</v>
      </c>
      <c r="H135" s="476"/>
      <c r="I135" s="470">
        <f t="shared" si="157"/>
        <v>6048595.84</v>
      </c>
      <c r="J135" s="470">
        <v>200000</v>
      </c>
      <c r="K135" s="470">
        <v>0.2</v>
      </c>
      <c r="L135" s="470">
        <f t="shared" si="158"/>
        <v>1209719.168</v>
      </c>
      <c r="M135" s="470">
        <f t="shared" si="159"/>
        <v>1409719.168</v>
      </c>
      <c r="N135" s="470">
        <f t="shared" si="160"/>
        <v>1873075.328</v>
      </c>
      <c r="O135" s="470">
        <f t="shared" si="161"/>
        <v>4638876.672</v>
      </c>
      <c r="P135" s="470">
        <f t="shared" si="162"/>
        <v>21000</v>
      </c>
      <c r="Q135" s="470">
        <f t="shared" si="163"/>
        <v>33000</v>
      </c>
      <c r="R135" s="470">
        <f t="shared" si="164"/>
        <v>75000</v>
      </c>
      <c r="S135" s="470">
        <f t="shared" si="165"/>
        <v>95000</v>
      </c>
      <c r="T135" s="470">
        <f t="shared" si="166"/>
        <v>336000</v>
      </c>
      <c r="U135" s="470">
        <f t="shared" si="167"/>
        <v>345330.401280001</v>
      </c>
      <c r="V135" s="470">
        <f t="shared" si="168"/>
        <v>905330.401280001</v>
      </c>
      <c r="W135" s="471">
        <v>12</v>
      </c>
      <c r="X135" s="470">
        <f t="shared" si="169"/>
        <v>75444.2001066667</v>
      </c>
      <c r="Y135" s="476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3"/>
      <c r="AD135" s="473"/>
      <c r="AE135" s="473"/>
    </row>
    <row r="136" ht="15.5" spans="1:31">
      <c r="A136" s="467">
        <v>120</v>
      </c>
      <c r="B136" s="651" t="s">
        <v>317</v>
      </c>
      <c r="C136" s="470">
        <v>528828.166666667</v>
      </c>
      <c r="D136" s="469">
        <v>12</v>
      </c>
      <c r="E136" s="470">
        <f t="shared" si="156"/>
        <v>6345938</v>
      </c>
      <c r="F136" s="470">
        <v>88398.8750000001</v>
      </c>
      <c r="G136" s="474">
        <v>450075.040000001</v>
      </c>
      <c r="H136" s="476"/>
      <c r="I136" s="470">
        <f t="shared" si="157"/>
        <v>5807464.085</v>
      </c>
      <c r="J136" s="470">
        <v>200000</v>
      </c>
      <c r="K136" s="470">
        <v>0.2</v>
      </c>
      <c r="L136" s="470">
        <f t="shared" si="158"/>
        <v>1161492.817</v>
      </c>
      <c r="M136" s="470">
        <f t="shared" si="159"/>
        <v>1361492.817</v>
      </c>
      <c r="N136" s="470">
        <f t="shared" si="160"/>
        <v>1899966.732</v>
      </c>
      <c r="O136" s="470">
        <f t="shared" si="161"/>
        <v>4445971.268</v>
      </c>
      <c r="P136" s="470">
        <f t="shared" si="162"/>
        <v>21000</v>
      </c>
      <c r="Q136" s="470">
        <f t="shared" si="163"/>
        <v>33000</v>
      </c>
      <c r="R136" s="470">
        <f t="shared" si="164"/>
        <v>75000</v>
      </c>
      <c r="S136" s="470">
        <f t="shared" si="165"/>
        <v>95000</v>
      </c>
      <c r="T136" s="470">
        <f t="shared" si="166"/>
        <v>336000</v>
      </c>
      <c r="U136" s="470">
        <f t="shared" si="167"/>
        <v>299033.10432</v>
      </c>
      <c r="V136" s="470">
        <f t="shared" si="168"/>
        <v>859033.10432</v>
      </c>
      <c r="W136" s="471">
        <v>12</v>
      </c>
      <c r="X136" s="470">
        <f t="shared" si="169"/>
        <v>71586.0920266667</v>
      </c>
      <c r="Y136" s="476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319</v>
      </c>
      <c r="C137" s="470">
        <v>514993.583333333</v>
      </c>
      <c r="D137" s="469">
        <v>12</v>
      </c>
      <c r="E137" s="470">
        <f t="shared" si="156"/>
        <v>6179923</v>
      </c>
      <c r="F137" s="470"/>
      <c r="G137" s="474">
        <v>436793.839999999</v>
      </c>
      <c r="H137" s="476"/>
      <c r="I137" s="470">
        <f t="shared" si="157"/>
        <v>5743129.16</v>
      </c>
      <c r="J137" s="470">
        <v>200000</v>
      </c>
      <c r="K137" s="470">
        <v>0.2</v>
      </c>
      <c r="L137" s="470">
        <f t="shared" si="158"/>
        <v>1148625.832</v>
      </c>
      <c r="M137" s="470">
        <f t="shared" si="159"/>
        <v>1348625.832</v>
      </c>
      <c r="N137" s="470">
        <f t="shared" si="160"/>
        <v>1785419.672</v>
      </c>
      <c r="O137" s="470">
        <f t="shared" si="161"/>
        <v>4394503.328</v>
      </c>
      <c r="P137" s="470">
        <f t="shared" si="162"/>
        <v>21000</v>
      </c>
      <c r="Q137" s="470">
        <f t="shared" si="163"/>
        <v>33000</v>
      </c>
      <c r="R137" s="470">
        <f t="shared" si="164"/>
        <v>75000</v>
      </c>
      <c r="S137" s="470">
        <f t="shared" si="165"/>
        <v>95000</v>
      </c>
      <c r="T137" s="470">
        <f t="shared" si="166"/>
        <v>336000</v>
      </c>
      <c r="U137" s="470">
        <f t="shared" si="167"/>
        <v>286680.798719999</v>
      </c>
      <c r="V137" s="470">
        <f t="shared" si="168"/>
        <v>846680.798719999</v>
      </c>
      <c r="W137" s="471">
        <v>12</v>
      </c>
      <c r="X137" s="470">
        <f t="shared" si="169"/>
        <v>70556.7332266666</v>
      </c>
      <c r="Y137" s="476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321</v>
      </c>
      <c r="C138" s="470">
        <v>501159</v>
      </c>
      <c r="D138" s="469">
        <v>12</v>
      </c>
      <c r="E138" s="470">
        <f t="shared" si="156"/>
        <v>6013908</v>
      </c>
      <c r="F138" s="470"/>
      <c r="G138" s="474">
        <v>423512.64</v>
      </c>
      <c r="H138" s="476"/>
      <c r="I138" s="470">
        <f t="shared" si="157"/>
        <v>5590395.36</v>
      </c>
      <c r="J138" s="470">
        <v>200000</v>
      </c>
      <c r="K138" s="470">
        <v>0.2</v>
      </c>
      <c r="L138" s="470">
        <f t="shared" si="158"/>
        <v>1118079.072</v>
      </c>
      <c r="M138" s="470">
        <f t="shared" si="159"/>
        <v>1318079.072</v>
      </c>
      <c r="N138" s="470">
        <f t="shared" si="160"/>
        <v>1741591.712</v>
      </c>
      <c r="O138" s="470">
        <f t="shared" si="161"/>
        <v>4272316.288</v>
      </c>
      <c r="P138" s="470">
        <f t="shared" si="162"/>
        <v>21000</v>
      </c>
      <c r="Q138" s="470">
        <f t="shared" si="163"/>
        <v>33000</v>
      </c>
      <c r="R138" s="470">
        <f t="shared" si="164"/>
        <v>75000</v>
      </c>
      <c r="S138" s="470">
        <f t="shared" si="165"/>
        <v>95000</v>
      </c>
      <c r="T138" s="470">
        <f t="shared" si="166"/>
        <v>336000</v>
      </c>
      <c r="U138" s="470">
        <f t="shared" si="167"/>
        <v>257355.90912</v>
      </c>
      <c r="V138" s="470">
        <f t="shared" si="168"/>
        <v>817355.90912</v>
      </c>
      <c r="W138" s="471">
        <v>12</v>
      </c>
      <c r="X138" s="470">
        <f t="shared" si="169"/>
        <v>68112.9924266667</v>
      </c>
      <c r="Y138" s="476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322</v>
      </c>
      <c r="C139" s="470">
        <v>501159</v>
      </c>
      <c r="D139" s="469">
        <v>12</v>
      </c>
      <c r="E139" s="470">
        <f t="shared" si="156"/>
        <v>6013908</v>
      </c>
      <c r="F139" s="470">
        <v>83469.375</v>
      </c>
      <c r="G139" s="474">
        <v>423512.64</v>
      </c>
      <c r="H139" s="476"/>
      <c r="I139" s="470">
        <f t="shared" si="157"/>
        <v>5506925.985</v>
      </c>
      <c r="J139" s="470">
        <v>200000</v>
      </c>
      <c r="K139" s="470">
        <v>0.2</v>
      </c>
      <c r="L139" s="470">
        <f t="shared" si="158"/>
        <v>1101385.197</v>
      </c>
      <c r="M139" s="470">
        <f t="shared" si="159"/>
        <v>1301385.197</v>
      </c>
      <c r="N139" s="470">
        <f t="shared" si="160"/>
        <v>1808367.212</v>
      </c>
      <c r="O139" s="470">
        <f t="shared" si="161"/>
        <v>4205540.788</v>
      </c>
      <c r="P139" s="470">
        <f t="shared" si="162"/>
        <v>21000</v>
      </c>
      <c r="Q139" s="470">
        <f t="shared" si="163"/>
        <v>33000</v>
      </c>
      <c r="R139" s="470">
        <f t="shared" si="164"/>
        <v>75000</v>
      </c>
      <c r="S139" s="470">
        <f t="shared" si="165"/>
        <v>95000</v>
      </c>
      <c r="T139" s="470">
        <f t="shared" si="166"/>
        <v>336000</v>
      </c>
      <c r="U139" s="470">
        <f t="shared" si="167"/>
        <v>241329.78912</v>
      </c>
      <c r="V139" s="470">
        <f t="shared" si="168"/>
        <v>801329.78912</v>
      </c>
      <c r="W139" s="471">
        <v>12</v>
      </c>
      <c r="X139" s="470">
        <f t="shared" si="169"/>
        <v>66777.4824266667</v>
      </c>
      <c r="Y139" s="476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324</v>
      </c>
      <c r="C140" s="470">
        <v>514993.583333333</v>
      </c>
      <c r="D140" s="469">
        <v>12</v>
      </c>
      <c r="E140" s="470">
        <f t="shared" si="156"/>
        <v>6179923</v>
      </c>
      <c r="F140" s="470"/>
      <c r="G140" s="474">
        <v>436793.839999999</v>
      </c>
      <c r="H140" s="476"/>
      <c r="I140" s="470">
        <f t="shared" si="157"/>
        <v>5743129.16</v>
      </c>
      <c r="J140" s="470">
        <v>200000</v>
      </c>
      <c r="K140" s="470">
        <v>0.2</v>
      </c>
      <c r="L140" s="470">
        <f t="shared" si="158"/>
        <v>1148625.832</v>
      </c>
      <c r="M140" s="470">
        <f t="shared" si="159"/>
        <v>1348625.832</v>
      </c>
      <c r="N140" s="470">
        <f t="shared" si="160"/>
        <v>1785419.672</v>
      </c>
      <c r="O140" s="470">
        <f t="shared" si="161"/>
        <v>4394503.328</v>
      </c>
      <c r="P140" s="470">
        <f t="shared" si="162"/>
        <v>21000</v>
      </c>
      <c r="Q140" s="470">
        <f t="shared" si="163"/>
        <v>33000</v>
      </c>
      <c r="R140" s="470">
        <f t="shared" si="164"/>
        <v>75000</v>
      </c>
      <c r="S140" s="470">
        <f t="shared" si="165"/>
        <v>95000</v>
      </c>
      <c r="T140" s="470">
        <f t="shared" si="166"/>
        <v>336000</v>
      </c>
      <c r="U140" s="470">
        <f t="shared" si="167"/>
        <v>286680.798719999</v>
      </c>
      <c r="V140" s="470">
        <f t="shared" si="168"/>
        <v>846680.798719999</v>
      </c>
      <c r="W140" s="471">
        <v>12</v>
      </c>
      <c r="X140" s="470">
        <f t="shared" si="169"/>
        <v>70556.7332266666</v>
      </c>
      <c r="Y140" s="476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325</v>
      </c>
      <c r="C141" s="470">
        <v>450135.833333334</v>
      </c>
      <c r="D141" s="469">
        <v>12</v>
      </c>
      <c r="E141" s="470">
        <f t="shared" si="156"/>
        <v>5401630.00000001</v>
      </c>
      <c r="F141" s="470"/>
      <c r="G141" s="474">
        <v>374530.4</v>
      </c>
      <c r="H141" s="476"/>
      <c r="I141" s="470">
        <f t="shared" si="157"/>
        <v>5027099.60000001</v>
      </c>
      <c r="J141" s="470">
        <v>200000</v>
      </c>
      <c r="K141" s="470">
        <v>0.2</v>
      </c>
      <c r="L141" s="470">
        <f t="shared" si="158"/>
        <v>1005419.92</v>
      </c>
      <c r="M141" s="470">
        <f t="shared" si="159"/>
        <v>1205419.92</v>
      </c>
      <c r="N141" s="470">
        <f t="shared" si="160"/>
        <v>1579950.32</v>
      </c>
      <c r="O141" s="470">
        <f t="shared" si="161"/>
        <v>3821679.68000001</v>
      </c>
      <c r="P141" s="470">
        <f t="shared" si="162"/>
        <v>21000</v>
      </c>
      <c r="Q141" s="470">
        <f t="shared" si="163"/>
        <v>33000</v>
      </c>
      <c r="R141" s="470">
        <f t="shared" si="164"/>
        <v>75000</v>
      </c>
      <c r="S141" s="470">
        <f t="shared" si="165"/>
        <v>95000</v>
      </c>
      <c r="T141" s="470">
        <f t="shared" si="166"/>
        <v>336000</v>
      </c>
      <c r="U141" s="470">
        <f t="shared" ref="U141:U149" si="172">0.24*(O141-3200000)</f>
        <v>149203.123200002</v>
      </c>
      <c r="V141" s="470">
        <f t="shared" si="168"/>
        <v>709203.123200002</v>
      </c>
      <c r="W141" s="471">
        <v>12</v>
      </c>
      <c r="X141" s="470">
        <f t="shared" si="169"/>
        <v>59100.2602666668</v>
      </c>
      <c r="Y141" s="476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327</v>
      </c>
      <c r="C142" s="470">
        <v>417905.470777777</v>
      </c>
      <c r="D142" s="469">
        <v>12</v>
      </c>
      <c r="E142" s="470">
        <f t="shared" si="156"/>
        <v>5014865.64933332</v>
      </c>
      <c r="F142" s="470"/>
      <c r="G142" s="474">
        <v>333135.52</v>
      </c>
      <c r="H142" s="476"/>
      <c r="I142" s="470">
        <f t="shared" si="157"/>
        <v>4681730.12933332</v>
      </c>
      <c r="J142" s="470">
        <v>200000</v>
      </c>
      <c r="K142" s="470">
        <v>0.2</v>
      </c>
      <c r="L142" s="470">
        <f t="shared" si="158"/>
        <v>936346.025866665</v>
      </c>
      <c r="M142" s="470">
        <f t="shared" si="159"/>
        <v>1136346.02586666</v>
      </c>
      <c r="N142" s="470">
        <f t="shared" si="160"/>
        <v>1469481.54586666</v>
      </c>
      <c r="O142" s="470">
        <f t="shared" si="161"/>
        <v>3545384.10346666</v>
      </c>
      <c r="P142" s="470">
        <f t="shared" si="162"/>
        <v>21000</v>
      </c>
      <c r="Q142" s="470">
        <f t="shared" si="163"/>
        <v>33000</v>
      </c>
      <c r="R142" s="470">
        <f t="shared" si="164"/>
        <v>75000</v>
      </c>
      <c r="S142" s="470">
        <f t="shared" si="165"/>
        <v>95000</v>
      </c>
      <c r="T142" s="470">
        <f t="shared" si="166"/>
        <v>336000</v>
      </c>
      <c r="U142" s="470">
        <f t="shared" si="172"/>
        <v>82892.1848319982</v>
      </c>
      <c r="V142" s="470">
        <f t="shared" si="168"/>
        <v>642892.184831998</v>
      </c>
      <c r="W142" s="471">
        <v>12</v>
      </c>
      <c r="X142" s="470">
        <f t="shared" si="169"/>
        <v>53574.3487359998</v>
      </c>
      <c r="Y142" s="476"/>
      <c r="Z142" s="929">
        <f t="shared" si="170"/>
        <v>53574.3487359998</v>
      </c>
      <c r="AA142" s="806">
        <v>37921.5005866667</v>
      </c>
      <c r="AB142" s="806">
        <f t="shared" si="171"/>
        <v>15652.8481493331</v>
      </c>
      <c r="AC142" s="473"/>
      <c r="AD142" s="473"/>
      <c r="AE142" s="473"/>
    </row>
    <row r="143" ht="15.5" spans="1:31">
      <c r="A143" s="467">
        <v>127</v>
      </c>
      <c r="B143" s="651" t="s">
        <v>329</v>
      </c>
      <c r="C143" s="470">
        <v>459131.166666667</v>
      </c>
      <c r="D143" s="469">
        <v>12</v>
      </c>
      <c r="E143" s="470">
        <f t="shared" si="156"/>
        <v>5509574</v>
      </c>
      <c r="F143" s="470"/>
      <c r="G143" s="474">
        <v>438302.16</v>
      </c>
      <c r="H143" s="476"/>
      <c r="I143" s="470">
        <f t="shared" si="157"/>
        <v>5071271.84</v>
      </c>
      <c r="J143" s="470">
        <v>200000</v>
      </c>
      <c r="K143" s="470">
        <v>0.2</v>
      </c>
      <c r="L143" s="470">
        <f t="shared" si="158"/>
        <v>1014254.368</v>
      </c>
      <c r="M143" s="470">
        <f t="shared" si="159"/>
        <v>1214254.368</v>
      </c>
      <c r="N143" s="470">
        <f t="shared" si="160"/>
        <v>1652556.528</v>
      </c>
      <c r="O143" s="470">
        <f t="shared" si="161"/>
        <v>3857017.472</v>
      </c>
      <c r="P143" s="470">
        <f t="shared" si="162"/>
        <v>21000</v>
      </c>
      <c r="Q143" s="470">
        <f t="shared" si="163"/>
        <v>33000</v>
      </c>
      <c r="R143" s="470">
        <f t="shared" si="164"/>
        <v>75000</v>
      </c>
      <c r="S143" s="470">
        <f t="shared" si="165"/>
        <v>95000</v>
      </c>
      <c r="T143" s="470">
        <f t="shared" si="166"/>
        <v>336000</v>
      </c>
      <c r="U143" s="470">
        <f t="shared" si="172"/>
        <v>157684.193280001</v>
      </c>
      <c r="V143" s="470">
        <f t="shared" si="168"/>
        <v>717684.193280001</v>
      </c>
      <c r="W143" s="471">
        <v>12</v>
      </c>
      <c r="X143" s="470">
        <f t="shared" si="169"/>
        <v>59807.0161066667</v>
      </c>
      <c r="Y143" s="476"/>
      <c r="Z143" s="929">
        <f t="shared" si="170"/>
        <v>59807.0161066667</v>
      </c>
      <c r="AA143" s="806">
        <v>44990.4825066667</v>
      </c>
      <c r="AB143" s="806">
        <f t="shared" si="171"/>
        <v>14816.5336</v>
      </c>
      <c r="AC143" s="473"/>
      <c r="AD143" s="473"/>
      <c r="AE143" s="473"/>
    </row>
    <row r="144" ht="15.5" spans="1:31">
      <c r="A144" s="467">
        <v>128</v>
      </c>
      <c r="B144" s="651" t="s">
        <v>331</v>
      </c>
      <c r="C144" s="470">
        <v>415320.666666667</v>
      </c>
      <c r="D144" s="469">
        <v>12</v>
      </c>
      <c r="E144" s="470">
        <f t="shared" si="156"/>
        <v>4983848</v>
      </c>
      <c r="F144" s="470"/>
      <c r="G144" s="474">
        <v>341107.840000001</v>
      </c>
      <c r="H144" s="476"/>
      <c r="I144" s="470">
        <f t="shared" si="157"/>
        <v>4642740.16</v>
      </c>
      <c r="J144" s="470">
        <v>200000</v>
      </c>
      <c r="K144" s="470">
        <v>0.2</v>
      </c>
      <c r="L144" s="470">
        <f t="shared" si="158"/>
        <v>928548.032000001</v>
      </c>
      <c r="M144" s="470">
        <f t="shared" si="159"/>
        <v>1128548.032</v>
      </c>
      <c r="N144" s="470">
        <f t="shared" si="160"/>
        <v>1469655.872</v>
      </c>
      <c r="O144" s="470">
        <f t="shared" si="161"/>
        <v>3514192.128</v>
      </c>
      <c r="P144" s="470">
        <f t="shared" si="162"/>
        <v>21000</v>
      </c>
      <c r="Q144" s="470">
        <f t="shared" si="163"/>
        <v>33000</v>
      </c>
      <c r="R144" s="470">
        <f t="shared" si="164"/>
        <v>75000</v>
      </c>
      <c r="S144" s="470">
        <f t="shared" si="165"/>
        <v>95000</v>
      </c>
      <c r="T144" s="470">
        <f t="shared" si="166"/>
        <v>336000</v>
      </c>
      <c r="U144" s="470">
        <f t="shared" si="172"/>
        <v>75406.1107200006</v>
      </c>
      <c r="V144" s="470">
        <f t="shared" si="168"/>
        <v>635406.110720001</v>
      </c>
      <c r="W144" s="471">
        <v>12</v>
      </c>
      <c r="X144" s="470">
        <f t="shared" si="169"/>
        <v>52950.5092266667</v>
      </c>
      <c r="Y144" s="476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3"/>
      <c r="AD144" s="473"/>
      <c r="AE144" s="473"/>
    </row>
    <row r="145" ht="15.5" spans="1:31">
      <c r="A145" s="467">
        <v>129</v>
      </c>
      <c r="B145" s="651" t="s">
        <v>333</v>
      </c>
      <c r="C145" s="470">
        <v>459131.166666667</v>
      </c>
      <c r="D145" s="469">
        <v>12</v>
      </c>
      <c r="E145" s="470">
        <f t="shared" si="156"/>
        <v>5509574</v>
      </c>
      <c r="F145" s="470">
        <v>92670.45</v>
      </c>
      <c r="G145" s="474">
        <v>438302.16</v>
      </c>
      <c r="H145" s="476"/>
      <c r="I145" s="470">
        <f t="shared" si="157"/>
        <v>4978601.39</v>
      </c>
      <c r="J145" s="470">
        <v>200000</v>
      </c>
      <c r="K145" s="470">
        <v>0.2</v>
      </c>
      <c r="L145" s="470">
        <f t="shared" si="158"/>
        <v>995720.278000001</v>
      </c>
      <c r="M145" s="470">
        <f t="shared" si="159"/>
        <v>1195720.278</v>
      </c>
      <c r="N145" s="470">
        <f t="shared" si="160"/>
        <v>1726692.888</v>
      </c>
      <c r="O145" s="470">
        <f t="shared" si="161"/>
        <v>3782881.112</v>
      </c>
      <c r="P145" s="470">
        <f t="shared" si="162"/>
        <v>21000</v>
      </c>
      <c r="Q145" s="470">
        <f t="shared" si="163"/>
        <v>33000</v>
      </c>
      <c r="R145" s="470">
        <f t="shared" si="164"/>
        <v>75000</v>
      </c>
      <c r="S145" s="470">
        <f t="shared" si="165"/>
        <v>95000</v>
      </c>
      <c r="T145" s="470">
        <f t="shared" si="166"/>
        <v>336000</v>
      </c>
      <c r="U145" s="470">
        <f t="shared" si="172"/>
        <v>139891.466880001</v>
      </c>
      <c r="V145" s="470">
        <f t="shared" si="168"/>
        <v>699891.466880001</v>
      </c>
      <c r="W145" s="471">
        <v>12</v>
      </c>
      <c r="X145" s="470">
        <f t="shared" si="169"/>
        <v>58324.2889066667</v>
      </c>
      <c r="Y145" s="476"/>
      <c r="Z145" s="929">
        <f t="shared" si="170"/>
        <v>58324.2889066667</v>
      </c>
      <c r="AA145" s="806">
        <v>44913.6996186667</v>
      </c>
      <c r="AB145" s="806">
        <f t="shared" si="171"/>
        <v>13410.589288</v>
      </c>
      <c r="AC145" s="473"/>
      <c r="AD145" s="473"/>
      <c r="AE145" s="473"/>
    </row>
    <row r="146" ht="15.5" spans="1:31">
      <c r="A146" s="467">
        <v>130</v>
      </c>
      <c r="B146" s="651" t="s">
        <v>334</v>
      </c>
      <c r="C146" s="470">
        <v>415320.666666667</v>
      </c>
      <c r="D146" s="469">
        <v>12</v>
      </c>
      <c r="E146" s="470">
        <f t="shared" si="156"/>
        <v>4983848</v>
      </c>
      <c r="F146" s="470"/>
      <c r="G146" s="474">
        <v>341107.840000001</v>
      </c>
      <c r="H146" s="476"/>
      <c r="I146" s="470">
        <f t="shared" si="157"/>
        <v>4642740.16</v>
      </c>
      <c r="J146" s="470">
        <v>200000</v>
      </c>
      <c r="K146" s="470">
        <v>0.2</v>
      </c>
      <c r="L146" s="470">
        <f t="shared" si="158"/>
        <v>928548.032000001</v>
      </c>
      <c r="M146" s="470">
        <f t="shared" si="159"/>
        <v>1128548.032</v>
      </c>
      <c r="N146" s="470">
        <f t="shared" si="160"/>
        <v>1469655.872</v>
      </c>
      <c r="O146" s="470">
        <f t="shared" si="161"/>
        <v>3514192.128</v>
      </c>
      <c r="P146" s="470">
        <f t="shared" si="162"/>
        <v>21000</v>
      </c>
      <c r="Q146" s="470">
        <f t="shared" si="163"/>
        <v>33000</v>
      </c>
      <c r="R146" s="470">
        <f t="shared" si="164"/>
        <v>75000</v>
      </c>
      <c r="S146" s="470">
        <f t="shared" si="165"/>
        <v>95000</v>
      </c>
      <c r="T146" s="470">
        <f t="shared" si="166"/>
        <v>336000</v>
      </c>
      <c r="U146" s="470">
        <f t="shared" si="172"/>
        <v>75406.1107200006</v>
      </c>
      <c r="V146" s="470">
        <f t="shared" si="168"/>
        <v>635406.110720001</v>
      </c>
      <c r="W146" s="471">
        <v>12</v>
      </c>
      <c r="X146" s="470">
        <f t="shared" si="169"/>
        <v>52950.5092266667</v>
      </c>
      <c r="Y146" s="476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3"/>
      <c r="AD146" s="473"/>
      <c r="AE146" s="473"/>
    </row>
    <row r="147" ht="15.5" spans="1:31">
      <c r="A147" s="467">
        <v>131</v>
      </c>
      <c r="B147" s="351" t="s">
        <v>336</v>
      </c>
      <c r="C147" s="470">
        <v>398711.666666667</v>
      </c>
      <c r="D147" s="469">
        <v>12</v>
      </c>
      <c r="E147" s="470">
        <f t="shared" si="156"/>
        <v>4784540</v>
      </c>
      <c r="F147" s="470"/>
      <c r="G147" s="474">
        <v>325163.200000001</v>
      </c>
      <c r="H147" s="476"/>
      <c r="I147" s="470">
        <f t="shared" si="157"/>
        <v>4459376.8</v>
      </c>
      <c r="J147" s="470">
        <v>200000</v>
      </c>
      <c r="K147" s="470">
        <v>0.2</v>
      </c>
      <c r="L147" s="470">
        <f t="shared" si="158"/>
        <v>891875.360000001</v>
      </c>
      <c r="M147" s="470">
        <f t="shared" si="159"/>
        <v>1091875.36</v>
      </c>
      <c r="N147" s="470">
        <f t="shared" si="160"/>
        <v>1417038.56</v>
      </c>
      <c r="O147" s="470">
        <f t="shared" si="161"/>
        <v>3367501.44</v>
      </c>
      <c r="P147" s="470">
        <f t="shared" si="162"/>
        <v>21000</v>
      </c>
      <c r="Q147" s="470">
        <f t="shared" si="163"/>
        <v>33000</v>
      </c>
      <c r="R147" s="470">
        <f t="shared" si="164"/>
        <v>75000</v>
      </c>
      <c r="S147" s="470">
        <f t="shared" si="165"/>
        <v>95000</v>
      </c>
      <c r="T147" s="470">
        <f t="shared" si="166"/>
        <v>336000</v>
      </c>
      <c r="U147" s="470">
        <f t="shared" si="172"/>
        <v>40200.3456000005</v>
      </c>
      <c r="V147" s="470">
        <f t="shared" si="168"/>
        <v>600200.345600001</v>
      </c>
      <c r="W147" s="471">
        <v>12</v>
      </c>
      <c r="X147" s="470">
        <f t="shared" si="169"/>
        <v>50016.6954666667</v>
      </c>
      <c r="Y147" s="476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338</v>
      </c>
      <c r="C148" s="470">
        <v>398711.666666667</v>
      </c>
      <c r="D148" s="469">
        <v>12</v>
      </c>
      <c r="E148" s="470">
        <f t="shared" si="156"/>
        <v>4784540</v>
      </c>
      <c r="F148" s="470"/>
      <c r="G148" s="474">
        <v>325163.200000001</v>
      </c>
      <c r="H148" s="476"/>
      <c r="I148" s="470">
        <f t="shared" si="157"/>
        <v>4459376.8</v>
      </c>
      <c r="J148" s="470">
        <v>200000</v>
      </c>
      <c r="K148" s="470">
        <v>0.2</v>
      </c>
      <c r="L148" s="470">
        <f t="shared" si="158"/>
        <v>891875.360000001</v>
      </c>
      <c r="M148" s="470">
        <f t="shared" si="159"/>
        <v>1091875.36</v>
      </c>
      <c r="N148" s="470">
        <f t="shared" si="160"/>
        <v>1417038.56</v>
      </c>
      <c r="O148" s="470">
        <f t="shared" si="161"/>
        <v>3367501.44</v>
      </c>
      <c r="P148" s="470">
        <f t="shared" si="162"/>
        <v>21000</v>
      </c>
      <c r="Q148" s="470">
        <f t="shared" si="163"/>
        <v>33000</v>
      </c>
      <c r="R148" s="470">
        <f t="shared" si="164"/>
        <v>75000</v>
      </c>
      <c r="S148" s="470">
        <f t="shared" si="165"/>
        <v>95000</v>
      </c>
      <c r="T148" s="470">
        <f t="shared" si="166"/>
        <v>336000</v>
      </c>
      <c r="U148" s="470">
        <f t="shared" si="172"/>
        <v>40200.3456000005</v>
      </c>
      <c r="V148" s="470">
        <f t="shared" si="168"/>
        <v>600200.345600001</v>
      </c>
      <c r="W148" s="471">
        <v>12</v>
      </c>
      <c r="X148" s="470">
        <f t="shared" si="169"/>
        <v>50016.6954666667</v>
      </c>
      <c r="Y148" s="476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343</v>
      </c>
      <c r="C149" s="470">
        <v>351910.75</v>
      </c>
      <c r="D149" s="469">
        <v>12</v>
      </c>
      <c r="E149" s="470">
        <f t="shared" si="156"/>
        <v>4222929</v>
      </c>
      <c r="F149" s="470"/>
      <c r="G149" s="474">
        <v>289834.32</v>
      </c>
      <c r="H149" s="476"/>
      <c r="I149" s="470">
        <f t="shared" si="157"/>
        <v>3933094.68</v>
      </c>
      <c r="J149" s="470">
        <v>200000</v>
      </c>
      <c r="K149" s="470">
        <v>0.2</v>
      </c>
      <c r="L149" s="470">
        <f t="shared" si="158"/>
        <v>786618.936</v>
      </c>
      <c r="M149" s="470">
        <f t="shared" si="159"/>
        <v>986618.936</v>
      </c>
      <c r="N149" s="470">
        <f t="shared" si="160"/>
        <v>1276453.256</v>
      </c>
      <c r="O149" s="470">
        <f t="shared" si="161"/>
        <v>2946475.744</v>
      </c>
      <c r="P149" s="470">
        <f t="shared" si="162"/>
        <v>21000</v>
      </c>
      <c r="Q149" s="470">
        <f t="shared" si="163"/>
        <v>33000</v>
      </c>
      <c r="R149" s="470">
        <f t="shared" si="164"/>
        <v>75000</v>
      </c>
      <c r="S149" s="470">
        <f t="shared" si="165"/>
        <v>95000</v>
      </c>
      <c r="T149" s="470">
        <f t="shared" si="166"/>
        <v>282759.90624</v>
      </c>
      <c r="U149" s="470"/>
      <c r="V149" s="470">
        <f t="shared" si="168"/>
        <v>506759.90624</v>
      </c>
      <c r="W149" s="471">
        <v>12</v>
      </c>
      <c r="X149" s="470">
        <f t="shared" si="169"/>
        <v>42229.9921866667</v>
      </c>
      <c r="Y149" s="476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345</v>
      </c>
      <c r="C150" s="470">
        <v>351910.75</v>
      </c>
      <c r="D150" s="469">
        <v>12</v>
      </c>
      <c r="E150" s="470">
        <f t="shared" si="156"/>
        <v>4222929</v>
      </c>
      <c r="F150" s="470"/>
      <c r="G150" s="474">
        <v>289834.32</v>
      </c>
      <c r="H150" s="476"/>
      <c r="I150" s="470">
        <f t="shared" si="157"/>
        <v>3933094.68</v>
      </c>
      <c r="J150" s="470">
        <v>200000</v>
      </c>
      <c r="K150" s="470">
        <v>0.2</v>
      </c>
      <c r="L150" s="470">
        <f t="shared" si="158"/>
        <v>786618.936</v>
      </c>
      <c r="M150" s="470">
        <f t="shared" si="159"/>
        <v>986618.936</v>
      </c>
      <c r="N150" s="470">
        <f t="shared" si="160"/>
        <v>1276453.256</v>
      </c>
      <c r="O150" s="470">
        <f t="shared" si="161"/>
        <v>2946475.744</v>
      </c>
      <c r="P150" s="470">
        <f t="shared" si="162"/>
        <v>21000</v>
      </c>
      <c r="Q150" s="470">
        <f t="shared" si="163"/>
        <v>33000</v>
      </c>
      <c r="R150" s="470">
        <f t="shared" si="164"/>
        <v>75000</v>
      </c>
      <c r="S150" s="470">
        <f t="shared" si="165"/>
        <v>95000</v>
      </c>
      <c r="T150" s="470">
        <f t="shared" si="166"/>
        <v>282759.90624</v>
      </c>
      <c r="U150" s="470"/>
      <c r="V150" s="470">
        <f t="shared" si="168"/>
        <v>506759.90624</v>
      </c>
      <c r="W150" s="471">
        <v>12</v>
      </c>
      <c r="X150" s="470">
        <f t="shared" si="169"/>
        <v>42229.9921866667</v>
      </c>
      <c r="Y150" s="476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347</v>
      </c>
      <c r="C151" s="470">
        <v>351910.75</v>
      </c>
      <c r="D151" s="469">
        <v>12</v>
      </c>
      <c r="E151" s="470">
        <f t="shared" si="156"/>
        <v>4222929</v>
      </c>
      <c r="F151" s="470"/>
      <c r="G151" s="474">
        <v>289834.32</v>
      </c>
      <c r="H151" s="476"/>
      <c r="I151" s="470">
        <f t="shared" si="157"/>
        <v>3933094.68</v>
      </c>
      <c r="J151" s="470">
        <v>200000</v>
      </c>
      <c r="K151" s="470">
        <v>0.2</v>
      </c>
      <c r="L151" s="470">
        <f t="shared" si="158"/>
        <v>786618.936</v>
      </c>
      <c r="M151" s="470">
        <f t="shared" si="159"/>
        <v>986618.936</v>
      </c>
      <c r="N151" s="470">
        <f t="shared" si="160"/>
        <v>1276453.256</v>
      </c>
      <c r="O151" s="470">
        <f t="shared" si="161"/>
        <v>2946475.744</v>
      </c>
      <c r="P151" s="470">
        <f t="shared" si="162"/>
        <v>21000</v>
      </c>
      <c r="Q151" s="470">
        <f t="shared" si="163"/>
        <v>33000</v>
      </c>
      <c r="R151" s="470">
        <f t="shared" si="164"/>
        <v>75000</v>
      </c>
      <c r="S151" s="470">
        <f t="shared" si="165"/>
        <v>95000</v>
      </c>
      <c r="T151" s="470">
        <f t="shared" si="166"/>
        <v>282759.90624</v>
      </c>
      <c r="U151" s="470"/>
      <c r="V151" s="470">
        <f t="shared" si="168"/>
        <v>506759.90624</v>
      </c>
      <c r="W151" s="471">
        <v>12</v>
      </c>
      <c r="X151" s="470">
        <f t="shared" si="169"/>
        <v>42229.9921866667</v>
      </c>
      <c r="Y151" s="476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349</v>
      </c>
      <c r="C152" s="470">
        <v>358920.666666667</v>
      </c>
      <c r="D152" s="469">
        <v>12</v>
      </c>
      <c r="E152" s="470">
        <f t="shared" si="156"/>
        <v>4307048</v>
      </c>
      <c r="F152" s="470"/>
      <c r="G152" s="474">
        <v>296563.840000001</v>
      </c>
      <c r="H152" s="476"/>
      <c r="I152" s="470">
        <f t="shared" si="157"/>
        <v>4010484.16</v>
      </c>
      <c r="J152" s="470">
        <v>200000</v>
      </c>
      <c r="K152" s="470">
        <v>0.2</v>
      </c>
      <c r="L152" s="470">
        <f t="shared" si="158"/>
        <v>802096.832000001</v>
      </c>
      <c r="M152" s="470">
        <f t="shared" si="159"/>
        <v>1002096.832</v>
      </c>
      <c r="N152" s="470">
        <f t="shared" si="160"/>
        <v>1298660.672</v>
      </c>
      <c r="O152" s="470">
        <f t="shared" si="161"/>
        <v>3008387.328</v>
      </c>
      <c r="P152" s="470">
        <f t="shared" si="162"/>
        <v>21000</v>
      </c>
      <c r="Q152" s="470">
        <f t="shared" si="163"/>
        <v>33000</v>
      </c>
      <c r="R152" s="470">
        <f t="shared" si="164"/>
        <v>75000</v>
      </c>
      <c r="S152" s="470">
        <f t="shared" si="165"/>
        <v>95000</v>
      </c>
      <c r="T152" s="470">
        <f t="shared" si="166"/>
        <v>295761.33888</v>
      </c>
      <c r="U152" s="470"/>
      <c r="V152" s="470">
        <f t="shared" si="168"/>
        <v>519761.33888</v>
      </c>
      <c r="W152" s="471">
        <v>12</v>
      </c>
      <c r="X152" s="470">
        <f t="shared" si="169"/>
        <v>43313.4449066667</v>
      </c>
      <c r="Y152" s="476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350</v>
      </c>
      <c r="C153" s="470">
        <v>351910.75</v>
      </c>
      <c r="D153" s="469">
        <v>12</v>
      </c>
      <c r="E153" s="470">
        <f t="shared" si="156"/>
        <v>4222929</v>
      </c>
      <c r="F153" s="470"/>
      <c r="G153" s="474">
        <v>289834.32</v>
      </c>
      <c r="H153" s="476"/>
      <c r="I153" s="470">
        <f t="shared" si="157"/>
        <v>3933094.68</v>
      </c>
      <c r="J153" s="470">
        <v>200000</v>
      </c>
      <c r="K153" s="470">
        <v>0.2</v>
      </c>
      <c r="L153" s="470">
        <f t="shared" si="158"/>
        <v>786618.936</v>
      </c>
      <c r="M153" s="470">
        <f t="shared" si="159"/>
        <v>986618.936</v>
      </c>
      <c r="N153" s="470">
        <f t="shared" si="160"/>
        <v>1276453.256</v>
      </c>
      <c r="O153" s="470">
        <f t="shared" si="161"/>
        <v>2946475.744</v>
      </c>
      <c r="P153" s="470">
        <f t="shared" si="162"/>
        <v>21000</v>
      </c>
      <c r="Q153" s="470">
        <f t="shared" si="163"/>
        <v>33000</v>
      </c>
      <c r="R153" s="470">
        <f t="shared" si="164"/>
        <v>75000</v>
      </c>
      <c r="S153" s="470">
        <f t="shared" si="165"/>
        <v>95000</v>
      </c>
      <c r="T153" s="470">
        <f t="shared" si="166"/>
        <v>282759.90624</v>
      </c>
      <c r="U153" s="470"/>
      <c r="V153" s="470">
        <f t="shared" si="168"/>
        <v>506759.90624</v>
      </c>
      <c r="W153" s="471">
        <v>12</v>
      </c>
      <c r="X153" s="470">
        <f t="shared" si="169"/>
        <v>42229.9921866667</v>
      </c>
      <c r="Y153" s="476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351</v>
      </c>
      <c r="C154" s="470">
        <v>360647.920777778</v>
      </c>
      <c r="D154" s="469">
        <v>12</v>
      </c>
      <c r="E154" s="470">
        <f t="shared" si="156"/>
        <v>4327775.04933334</v>
      </c>
      <c r="F154" s="470"/>
      <c r="G154" s="474">
        <v>283104.8</v>
      </c>
      <c r="H154" s="476"/>
      <c r="I154" s="470">
        <f t="shared" si="157"/>
        <v>4044670.24933334</v>
      </c>
      <c r="J154" s="470">
        <v>200000</v>
      </c>
      <c r="K154" s="470">
        <v>0.2</v>
      </c>
      <c r="L154" s="470">
        <f t="shared" si="158"/>
        <v>808934.049866667</v>
      </c>
      <c r="M154" s="470">
        <f t="shared" si="159"/>
        <v>1008934.04986667</v>
      </c>
      <c r="N154" s="470">
        <f t="shared" si="160"/>
        <v>1292038.84986667</v>
      </c>
      <c r="O154" s="470">
        <f t="shared" si="161"/>
        <v>3035736.19946667</v>
      </c>
      <c r="P154" s="470">
        <f t="shared" si="162"/>
        <v>21000</v>
      </c>
      <c r="Q154" s="470">
        <f t="shared" si="163"/>
        <v>33000</v>
      </c>
      <c r="R154" s="470">
        <f t="shared" si="164"/>
        <v>75000</v>
      </c>
      <c r="S154" s="470">
        <f t="shared" si="165"/>
        <v>95000</v>
      </c>
      <c r="T154" s="470">
        <f t="shared" si="166"/>
        <v>301504.601888</v>
      </c>
      <c r="U154" s="470"/>
      <c r="V154" s="470">
        <f t="shared" si="168"/>
        <v>525504.601888</v>
      </c>
      <c r="W154" s="471">
        <v>12</v>
      </c>
      <c r="X154" s="470">
        <f t="shared" si="169"/>
        <v>43792.0501573334</v>
      </c>
      <c r="Y154" s="476"/>
      <c r="Z154" s="929">
        <f t="shared" si="170"/>
        <v>43792.0501573334</v>
      </c>
      <c r="AA154" s="806">
        <v>29305.1955466666</v>
      </c>
      <c r="AB154" s="806">
        <f t="shared" si="171"/>
        <v>14486.8546106668</v>
      </c>
      <c r="AC154" s="473"/>
      <c r="AD154" s="473"/>
      <c r="AE154" s="473"/>
    </row>
    <row r="155" ht="15.5" spans="1:31">
      <c r="A155" s="467">
        <v>139</v>
      </c>
      <c r="B155" s="351" t="s">
        <v>353</v>
      </c>
      <c r="C155" s="470">
        <v>344900.833333334</v>
      </c>
      <c r="D155" s="469">
        <v>12</v>
      </c>
      <c r="E155" s="470">
        <f t="shared" si="156"/>
        <v>4138810.00000001</v>
      </c>
      <c r="F155" s="470"/>
      <c r="G155" s="474">
        <v>283104.8</v>
      </c>
      <c r="H155" s="476"/>
      <c r="I155" s="470">
        <f t="shared" si="157"/>
        <v>3855705.20000001</v>
      </c>
      <c r="J155" s="470">
        <v>200000</v>
      </c>
      <c r="K155" s="470">
        <v>0.2</v>
      </c>
      <c r="L155" s="470">
        <f t="shared" si="158"/>
        <v>771141.040000002</v>
      </c>
      <c r="M155" s="470">
        <f t="shared" si="159"/>
        <v>971141.040000002</v>
      </c>
      <c r="N155" s="470">
        <f t="shared" si="160"/>
        <v>1254245.84</v>
      </c>
      <c r="O155" s="470">
        <f t="shared" si="161"/>
        <v>2884564.16000001</v>
      </c>
      <c r="P155" s="470">
        <f t="shared" si="162"/>
        <v>21000</v>
      </c>
      <c r="Q155" s="470">
        <f t="shared" si="163"/>
        <v>33000</v>
      </c>
      <c r="R155" s="470">
        <f t="shared" si="164"/>
        <v>75000</v>
      </c>
      <c r="S155" s="470">
        <f t="shared" si="165"/>
        <v>95000</v>
      </c>
      <c r="T155" s="470">
        <f t="shared" si="166"/>
        <v>269758.473600001</v>
      </c>
      <c r="U155" s="470"/>
      <c r="V155" s="470">
        <f t="shared" si="168"/>
        <v>493758.473600001</v>
      </c>
      <c r="W155" s="471">
        <v>12</v>
      </c>
      <c r="X155" s="470">
        <f t="shared" si="169"/>
        <v>41146.5394666668</v>
      </c>
      <c r="Y155" s="476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359</v>
      </c>
      <c r="C156" s="470">
        <v>271717.166666666</v>
      </c>
      <c r="D156" s="469">
        <v>12</v>
      </c>
      <c r="E156" s="470">
        <f t="shared" si="156"/>
        <v>3260605.99999999</v>
      </c>
      <c r="F156" s="470">
        <v>47786.5749999999</v>
      </c>
      <c r="G156" s="474">
        <v>228208.48</v>
      </c>
      <c r="H156" s="476"/>
      <c r="I156" s="470">
        <f t="shared" si="157"/>
        <v>2984610.94499999</v>
      </c>
      <c r="J156" s="470">
        <v>200000</v>
      </c>
      <c r="K156" s="470">
        <v>0.2</v>
      </c>
      <c r="L156" s="470">
        <f t="shared" si="158"/>
        <v>596922.188999998</v>
      </c>
      <c r="M156" s="470">
        <f t="shared" si="159"/>
        <v>796922.188999998</v>
      </c>
      <c r="N156" s="470">
        <f t="shared" si="160"/>
        <v>1072917.244</v>
      </c>
      <c r="O156" s="470">
        <f t="shared" si="161"/>
        <v>2187688.75599999</v>
      </c>
      <c r="P156" s="470">
        <f t="shared" si="162"/>
        <v>21000</v>
      </c>
      <c r="Q156" s="470">
        <f t="shared" si="163"/>
        <v>33000</v>
      </c>
      <c r="R156" s="470">
        <f t="shared" si="164"/>
        <v>75000</v>
      </c>
      <c r="S156" s="470">
        <f t="shared" si="165"/>
        <v>95000</v>
      </c>
      <c r="T156" s="470">
        <f t="shared" si="166"/>
        <v>123414.638759999</v>
      </c>
      <c r="U156" s="470"/>
      <c r="V156" s="470">
        <f t="shared" si="168"/>
        <v>347414.638759999</v>
      </c>
      <c r="W156" s="471">
        <v>12</v>
      </c>
      <c r="X156" s="470">
        <f t="shared" si="169"/>
        <v>28951.2198966665</v>
      </c>
      <c r="Y156" s="476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362</v>
      </c>
      <c r="C157" s="470">
        <v>274717.166666666</v>
      </c>
      <c r="D157" s="469">
        <v>12</v>
      </c>
      <c r="E157" s="470">
        <f t="shared" si="156"/>
        <v>3296605.99999999</v>
      </c>
      <c r="F157" s="470"/>
      <c r="G157" s="474">
        <v>228208.48</v>
      </c>
      <c r="H157" s="476"/>
      <c r="I157" s="470">
        <f t="shared" si="157"/>
        <v>3068397.51999999</v>
      </c>
      <c r="J157" s="470">
        <v>200000</v>
      </c>
      <c r="K157" s="470">
        <v>0.2</v>
      </c>
      <c r="L157" s="470">
        <f t="shared" si="158"/>
        <v>613679.503999998</v>
      </c>
      <c r="M157" s="470">
        <f t="shared" si="159"/>
        <v>813679.503999998</v>
      </c>
      <c r="N157" s="470">
        <f t="shared" si="160"/>
        <v>1041887.984</v>
      </c>
      <c r="O157" s="470">
        <f t="shared" si="161"/>
        <v>2254718.01599999</v>
      </c>
      <c r="P157" s="470">
        <f t="shared" si="162"/>
        <v>21000</v>
      </c>
      <c r="Q157" s="470">
        <f t="shared" si="163"/>
        <v>33000</v>
      </c>
      <c r="R157" s="470">
        <f t="shared" si="164"/>
        <v>75000</v>
      </c>
      <c r="S157" s="470">
        <f t="shared" si="165"/>
        <v>95000</v>
      </c>
      <c r="T157" s="470">
        <f t="shared" si="166"/>
        <v>137490.783359999</v>
      </c>
      <c r="U157" s="470"/>
      <c r="V157" s="470">
        <f t="shared" si="168"/>
        <v>361490.783359999</v>
      </c>
      <c r="W157" s="471">
        <v>12</v>
      </c>
      <c r="X157" s="470">
        <f t="shared" si="169"/>
        <v>30124.2319466666</v>
      </c>
      <c r="Y157" s="476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666</v>
      </c>
      <c r="C158" s="470">
        <v>271717.166666666</v>
      </c>
      <c r="D158" s="469">
        <v>12</v>
      </c>
      <c r="E158" s="470">
        <f t="shared" si="156"/>
        <v>3260605.99999999</v>
      </c>
      <c r="F158" s="470"/>
      <c r="G158" s="474">
        <v>228208.48</v>
      </c>
      <c r="H158" s="476"/>
      <c r="I158" s="470">
        <f t="shared" si="157"/>
        <v>3032397.51999999</v>
      </c>
      <c r="J158" s="470">
        <v>200000</v>
      </c>
      <c r="K158" s="470">
        <v>0.2</v>
      </c>
      <c r="L158" s="470">
        <f t="shared" si="158"/>
        <v>606479.503999998</v>
      </c>
      <c r="M158" s="470">
        <f t="shared" si="159"/>
        <v>806479.503999998</v>
      </c>
      <c r="N158" s="470">
        <f t="shared" si="160"/>
        <v>1034687.984</v>
      </c>
      <c r="O158" s="470">
        <f t="shared" si="161"/>
        <v>2225918.01599999</v>
      </c>
      <c r="P158" s="470">
        <f t="shared" si="162"/>
        <v>21000</v>
      </c>
      <c r="Q158" s="470">
        <f t="shared" si="163"/>
        <v>33000</v>
      </c>
      <c r="R158" s="470">
        <f t="shared" si="164"/>
        <v>75000</v>
      </c>
      <c r="S158" s="470">
        <f t="shared" si="165"/>
        <v>95000</v>
      </c>
      <c r="T158" s="470">
        <f t="shared" si="166"/>
        <v>131442.783359999</v>
      </c>
      <c r="U158" s="470"/>
      <c r="V158" s="470">
        <f t="shared" si="168"/>
        <v>355442.783359999</v>
      </c>
      <c r="W158" s="471">
        <v>12</v>
      </c>
      <c r="X158" s="470">
        <f t="shared" si="169"/>
        <v>29620.2319466666</v>
      </c>
      <c r="Y158" s="476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363</v>
      </c>
      <c r="C159" s="470">
        <v>271717.166666666</v>
      </c>
      <c r="D159" s="469">
        <v>12</v>
      </c>
      <c r="E159" s="470">
        <f t="shared" si="156"/>
        <v>3260605.99999999</v>
      </c>
      <c r="F159" s="470">
        <v>47786.5749999999</v>
      </c>
      <c r="G159" s="474">
        <v>228208.48</v>
      </c>
      <c r="H159" s="476"/>
      <c r="I159" s="470">
        <f t="shared" si="157"/>
        <v>2984610.94499999</v>
      </c>
      <c r="J159" s="470">
        <v>200000</v>
      </c>
      <c r="K159" s="470">
        <v>0.2</v>
      </c>
      <c r="L159" s="470">
        <f t="shared" si="158"/>
        <v>596922.188999998</v>
      </c>
      <c r="M159" s="470">
        <f t="shared" si="159"/>
        <v>796922.188999998</v>
      </c>
      <c r="N159" s="470">
        <f t="shared" si="160"/>
        <v>1072917.244</v>
      </c>
      <c r="O159" s="470">
        <f t="shared" si="161"/>
        <v>2187688.75599999</v>
      </c>
      <c r="P159" s="470">
        <f t="shared" si="162"/>
        <v>21000</v>
      </c>
      <c r="Q159" s="470">
        <f t="shared" si="163"/>
        <v>33000</v>
      </c>
      <c r="R159" s="470">
        <f t="shared" si="164"/>
        <v>75000</v>
      </c>
      <c r="S159" s="470">
        <f t="shared" si="165"/>
        <v>95000</v>
      </c>
      <c r="T159" s="470">
        <f t="shared" si="166"/>
        <v>123414.638759999</v>
      </c>
      <c r="U159" s="470"/>
      <c r="V159" s="470">
        <f t="shared" si="168"/>
        <v>347414.638759999</v>
      </c>
      <c r="W159" s="471">
        <v>12</v>
      </c>
      <c r="X159" s="470">
        <f t="shared" si="169"/>
        <v>28951.2198966665</v>
      </c>
      <c r="Y159" s="476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364</v>
      </c>
      <c r="C160" s="470">
        <v>271717.166666666</v>
      </c>
      <c r="D160" s="469">
        <v>12</v>
      </c>
      <c r="E160" s="470">
        <f t="shared" si="156"/>
        <v>3260605.99999999</v>
      </c>
      <c r="F160" s="470"/>
      <c r="G160" s="474">
        <v>228208.48</v>
      </c>
      <c r="H160" s="476"/>
      <c r="I160" s="470">
        <f t="shared" si="157"/>
        <v>3032397.51999999</v>
      </c>
      <c r="J160" s="470">
        <v>200000</v>
      </c>
      <c r="K160" s="470">
        <v>0.2</v>
      </c>
      <c r="L160" s="470">
        <f t="shared" si="158"/>
        <v>606479.503999998</v>
      </c>
      <c r="M160" s="470">
        <f t="shared" si="159"/>
        <v>806479.503999998</v>
      </c>
      <c r="N160" s="470">
        <f t="shared" si="160"/>
        <v>1034687.984</v>
      </c>
      <c r="O160" s="470">
        <f t="shared" si="161"/>
        <v>2225918.01599999</v>
      </c>
      <c r="P160" s="470">
        <f t="shared" si="162"/>
        <v>21000</v>
      </c>
      <c r="Q160" s="470">
        <f t="shared" si="163"/>
        <v>33000</v>
      </c>
      <c r="R160" s="470">
        <f t="shared" si="164"/>
        <v>75000</v>
      </c>
      <c r="S160" s="470">
        <f t="shared" si="165"/>
        <v>95000</v>
      </c>
      <c r="T160" s="470">
        <f t="shared" si="166"/>
        <v>131442.783359999</v>
      </c>
      <c r="U160" s="470"/>
      <c r="V160" s="470">
        <f t="shared" si="168"/>
        <v>355442.783359999</v>
      </c>
      <c r="W160" s="471">
        <v>12</v>
      </c>
      <c r="X160" s="470">
        <f t="shared" si="169"/>
        <v>29620.2319466666</v>
      </c>
      <c r="Y160" s="476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365</v>
      </c>
      <c r="C161" s="470">
        <v>268733.833333334</v>
      </c>
      <c r="D161" s="469">
        <v>12</v>
      </c>
      <c r="E161" s="470">
        <f t="shared" si="156"/>
        <v>3224806.00000001</v>
      </c>
      <c r="F161" s="470"/>
      <c r="G161" s="474">
        <v>222464.48</v>
      </c>
      <c r="H161" s="476"/>
      <c r="I161" s="470">
        <f t="shared" si="157"/>
        <v>3002341.52000001</v>
      </c>
      <c r="J161" s="470">
        <v>200000</v>
      </c>
      <c r="K161" s="470">
        <v>0.2</v>
      </c>
      <c r="L161" s="470">
        <f t="shared" si="158"/>
        <v>600468.304000002</v>
      </c>
      <c r="M161" s="470">
        <f t="shared" si="159"/>
        <v>800468.304000002</v>
      </c>
      <c r="N161" s="470">
        <f t="shared" si="160"/>
        <v>1022932.784</v>
      </c>
      <c r="O161" s="470">
        <f t="shared" si="161"/>
        <v>2201873.21600001</v>
      </c>
      <c r="P161" s="470">
        <f t="shared" si="162"/>
        <v>21000</v>
      </c>
      <c r="Q161" s="470">
        <f t="shared" si="163"/>
        <v>33000</v>
      </c>
      <c r="R161" s="470">
        <f t="shared" si="164"/>
        <v>75000</v>
      </c>
      <c r="S161" s="470">
        <f t="shared" si="165"/>
        <v>95000</v>
      </c>
      <c r="T161" s="470">
        <f t="shared" si="166"/>
        <v>126393.375360001</v>
      </c>
      <c r="U161" s="470"/>
      <c r="V161" s="470">
        <f t="shared" si="168"/>
        <v>350393.375360001</v>
      </c>
      <c r="W161" s="471">
        <v>12</v>
      </c>
      <c r="X161" s="470">
        <f t="shared" si="169"/>
        <v>29199.4479466668</v>
      </c>
      <c r="Y161" s="476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367</v>
      </c>
      <c r="C162" s="470">
        <v>265733.833333334</v>
      </c>
      <c r="D162" s="469">
        <v>12</v>
      </c>
      <c r="E162" s="470">
        <f t="shared" si="156"/>
        <v>3188806.00000001</v>
      </c>
      <c r="F162" s="470"/>
      <c r="G162" s="474">
        <v>222464.48</v>
      </c>
      <c r="H162" s="476"/>
      <c r="I162" s="470">
        <f t="shared" si="157"/>
        <v>2966341.52000001</v>
      </c>
      <c r="J162" s="470">
        <v>200000</v>
      </c>
      <c r="K162" s="470">
        <v>0.2</v>
      </c>
      <c r="L162" s="470">
        <f t="shared" si="158"/>
        <v>593268.304000002</v>
      </c>
      <c r="M162" s="470">
        <f t="shared" si="159"/>
        <v>793268.304000002</v>
      </c>
      <c r="N162" s="470">
        <f t="shared" si="160"/>
        <v>1015732.784</v>
      </c>
      <c r="O162" s="470">
        <f t="shared" si="161"/>
        <v>2173073.21600001</v>
      </c>
      <c r="P162" s="470">
        <f t="shared" si="162"/>
        <v>21000</v>
      </c>
      <c r="Q162" s="470">
        <f t="shared" si="163"/>
        <v>33000</v>
      </c>
      <c r="R162" s="470">
        <f t="shared" si="164"/>
        <v>75000</v>
      </c>
      <c r="S162" s="470">
        <f t="shared" si="165"/>
        <v>95000</v>
      </c>
      <c r="T162" s="470">
        <f t="shared" si="166"/>
        <v>120345.375360001</v>
      </c>
      <c r="U162" s="470"/>
      <c r="V162" s="470">
        <f t="shared" si="168"/>
        <v>344345.375360001</v>
      </c>
      <c r="W162" s="471">
        <v>12</v>
      </c>
      <c r="X162" s="470">
        <f t="shared" si="169"/>
        <v>28695.4479466668</v>
      </c>
      <c r="Y162" s="476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368</v>
      </c>
      <c r="C163" s="470">
        <v>268733.833333334</v>
      </c>
      <c r="D163" s="469">
        <v>12</v>
      </c>
      <c r="E163" s="470">
        <f t="shared" si="156"/>
        <v>3224806.00000001</v>
      </c>
      <c r="F163" s="470"/>
      <c r="G163" s="474">
        <v>222464.48</v>
      </c>
      <c r="H163" s="476"/>
      <c r="I163" s="470">
        <f t="shared" si="157"/>
        <v>3002341.52000001</v>
      </c>
      <c r="J163" s="470">
        <v>200000</v>
      </c>
      <c r="K163" s="470">
        <v>0.2</v>
      </c>
      <c r="L163" s="470">
        <f t="shared" si="158"/>
        <v>600468.304000002</v>
      </c>
      <c r="M163" s="470">
        <f t="shared" si="159"/>
        <v>800468.304000002</v>
      </c>
      <c r="N163" s="470">
        <f t="shared" si="160"/>
        <v>1022932.784</v>
      </c>
      <c r="O163" s="470">
        <f t="shared" si="161"/>
        <v>2201873.21600001</v>
      </c>
      <c r="P163" s="470">
        <f t="shared" si="162"/>
        <v>21000</v>
      </c>
      <c r="Q163" s="470">
        <f t="shared" si="163"/>
        <v>33000</v>
      </c>
      <c r="R163" s="470">
        <f t="shared" si="164"/>
        <v>75000</v>
      </c>
      <c r="S163" s="470">
        <f t="shared" si="165"/>
        <v>95000</v>
      </c>
      <c r="T163" s="470">
        <f t="shared" si="166"/>
        <v>126393.375360001</v>
      </c>
      <c r="U163" s="470"/>
      <c r="V163" s="470">
        <f t="shared" si="168"/>
        <v>350393.375360001</v>
      </c>
      <c r="W163" s="471">
        <v>12</v>
      </c>
      <c r="X163" s="470">
        <f t="shared" si="169"/>
        <v>29199.4479466668</v>
      </c>
      <c r="Y163" s="476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369</v>
      </c>
      <c r="C164" s="470">
        <v>265733.833333334</v>
      </c>
      <c r="D164" s="469">
        <v>12</v>
      </c>
      <c r="E164" s="470">
        <f t="shared" si="156"/>
        <v>3188806.00000001</v>
      </c>
      <c r="F164" s="470"/>
      <c r="G164" s="474">
        <v>222464.48</v>
      </c>
      <c r="H164" s="476"/>
      <c r="I164" s="470">
        <f t="shared" si="157"/>
        <v>2966341.52000001</v>
      </c>
      <c r="J164" s="470">
        <v>200000</v>
      </c>
      <c r="K164" s="470">
        <v>0.2</v>
      </c>
      <c r="L164" s="470">
        <f t="shared" si="158"/>
        <v>593268.304000002</v>
      </c>
      <c r="M164" s="470">
        <f t="shared" si="159"/>
        <v>793268.304000002</v>
      </c>
      <c r="N164" s="470">
        <f t="shared" si="160"/>
        <v>1015732.784</v>
      </c>
      <c r="O164" s="470">
        <f t="shared" si="161"/>
        <v>2173073.21600001</v>
      </c>
      <c r="P164" s="470">
        <f t="shared" si="162"/>
        <v>21000</v>
      </c>
      <c r="Q164" s="470">
        <f t="shared" si="163"/>
        <v>33000</v>
      </c>
      <c r="R164" s="470">
        <f t="shared" si="164"/>
        <v>75000</v>
      </c>
      <c r="S164" s="470">
        <f t="shared" si="165"/>
        <v>95000</v>
      </c>
      <c r="T164" s="470">
        <f t="shared" si="166"/>
        <v>120345.375360001</v>
      </c>
      <c r="U164" s="470"/>
      <c r="V164" s="470">
        <f t="shared" si="168"/>
        <v>344345.375360001</v>
      </c>
      <c r="W164" s="471">
        <v>12</v>
      </c>
      <c r="X164" s="470">
        <f t="shared" si="169"/>
        <v>28695.4479466668</v>
      </c>
      <c r="Y164" s="476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370</v>
      </c>
      <c r="C165" s="470">
        <v>265733.833333334</v>
      </c>
      <c r="D165" s="469">
        <v>12</v>
      </c>
      <c r="E165" s="470">
        <f t="shared" si="156"/>
        <v>3188806.00000001</v>
      </c>
      <c r="F165" s="470"/>
      <c r="G165" s="474">
        <v>222464.48</v>
      </c>
      <c r="H165" s="476"/>
      <c r="I165" s="470">
        <f t="shared" si="157"/>
        <v>2966341.52000001</v>
      </c>
      <c r="J165" s="470">
        <v>200000</v>
      </c>
      <c r="K165" s="470">
        <v>0.2</v>
      </c>
      <c r="L165" s="470">
        <f t="shared" si="158"/>
        <v>593268.304000002</v>
      </c>
      <c r="M165" s="470">
        <f t="shared" si="159"/>
        <v>793268.304000002</v>
      </c>
      <c r="N165" s="470">
        <f t="shared" si="160"/>
        <v>1015732.784</v>
      </c>
      <c r="O165" s="470">
        <f t="shared" si="161"/>
        <v>2173073.21600001</v>
      </c>
      <c r="P165" s="470">
        <f t="shared" si="162"/>
        <v>21000</v>
      </c>
      <c r="Q165" s="470">
        <f t="shared" si="163"/>
        <v>33000</v>
      </c>
      <c r="R165" s="470">
        <f t="shared" si="164"/>
        <v>75000</v>
      </c>
      <c r="S165" s="470">
        <f t="shared" si="165"/>
        <v>95000</v>
      </c>
      <c r="T165" s="470">
        <f t="shared" si="166"/>
        <v>120345.375360001</v>
      </c>
      <c r="U165" s="470"/>
      <c r="V165" s="470">
        <f t="shared" si="168"/>
        <v>344345.375360001</v>
      </c>
      <c r="W165" s="471">
        <v>12</v>
      </c>
      <c r="X165" s="470">
        <f t="shared" si="169"/>
        <v>28695.4479466668</v>
      </c>
      <c r="Y165" s="476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357</v>
      </c>
      <c r="C166" s="470">
        <v>268733.833333334</v>
      </c>
      <c r="D166" s="469">
        <v>12</v>
      </c>
      <c r="E166" s="470">
        <f t="shared" si="156"/>
        <v>3224806.00000001</v>
      </c>
      <c r="F166" s="470"/>
      <c r="G166" s="474">
        <v>222464.48</v>
      </c>
      <c r="H166" s="476"/>
      <c r="I166" s="470">
        <f t="shared" si="157"/>
        <v>3002341.52000001</v>
      </c>
      <c r="J166" s="470">
        <v>200000</v>
      </c>
      <c r="K166" s="470">
        <v>0.2</v>
      </c>
      <c r="L166" s="470">
        <f t="shared" si="158"/>
        <v>600468.304000002</v>
      </c>
      <c r="M166" s="470">
        <f t="shared" si="159"/>
        <v>800468.304000002</v>
      </c>
      <c r="N166" s="470">
        <f t="shared" si="160"/>
        <v>1022932.784</v>
      </c>
      <c r="O166" s="470">
        <f t="shared" si="161"/>
        <v>2201873.21600001</v>
      </c>
      <c r="P166" s="470">
        <f t="shared" si="162"/>
        <v>21000</v>
      </c>
      <c r="Q166" s="470">
        <f t="shared" si="163"/>
        <v>33000</v>
      </c>
      <c r="R166" s="470">
        <f t="shared" si="164"/>
        <v>75000</v>
      </c>
      <c r="S166" s="470">
        <f t="shared" si="165"/>
        <v>95000</v>
      </c>
      <c r="T166" s="470">
        <f t="shared" si="166"/>
        <v>126393.375360001</v>
      </c>
      <c r="U166" s="470"/>
      <c r="V166" s="470">
        <f t="shared" si="168"/>
        <v>350393.375360001</v>
      </c>
      <c r="W166" s="471">
        <v>12</v>
      </c>
      <c r="X166" s="470">
        <f t="shared" si="169"/>
        <v>29199.4479466668</v>
      </c>
      <c r="Y166" s="476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371</v>
      </c>
      <c r="C167" s="470">
        <v>256767.333333333</v>
      </c>
      <c r="D167" s="469">
        <v>12</v>
      </c>
      <c r="E167" s="470">
        <f t="shared" si="156"/>
        <v>3081208</v>
      </c>
      <c r="F167" s="470"/>
      <c r="G167" s="474">
        <v>210976.639999999</v>
      </c>
      <c r="H167" s="476"/>
      <c r="I167" s="470">
        <f t="shared" si="157"/>
        <v>2870231.36</v>
      </c>
      <c r="J167" s="470">
        <v>200000</v>
      </c>
      <c r="K167" s="470">
        <v>0.2</v>
      </c>
      <c r="L167" s="470">
        <f t="shared" si="158"/>
        <v>574046.271999999</v>
      </c>
      <c r="M167" s="470">
        <f t="shared" si="159"/>
        <v>774046.271999999</v>
      </c>
      <c r="N167" s="470">
        <f t="shared" si="160"/>
        <v>985022.911999998</v>
      </c>
      <c r="O167" s="470">
        <f t="shared" si="161"/>
        <v>2096185.088</v>
      </c>
      <c r="P167" s="470">
        <f t="shared" si="162"/>
        <v>21000</v>
      </c>
      <c r="Q167" s="470">
        <f t="shared" si="163"/>
        <v>33000</v>
      </c>
      <c r="R167" s="470">
        <f t="shared" si="164"/>
        <v>75000</v>
      </c>
      <c r="S167" s="470">
        <f t="shared" si="165"/>
        <v>95000</v>
      </c>
      <c r="T167" s="470">
        <f t="shared" si="166"/>
        <v>104198.86848</v>
      </c>
      <c r="U167" s="470"/>
      <c r="V167" s="470">
        <f t="shared" si="168"/>
        <v>328198.868479999</v>
      </c>
      <c r="W167" s="471">
        <v>12</v>
      </c>
      <c r="X167" s="470">
        <f t="shared" si="169"/>
        <v>27349.9057066666</v>
      </c>
      <c r="Y167" s="476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373</v>
      </c>
      <c r="C168" s="470">
        <v>256767.333333333</v>
      </c>
      <c r="D168" s="469">
        <v>12</v>
      </c>
      <c r="E168" s="470">
        <f t="shared" si="156"/>
        <v>3081208</v>
      </c>
      <c r="F168" s="470"/>
      <c r="G168" s="474">
        <v>210976.639999999</v>
      </c>
      <c r="H168" s="476"/>
      <c r="I168" s="470">
        <f t="shared" si="157"/>
        <v>2870231.36</v>
      </c>
      <c r="J168" s="470">
        <v>200000</v>
      </c>
      <c r="K168" s="470">
        <v>0.2</v>
      </c>
      <c r="L168" s="470">
        <f t="shared" si="158"/>
        <v>574046.271999999</v>
      </c>
      <c r="M168" s="470">
        <f t="shared" si="159"/>
        <v>774046.271999999</v>
      </c>
      <c r="N168" s="470">
        <f t="shared" si="160"/>
        <v>985022.911999998</v>
      </c>
      <c r="O168" s="470">
        <f t="shared" si="161"/>
        <v>2096185.088</v>
      </c>
      <c r="P168" s="470">
        <f t="shared" si="162"/>
        <v>21000</v>
      </c>
      <c r="Q168" s="470">
        <f t="shared" si="163"/>
        <v>33000</v>
      </c>
      <c r="R168" s="470">
        <f t="shared" si="164"/>
        <v>75000</v>
      </c>
      <c r="S168" s="470">
        <f t="shared" si="165"/>
        <v>95000</v>
      </c>
      <c r="T168" s="470">
        <f t="shared" si="166"/>
        <v>104198.86848</v>
      </c>
      <c r="U168" s="470"/>
      <c r="V168" s="470">
        <f t="shared" si="168"/>
        <v>328198.868479999</v>
      </c>
      <c r="W168" s="471">
        <v>12</v>
      </c>
      <c r="X168" s="470">
        <f t="shared" si="169"/>
        <v>27349.9057066666</v>
      </c>
      <c r="Y168" s="476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374</v>
      </c>
      <c r="C169" s="470">
        <v>262750.583333333</v>
      </c>
      <c r="D169" s="469">
        <v>12</v>
      </c>
      <c r="E169" s="470">
        <f t="shared" si="156"/>
        <v>3153007</v>
      </c>
      <c r="F169" s="470"/>
      <c r="G169" s="474">
        <v>216720.559999999</v>
      </c>
      <c r="H169" s="476"/>
      <c r="I169" s="470">
        <f t="shared" si="157"/>
        <v>2936286.44</v>
      </c>
      <c r="J169" s="470">
        <v>200000</v>
      </c>
      <c r="K169" s="470">
        <v>0.2</v>
      </c>
      <c r="L169" s="470">
        <f t="shared" si="158"/>
        <v>587257.287999999</v>
      </c>
      <c r="M169" s="470">
        <f t="shared" si="159"/>
        <v>787257.287999999</v>
      </c>
      <c r="N169" s="470">
        <f t="shared" si="160"/>
        <v>1003977.848</v>
      </c>
      <c r="O169" s="470">
        <f t="shared" si="161"/>
        <v>2149029.152</v>
      </c>
      <c r="P169" s="470">
        <f t="shared" si="162"/>
        <v>21000</v>
      </c>
      <c r="Q169" s="470">
        <f t="shared" si="163"/>
        <v>33000</v>
      </c>
      <c r="R169" s="470">
        <f t="shared" si="164"/>
        <v>75000</v>
      </c>
      <c r="S169" s="470">
        <f t="shared" si="165"/>
        <v>95000</v>
      </c>
      <c r="T169" s="470">
        <f t="shared" si="166"/>
        <v>115296.12192</v>
      </c>
      <c r="U169" s="470"/>
      <c r="V169" s="470">
        <f t="shared" si="168"/>
        <v>339296.12192</v>
      </c>
      <c r="W169" s="471">
        <v>12</v>
      </c>
      <c r="X169" s="470">
        <f t="shared" si="169"/>
        <v>28274.6768266666</v>
      </c>
      <c r="Y169" s="476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376</v>
      </c>
      <c r="C170" s="470">
        <v>240784</v>
      </c>
      <c r="D170" s="469">
        <v>12</v>
      </c>
      <c r="E170" s="470">
        <f t="shared" si="156"/>
        <v>2889408</v>
      </c>
      <c r="F170" s="470"/>
      <c r="G170" s="474">
        <v>205232.64</v>
      </c>
      <c r="H170" s="476"/>
      <c r="I170" s="470">
        <f t="shared" si="157"/>
        <v>2684175.36</v>
      </c>
      <c r="J170" s="470">
        <v>200000</v>
      </c>
      <c r="K170" s="470">
        <v>0.2</v>
      </c>
      <c r="L170" s="470">
        <f t="shared" si="158"/>
        <v>536835.072</v>
      </c>
      <c r="M170" s="470">
        <f t="shared" si="159"/>
        <v>736835.072</v>
      </c>
      <c r="N170" s="470">
        <f t="shared" si="160"/>
        <v>942067.712</v>
      </c>
      <c r="O170" s="470">
        <f t="shared" si="161"/>
        <v>1947340.288</v>
      </c>
      <c r="P170" s="470">
        <f t="shared" si="162"/>
        <v>21000</v>
      </c>
      <c r="Q170" s="470">
        <f t="shared" si="163"/>
        <v>33000</v>
      </c>
      <c r="R170" s="470">
        <f t="shared" si="164"/>
        <v>75000</v>
      </c>
      <c r="S170" s="470">
        <f t="shared" si="165"/>
        <v>95000</v>
      </c>
      <c r="T170" s="470">
        <f t="shared" si="166"/>
        <v>72941.46048</v>
      </c>
      <c r="U170" s="470"/>
      <c r="V170" s="470">
        <f t="shared" si="168"/>
        <v>296941.46048</v>
      </c>
      <c r="W170" s="471">
        <v>12</v>
      </c>
      <c r="X170" s="470">
        <f t="shared" si="169"/>
        <v>24745.1217066667</v>
      </c>
      <c r="Y170" s="476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378</v>
      </c>
      <c r="C171" s="470">
        <v>173356.75</v>
      </c>
      <c r="D171" s="469">
        <v>12</v>
      </c>
      <c r="E171" s="470">
        <f t="shared" si="156"/>
        <v>2080281</v>
      </c>
      <c r="F171" s="470"/>
      <c r="G171" s="474">
        <v>140502.48</v>
      </c>
      <c r="H171" s="476"/>
      <c r="I171" s="470">
        <f t="shared" si="157"/>
        <v>1939778.52</v>
      </c>
      <c r="J171" s="470">
        <v>200000</v>
      </c>
      <c r="K171" s="470">
        <v>0.2</v>
      </c>
      <c r="L171" s="470">
        <f t="shared" si="158"/>
        <v>387955.704</v>
      </c>
      <c r="M171" s="470">
        <f t="shared" si="159"/>
        <v>587955.704</v>
      </c>
      <c r="N171" s="470">
        <f t="shared" si="160"/>
        <v>728458.184</v>
      </c>
      <c r="O171" s="470">
        <f t="shared" si="161"/>
        <v>1351822.816</v>
      </c>
      <c r="P171" s="470">
        <f t="shared" si="162"/>
        <v>21000</v>
      </c>
      <c r="Q171" s="470">
        <f t="shared" si="163"/>
        <v>33000</v>
      </c>
      <c r="R171" s="470">
        <f t="shared" si="164"/>
        <v>75000</v>
      </c>
      <c r="S171" s="470">
        <f t="shared" si="165"/>
        <v>47846.33504</v>
      </c>
      <c r="T171" s="470">
        <f t="shared" si="166"/>
        <v>0</v>
      </c>
      <c r="U171" s="470"/>
      <c r="V171" s="470">
        <f t="shared" si="168"/>
        <v>176846.33504</v>
      </c>
      <c r="W171" s="471">
        <v>12</v>
      </c>
      <c r="X171" s="470">
        <f t="shared" si="169"/>
        <v>14737.1945866667</v>
      </c>
      <c r="Y171" s="476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3"/>
      <c r="AD171" s="473"/>
      <c r="AE171" s="473"/>
    </row>
    <row r="172" ht="15.5" spans="1:31">
      <c r="A172" s="467">
        <v>156</v>
      </c>
      <c r="B172" s="651" t="s">
        <v>379</v>
      </c>
      <c r="C172" s="470">
        <v>170356.75</v>
      </c>
      <c r="D172" s="469">
        <v>12</v>
      </c>
      <c r="E172" s="470">
        <f t="shared" si="156"/>
        <v>2044281</v>
      </c>
      <c r="F172" s="470"/>
      <c r="G172" s="474">
        <v>140502.48</v>
      </c>
      <c r="H172" s="476"/>
      <c r="I172" s="470">
        <f t="shared" si="157"/>
        <v>1903778.52</v>
      </c>
      <c r="J172" s="470">
        <v>200000</v>
      </c>
      <c r="K172" s="470">
        <v>0.2</v>
      </c>
      <c r="L172" s="470">
        <f t="shared" si="158"/>
        <v>380755.704</v>
      </c>
      <c r="M172" s="470">
        <f t="shared" si="159"/>
        <v>580755.704</v>
      </c>
      <c r="N172" s="470">
        <f t="shared" si="160"/>
        <v>721258.184</v>
      </c>
      <c r="O172" s="470">
        <f t="shared" si="161"/>
        <v>1323022.816</v>
      </c>
      <c r="P172" s="470">
        <f t="shared" si="162"/>
        <v>21000</v>
      </c>
      <c r="Q172" s="470">
        <f t="shared" si="163"/>
        <v>33000</v>
      </c>
      <c r="R172" s="470">
        <f t="shared" si="164"/>
        <v>75000</v>
      </c>
      <c r="S172" s="470">
        <f t="shared" si="165"/>
        <v>42374.33504</v>
      </c>
      <c r="T172" s="470">
        <f t="shared" si="166"/>
        <v>0</v>
      </c>
      <c r="U172" s="470"/>
      <c r="V172" s="470">
        <f t="shared" si="168"/>
        <v>171374.33504</v>
      </c>
      <c r="W172" s="471">
        <v>12</v>
      </c>
      <c r="X172" s="470">
        <f t="shared" si="169"/>
        <v>14281.1945866667</v>
      </c>
      <c r="Y172" s="476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3"/>
      <c r="AD172" s="473"/>
      <c r="AE172" s="473"/>
    </row>
    <row r="173" ht="15.5" spans="1:31">
      <c r="A173" s="467">
        <v>157</v>
      </c>
      <c r="B173" s="651" t="s">
        <v>380</v>
      </c>
      <c r="C173" s="470">
        <v>173356.75</v>
      </c>
      <c r="D173" s="469">
        <v>12</v>
      </c>
      <c r="E173" s="470">
        <f t="shared" si="156"/>
        <v>2080281</v>
      </c>
      <c r="F173" s="470"/>
      <c r="G173" s="474">
        <v>140502.48</v>
      </c>
      <c r="H173" s="476"/>
      <c r="I173" s="470">
        <f t="shared" si="157"/>
        <v>1939778.52</v>
      </c>
      <c r="J173" s="470">
        <v>200000</v>
      </c>
      <c r="K173" s="470">
        <v>0.2</v>
      </c>
      <c r="L173" s="470">
        <f t="shared" si="158"/>
        <v>387955.704</v>
      </c>
      <c r="M173" s="470">
        <f t="shared" si="159"/>
        <v>587955.704</v>
      </c>
      <c r="N173" s="470">
        <f t="shared" si="160"/>
        <v>728458.184</v>
      </c>
      <c r="O173" s="470">
        <f t="shared" si="161"/>
        <v>1351822.816</v>
      </c>
      <c r="P173" s="470">
        <f t="shared" si="162"/>
        <v>21000</v>
      </c>
      <c r="Q173" s="470">
        <f t="shared" si="163"/>
        <v>33000</v>
      </c>
      <c r="R173" s="470">
        <f t="shared" si="164"/>
        <v>75000</v>
      </c>
      <c r="S173" s="470">
        <f t="shared" si="165"/>
        <v>47846.33504</v>
      </c>
      <c r="T173" s="470">
        <f t="shared" ref="T173:T187" si="174">IF((O173-1600000)&lt;0,0,IF((O173-1600000)&lt;1600000,0.21*(O173-1600000),336000))</f>
        <v>0</v>
      </c>
      <c r="U173" s="470"/>
      <c r="V173" s="470">
        <f t="shared" si="168"/>
        <v>176846.33504</v>
      </c>
      <c r="W173" s="471">
        <v>12</v>
      </c>
      <c r="X173" s="470">
        <f t="shared" si="169"/>
        <v>14737.1945866667</v>
      </c>
      <c r="Y173" s="476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3"/>
      <c r="AD173" s="473"/>
      <c r="AE173" s="473"/>
    </row>
    <row r="174" ht="15.5" spans="1:31">
      <c r="A174" s="467">
        <v>158</v>
      </c>
      <c r="B174" s="651" t="s">
        <v>381</v>
      </c>
      <c r="C174" s="938">
        <v>170356.75</v>
      </c>
      <c r="D174" s="469">
        <v>12</v>
      </c>
      <c r="E174" s="470">
        <f t="shared" si="156"/>
        <v>2044281</v>
      </c>
      <c r="F174" s="470"/>
      <c r="G174" s="474">
        <v>140502.48</v>
      </c>
      <c r="H174" s="476"/>
      <c r="I174" s="470">
        <f t="shared" si="157"/>
        <v>1903778.52</v>
      </c>
      <c r="J174" s="470">
        <v>200000</v>
      </c>
      <c r="K174" s="470">
        <v>0.2</v>
      </c>
      <c r="L174" s="470">
        <f t="shared" si="158"/>
        <v>380755.704</v>
      </c>
      <c r="M174" s="470">
        <f t="shared" si="159"/>
        <v>580755.704</v>
      </c>
      <c r="N174" s="470">
        <f t="shared" si="160"/>
        <v>721258.184</v>
      </c>
      <c r="O174" s="470">
        <f t="shared" si="161"/>
        <v>1323022.816</v>
      </c>
      <c r="P174" s="470">
        <f t="shared" si="162"/>
        <v>21000</v>
      </c>
      <c r="Q174" s="470">
        <f t="shared" si="163"/>
        <v>33000</v>
      </c>
      <c r="R174" s="470">
        <f t="shared" si="164"/>
        <v>75000</v>
      </c>
      <c r="S174" s="470">
        <f t="shared" si="165"/>
        <v>42374.33504</v>
      </c>
      <c r="T174" s="470">
        <f t="shared" si="174"/>
        <v>0</v>
      </c>
      <c r="U174" s="470"/>
      <c r="V174" s="470">
        <f t="shared" si="168"/>
        <v>171374.33504</v>
      </c>
      <c r="W174" s="471">
        <v>12</v>
      </c>
      <c r="X174" s="470">
        <f t="shared" si="169"/>
        <v>14281.1945866667</v>
      </c>
      <c r="Y174" s="476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3"/>
      <c r="AD174" s="473"/>
      <c r="AE174" s="473"/>
    </row>
    <row r="175" ht="15.5" spans="1:31">
      <c r="A175" s="467">
        <v>159</v>
      </c>
      <c r="B175" s="651" t="s">
        <v>382</v>
      </c>
      <c r="C175" s="938">
        <v>173356.75</v>
      </c>
      <c r="D175" s="469">
        <v>12</v>
      </c>
      <c r="E175" s="470">
        <f t="shared" si="156"/>
        <v>2080281</v>
      </c>
      <c r="F175" s="470"/>
      <c r="G175" s="474">
        <v>140502.48</v>
      </c>
      <c r="H175" s="476"/>
      <c r="I175" s="470">
        <f t="shared" si="157"/>
        <v>1939778.52</v>
      </c>
      <c r="J175" s="470">
        <v>200000</v>
      </c>
      <c r="K175" s="470">
        <v>0.2</v>
      </c>
      <c r="L175" s="470">
        <f t="shared" si="158"/>
        <v>387955.704</v>
      </c>
      <c r="M175" s="470">
        <f t="shared" si="159"/>
        <v>587955.704</v>
      </c>
      <c r="N175" s="470">
        <f t="shared" si="160"/>
        <v>728458.184</v>
      </c>
      <c r="O175" s="470">
        <f t="shared" si="161"/>
        <v>1351822.816</v>
      </c>
      <c r="P175" s="470">
        <f t="shared" si="162"/>
        <v>21000</v>
      </c>
      <c r="Q175" s="470">
        <f t="shared" si="163"/>
        <v>33000</v>
      </c>
      <c r="R175" s="470">
        <f t="shared" si="164"/>
        <v>75000</v>
      </c>
      <c r="S175" s="470">
        <f t="shared" si="165"/>
        <v>47846.33504</v>
      </c>
      <c r="T175" s="470">
        <f t="shared" si="174"/>
        <v>0</v>
      </c>
      <c r="U175" s="470"/>
      <c r="V175" s="470">
        <f t="shared" si="168"/>
        <v>176846.33504</v>
      </c>
      <c r="W175" s="471">
        <v>12</v>
      </c>
      <c r="X175" s="470">
        <f t="shared" si="169"/>
        <v>14737.1945866667</v>
      </c>
      <c r="Y175" s="476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31">
      <c r="A176" s="467">
        <v>160</v>
      </c>
      <c r="B176" s="351" t="s">
        <v>383</v>
      </c>
      <c r="C176" s="806">
        <v>170356.75</v>
      </c>
      <c r="D176" s="469">
        <v>12</v>
      </c>
      <c r="E176" s="470">
        <f t="shared" si="156"/>
        <v>2044281</v>
      </c>
      <c r="F176" s="620"/>
      <c r="G176" s="474">
        <v>140502.48</v>
      </c>
      <c r="I176" s="470">
        <f t="shared" si="157"/>
        <v>1903778.52</v>
      </c>
      <c r="J176" s="470">
        <v>200000</v>
      </c>
      <c r="K176" s="470">
        <v>0.2</v>
      </c>
      <c r="L176" s="470">
        <f t="shared" si="158"/>
        <v>380755.704</v>
      </c>
      <c r="M176" s="470">
        <f t="shared" si="159"/>
        <v>580755.704</v>
      </c>
      <c r="N176" s="470">
        <f t="shared" si="160"/>
        <v>721258.184</v>
      </c>
      <c r="O176" s="470">
        <f t="shared" si="161"/>
        <v>1323022.816</v>
      </c>
      <c r="P176" s="470">
        <f t="shared" si="162"/>
        <v>21000</v>
      </c>
      <c r="Q176" s="470">
        <f t="shared" si="163"/>
        <v>33000</v>
      </c>
      <c r="R176" s="470">
        <f t="shared" si="164"/>
        <v>75000</v>
      </c>
      <c r="S176" s="470">
        <f t="shared" si="165"/>
        <v>42374.33504</v>
      </c>
      <c r="T176" s="470">
        <f t="shared" si="174"/>
        <v>0</v>
      </c>
      <c r="U176" s="470"/>
      <c r="V176" s="470">
        <f t="shared" si="168"/>
        <v>171374.33504</v>
      </c>
      <c r="W176" s="471">
        <v>12</v>
      </c>
      <c r="X176" s="470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7">
        <v>161</v>
      </c>
      <c r="B177" s="351" t="s">
        <v>385</v>
      </c>
      <c r="C177" s="806">
        <v>173356.75</v>
      </c>
      <c r="D177" s="469">
        <v>12</v>
      </c>
      <c r="E177" s="470">
        <f t="shared" si="156"/>
        <v>2080281</v>
      </c>
      <c r="F177" s="620"/>
      <c r="G177" s="474">
        <v>140502.48</v>
      </c>
      <c r="I177" s="470">
        <f t="shared" si="157"/>
        <v>1939778.52</v>
      </c>
      <c r="J177" s="470">
        <v>200000</v>
      </c>
      <c r="K177" s="470">
        <v>0.2</v>
      </c>
      <c r="L177" s="470">
        <f t="shared" si="158"/>
        <v>387955.704</v>
      </c>
      <c r="M177" s="470">
        <f t="shared" si="159"/>
        <v>587955.704</v>
      </c>
      <c r="N177" s="470">
        <f t="shared" si="160"/>
        <v>728458.184</v>
      </c>
      <c r="O177" s="470">
        <f t="shared" si="161"/>
        <v>1351822.816</v>
      </c>
      <c r="P177" s="470">
        <f t="shared" si="162"/>
        <v>21000</v>
      </c>
      <c r="Q177" s="470">
        <f t="shared" si="163"/>
        <v>33000</v>
      </c>
      <c r="R177" s="470">
        <f t="shared" si="164"/>
        <v>75000</v>
      </c>
      <c r="S177" s="470">
        <f t="shared" si="165"/>
        <v>47846.33504</v>
      </c>
      <c r="T177" s="470">
        <f t="shared" si="174"/>
        <v>0</v>
      </c>
      <c r="U177" s="470"/>
      <c r="V177" s="470">
        <f t="shared" si="168"/>
        <v>176846.33504</v>
      </c>
      <c r="W177" s="471">
        <v>12</v>
      </c>
      <c r="X177" s="470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7">
        <v>162</v>
      </c>
      <c r="B178" s="651" t="s">
        <v>668</v>
      </c>
      <c r="C178" s="806"/>
      <c r="D178" s="469"/>
      <c r="E178" s="470"/>
      <c r="F178" s="620"/>
      <c r="G178" s="474"/>
      <c r="I178" s="470"/>
      <c r="J178" s="470"/>
      <c r="K178" s="470"/>
      <c r="L178" s="470"/>
      <c r="M178" s="470"/>
      <c r="N178" s="470">
        <f t="shared" si="160"/>
        <v>0</v>
      </c>
      <c r="O178" s="470">
        <f t="shared" si="161"/>
        <v>0</v>
      </c>
      <c r="P178" s="470">
        <f t="shared" si="162"/>
        <v>0</v>
      </c>
      <c r="Q178" s="470">
        <f t="shared" si="163"/>
        <v>0</v>
      </c>
      <c r="R178" s="470">
        <f t="shared" si="164"/>
        <v>0</v>
      </c>
      <c r="S178" s="470">
        <f t="shared" si="165"/>
        <v>0</v>
      </c>
      <c r="T178" s="470">
        <f t="shared" si="174"/>
        <v>0</v>
      </c>
      <c r="V178" s="470">
        <f t="shared" si="168"/>
        <v>0</v>
      </c>
      <c r="W178" s="471">
        <v>12</v>
      </c>
      <c r="X178" s="470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7">
        <v>163</v>
      </c>
      <c r="B179" s="651" t="s">
        <v>386</v>
      </c>
      <c r="C179" s="806">
        <v>173356.75</v>
      </c>
      <c r="D179" s="469">
        <v>12</v>
      </c>
      <c r="E179" s="470">
        <f t="shared" si="156"/>
        <v>2080281</v>
      </c>
      <c r="F179" s="620"/>
      <c r="G179" s="474">
        <v>140502.48</v>
      </c>
      <c r="I179" s="470">
        <f t="shared" si="157"/>
        <v>1939778.52</v>
      </c>
      <c r="J179" s="470">
        <v>200000</v>
      </c>
      <c r="K179" s="470">
        <v>0.2</v>
      </c>
      <c r="L179" s="470">
        <f t="shared" si="158"/>
        <v>387955.704</v>
      </c>
      <c r="M179" s="470">
        <f t="shared" si="159"/>
        <v>587955.704</v>
      </c>
      <c r="N179" s="470">
        <f t="shared" si="160"/>
        <v>728458.184</v>
      </c>
      <c r="O179" s="470">
        <f t="shared" si="161"/>
        <v>1351822.816</v>
      </c>
      <c r="P179" s="470">
        <f t="shared" si="162"/>
        <v>21000</v>
      </c>
      <c r="Q179" s="470">
        <f t="shared" si="163"/>
        <v>33000</v>
      </c>
      <c r="R179" s="470">
        <f t="shared" si="164"/>
        <v>75000</v>
      </c>
      <c r="S179" s="470">
        <f t="shared" si="165"/>
        <v>47846.33504</v>
      </c>
      <c r="T179" s="470">
        <f t="shared" si="174"/>
        <v>0</v>
      </c>
      <c r="V179" s="470">
        <f t="shared" si="168"/>
        <v>176846.33504</v>
      </c>
      <c r="W179" s="471">
        <v>12</v>
      </c>
      <c r="X179" s="470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7">
        <v>164</v>
      </c>
      <c r="B180" s="351" t="s">
        <v>358</v>
      </c>
      <c r="C180" s="806">
        <v>170495.666666667</v>
      </c>
      <c r="D180" s="469">
        <v>12</v>
      </c>
      <c r="E180" s="470">
        <f t="shared" si="156"/>
        <v>2045948</v>
      </c>
      <c r="F180" s="620"/>
      <c r="G180" s="474">
        <v>137755.84</v>
      </c>
      <c r="I180" s="470">
        <f t="shared" si="157"/>
        <v>1908192.16</v>
      </c>
      <c r="J180" s="470">
        <v>200000</v>
      </c>
      <c r="K180" s="470">
        <v>0.2</v>
      </c>
      <c r="L180" s="470">
        <f t="shared" si="158"/>
        <v>381638.432000001</v>
      </c>
      <c r="M180" s="470">
        <f t="shared" si="159"/>
        <v>581638.432000001</v>
      </c>
      <c r="N180" s="470">
        <f t="shared" si="160"/>
        <v>719394.272000001</v>
      </c>
      <c r="O180" s="470">
        <f t="shared" si="161"/>
        <v>1326553.728</v>
      </c>
      <c r="P180" s="470">
        <f t="shared" si="162"/>
        <v>21000</v>
      </c>
      <c r="Q180" s="470">
        <f t="shared" si="163"/>
        <v>33000</v>
      </c>
      <c r="R180" s="470">
        <f t="shared" si="164"/>
        <v>75000</v>
      </c>
      <c r="S180" s="470">
        <f t="shared" si="165"/>
        <v>43045.2083200006</v>
      </c>
      <c r="T180" s="470">
        <f t="shared" si="174"/>
        <v>0</v>
      </c>
      <c r="V180" s="470">
        <f t="shared" si="168"/>
        <v>172045.208320001</v>
      </c>
      <c r="W180" s="471">
        <v>12</v>
      </c>
      <c r="X180" s="470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7">
        <v>165</v>
      </c>
      <c r="B181" s="351" t="s">
        <v>389</v>
      </c>
      <c r="C181" s="806">
        <v>134014.43</v>
      </c>
      <c r="D181" s="469">
        <v>12</v>
      </c>
      <c r="E181" s="470">
        <f t="shared" si="156"/>
        <v>1608173.16</v>
      </c>
      <c r="F181" s="620"/>
      <c r="G181" s="474">
        <v>132262.56</v>
      </c>
      <c r="I181" s="470">
        <f t="shared" si="157"/>
        <v>1475910.6</v>
      </c>
      <c r="J181" s="470">
        <v>200000</v>
      </c>
      <c r="K181" s="470">
        <v>0.2</v>
      </c>
      <c r="L181" s="470">
        <f t="shared" si="158"/>
        <v>295182.12</v>
      </c>
      <c r="M181" s="470">
        <f t="shared" si="159"/>
        <v>495182.12</v>
      </c>
      <c r="N181" s="470">
        <f t="shared" si="160"/>
        <v>627444.68</v>
      </c>
      <c r="O181" s="470">
        <f t="shared" si="161"/>
        <v>980728.48</v>
      </c>
      <c r="P181" s="470">
        <f t="shared" si="162"/>
        <v>21000</v>
      </c>
      <c r="Q181" s="470">
        <f t="shared" si="163"/>
        <v>33000</v>
      </c>
      <c r="R181" s="470">
        <f t="shared" si="164"/>
        <v>57109.272</v>
      </c>
      <c r="S181" s="470">
        <f t="shared" si="165"/>
        <v>0</v>
      </c>
      <c r="T181" s="470">
        <f t="shared" si="174"/>
        <v>0</v>
      </c>
      <c r="V181" s="470">
        <f t="shared" si="168"/>
        <v>111109.272</v>
      </c>
      <c r="W181" s="471">
        <v>12</v>
      </c>
      <c r="X181" s="470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7">
        <v>166</v>
      </c>
      <c r="B182" s="351" t="s">
        <v>392</v>
      </c>
      <c r="C182" s="806">
        <v>156912.666666667</v>
      </c>
      <c r="D182" s="469">
        <v>12</v>
      </c>
      <c r="E182" s="470">
        <f t="shared" si="156"/>
        <v>1882952</v>
      </c>
      <c r="F182" s="620"/>
      <c r="G182" s="474">
        <v>129516.16</v>
      </c>
      <c r="I182" s="470">
        <f t="shared" si="157"/>
        <v>1753435.84</v>
      </c>
      <c r="J182" s="470">
        <v>200000</v>
      </c>
      <c r="K182" s="470">
        <v>0.2</v>
      </c>
      <c r="L182" s="470">
        <f t="shared" si="158"/>
        <v>350687.168000001</v>
      </c>
      <c r="M182" s="470">
        <f t="shared" si="159"/>
        <v>550687.168000001</v>
      </c>
      <c r="N182" s="470">
        <f t="shared" si="160"/>
        <v>680203.328000001</v>
      </c>
      <c r="O182" s="470">
        <f t="shared" si="161"/>
        <v>1202748.672</v>
      </c>
      <c r="P182" s="470">
        <f t="shared" si="162"/>
        <v>21000</v>
      </c>
      <c r="Q182" s="470">
        <f t="shared" si="163"/>
        <v>33000</v>
      </c>
      <c r="R182" s="470">
        <f t="shared" si="164"/>
        <v>75000</v>
      </c>
      <c r="S182" s="470">
        <f t="shared" si="165"/>
        <v>19522.2476800006</v>
      </c>
      <c r="T182" s="470">
        <f t="shared" si="174"/>
        <v>0</v>
      </c>
      <c r="V182" s="470">
        <f t="shared" si="168"/>
        <v>148522.247680001</v>
      </c>
      <c r="W182" s="471">
        <v>12</v>
      </c>
      <c r="X182" s="470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5941.79237333338</v>
      </c>
    </row>
    <row r="183" ht="15.5" spans="1:28">
      <c r="A183" s="467">
        <v>167</v>
      </c>
      <c r="B183" s="351" t="s">
        <v>396</v>
      </c>
      <c r="C183" s="806">
        <v>157279.033333333</v>
      </c>
      <c r="D183" s="469">
        <v>12</v>
      </c>
      <c r="E183" s="470">
        <f t="shared" si="156"/>
        <v>1887348.4</v>
      </c>
      <c r="F183" s="620"/>
      <c r="G183" s="474">
        <v>123887.44</v>
      </c>
      <c r="I183" s="470">
        <f t="shared" si="157"/>
        <v>1763460.96</v>
      </c>
      <c r="J183" s="470">
        <v>200000</v>
      </c>
      <c r="K183" s="470">
        <v>0.2</v>
      </c>
      <c r="L183" s="470">
        <f t="shared" si="158"/>
        <v>352692.191999999</v>
      </c>
      <c r="M183" s="470">
        <f t="shared" si="159"/>
        <v>552692.191999999</v>
      </c>
      <c r="N183" s="470">
        <f t="shared" si="160"/>
        <v>676579.631999999</v>
      </c>
      <c r="O183" s="470">
        <f t="shared" si="161"/>
        <v>1210768.768</v>
      </c>
      <c r="P183" s="470">
        <f t="shared" si="162"/>
        <v>21000</v>
      </c>
      <c r="Q183" s="470">
        <f t="shared" si="163"/>
        <v>33000</v>
      </c>
      <c r="R183" s="470">
        <f t="shared" si="164"/>
        <v>75000</v>
      </c>
      <c r="S183" s="470">
        <f t="shared" si="165"/>
        <v>21046.0659199994</v>
      </c>
      <c r="T183" s="470">
        <f t="shared" si="174"/>
        <v>0</v>
      </c>
      <c r="V183" s="470">
        <f t="shared" si="168"/>
        <v>150046.065919999</v>
      </c>
      <c r="W183" s="471">
        <v>12</v>
      </c>
      <c r="X183" s="470">
        <f t="shared" si="169"/>
        <v>12503.8388266666</v>
      </c>
      <c r="Z183" s="929">
        <f t="shared" si="170"/>
        <v>12503.8388266666</v>
      </c>
      <c r="AA183" s="806">
        <v>5230.0988</v>
      </c>
      <c r="AB183" s="806">
        <f t="shared" si="173"/>
        <v>7273.74002666662</v>
      </c>
    </row>
    <row r="184" ht="15.5" spans="1:28">
      <c r="A184" s="467">
        <v>168</v>
      </c>
      <c r="B184" s="351" t="s">
        <v>399</v>
      </c>
      <c r="C184" s="806">
        <v>148049.416666667</v>
      </c>
      <c r="D184" s="469">
        <v>12</v>
      </c>
      <c r="E184" s="470">
        <f t="shared" si="156"/>
        <v>1776593</v>
      </c>
      <c r="F184" s="620"/>
      <c r="G184" s="474">
        <v>123887.44</v>
      </c>
      <c r="I184" s="470">
        <f t="shared" si="157"/>
        <v>1652705.56</v>
      </c>
      <c r="J184" s="470">
        <v>200000</v>
      </c>
      <c r="K184" s="470">
        <v>0.2</v>
      </c>
      <c r="L184" s="470">
        <f t="shared" si="158"/>
        <v>330541.112000001</v>
      </c>
      <c r="M184" s="470">
        <f t="shared" si="159"/>
        <v>530541.112000001</v>
      </c>
      <c r="N184" s="470">
        <f t="shared" si="160"/>
        <v>654428.552000001</v>
      </c>
      <c r="O184" s="470">
        <f t="shared" si="161"/>
        <v>1122164.448</v>
      </c>
      <c r="P184" s="470">
        <f t="shared" si="162"/>
        <v>21000</v>
      </c>
      <c r="Q184" s="470">
        <f t="shared" si="163"/>
        <v>33000</v>
      </c>
      <c r="R184" s="470">
        <f t="shared" si="164"/>
        <v>75000</v>
      </c>
      <c r="S184" s="470">
        <f t="shared" si="165"/>
        <v>4211.24512000064</v>
      </c>
      <c r="T184" s="470">
        <f t="shared" si="174"/>
        <v>0</v>
      </c>
      <c r="V184" s="470">
        <f t="shared" si="168"/>
        <v>133211.245120001</v>
      </c>
      <c r="W184" s="471">
        <v>12</v>
      </c>
      <c r="X184" s="470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7">
        <v>169</v>
      </c>
      <c r="B185" s="351" t="s">
        <v>400</v>
      </c>
      <c r="C185" s="806">
        <v>148049.416666667</v>
      </c>
      <c r="D185" s="469">
        <v>12</v>
      </c>
      <c r="E185" s="470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70">
        <v>200000</v>
      </c>
      <c r="K185" s="470">
        <v>0.2</v>
      </c>
      <c r="L185" s="470">
        <f t="shared" si="158"/>
        <v>330541.112000001</v>
      </c>
      <c r="M185" s="470">
        <f t="shared" si="159"/>
        <v>530541.112000001</v>
      </c>
      <c r="N185" s="470">
        <f t="shared" si="160"/>
        <v>654428.552000001</v>
      </c>
      <c r="O185" s="470">
        <f t="shared" si="161"/>
        <v>1122164.448</v>
      </c>
      <c r="P185" s="470">
        <f t="shared" si="162"/>
        <v>21000</v>
      </c>
      <c r="Q185" s="470">
        <f t="shared" si="163"/>
        <v>33000</v>
      </c>
      <c r="R185" s="470">
        <f t="shared" si="164"/>
        <v>75000</v>
      </c>
      <c r="S185" s="470">
        <f t="shared" si="165"/>
        <v>4211.24512000064</v>
      </c>
      <c r="T185" s="470">
        <f t="shared" si="174"/>
        <v>0</v>
      </c>
      <c r="V185" s="470">
        <f t="shared" si="168"/>
        <v>133211.245120001</v>
      </c>
      <c r="W185" s="471">
        <v>12</v>
      </c>
      <c r="X185" s="470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7">
        <v>170</v>
      </c>
      <c r="B186" s="351" t="s">
        <v>401</v>
      </c>
      <c r="C186" s="806">
        <v>162634.666666667</v>
      </c>
      <c r="D186" s="469">
        <v>12</v>
      </c>
      <c r="E186" s="470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70">
        <f t="shared" si="174"/>
        <v>0</v>
      </c>
      <c r="V186" s="486">
        <f t="shared" si="168"/>
        <v>158124.221440001</v>
      </c>
      <c r="W186" s="490">
        <v>12</v>
      </c>
      <c r="X186" s="486">
        <f t="shared" si="169"/>
        <v>13177.0184533334</v>
      </c>
      <c r="Z186" s="932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7">
        <v>171</v>
      </c>
      <c r="B187" s="351" t="s">
        <v>404</v>
      </c>
      <c r="C187" s="806">
        <v>162634.666666667</v>
      </c>
      <c r="D187" s="469">
        <v>12</v>
      </c>
      <c r="E187" s="470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70">
        <f t="shared" si="174"/>
        <v>0</v>
      </c>
      <c r="V187" s="486">
        <f t="shared" si="168"/>
        <v>158124.221440001</v>
      </c>
      <c r="W187" s="490">
        <v>12</v>
      </c>
      <c r="X187" s="486">
        <f t="shared" si="169"/>
        <v>13177.0184533334</v>
      </c>
      <c r="Z187" s="932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1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>SUM(X6:X187)</f>
        <v>13880120.2985</v>
      </c>
      <c r="Y188" s="934"/>
      <c r="Z188" s="935">
        <f>SUM(Z6:Z187)</f>
        <v>13880120.2985</v>
      </c>
      <c r="AA188" s="935">
        <f>SUM(AA6:AA187)</f>
        <v>10905235.8361748</v>
      </c>
      <c r="AB188" s="936">
        <f>SUM(AB6:AB187)</f>
        <v>2974884.46232517</v>
      </c>
    </row>
    <row r="189" ht="17.5" spans="1:28">
      <c r="B189" s="33"/>
      <c r="C189" s="473"/>
      <c r="F189" s="500"/>
      <c r="Z189" s="296"/>
    </row>
    <row r="190" spans="1:28">
      <c r="F190" s="501"/>
      <c r="Z190" s="619"/>
    </row>
    <row r="191" spans="1:28">
      <c r="Z191" s="296"/>
    </row>
    <row r="192" spans="1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19" activePane="bottomRight" state="frozen"/>
      <selection/>
      <selection pane="topRight"/>
      <selection pane="bottomLeft"/>
      <selection pane="bottomRight" activeCell="H22" sqref="H2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683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612</v>
      </c>
      <c r="F4" s="906" t="s">
        <v>589</v>
      </c>
      <c r="G4" s="907" t="s">
        <v>619</v>
      </c>
      <c r="H4" s="907" t="s">
        <v>620</v>
      </c>
      <c r="I4" s="907" t="s">
        <v>598</v>
      </c>
      <c r="J4" s="907" t="s">
        <v>622</v>
      </c>
    </row>
    <row r="5" ht="17.25" customHeight="1" spans="1:10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</row>
    <row r="6" ht="17.25" customHeight="1" spans="1:10">
      <c r="A6" s="4"/>
      <c r="B6" s="4"/>
      <c r="C6" s="8"/>
      <c r="D6" s="8"/>
      <c r="E6" s="10" t="s">
        <v>623</v>
      </c>
      <c r="F6" s="909" t="s">
        <v>624</v>
      </c>
      <c r="G6" s="910" t="s">
        <v>631</v>
      </c>
      <c r="H6" s="910" t="s">
        <v>632</v>
      </c>
      <c r="I6" s="910" t="s">
        <v>633</v>
      </c>
      <c r="J6" s="910" t="s">
        <v>635</v>
      </c>
    </row>
    <row r="7" customHeight="1" spans="1:10">
      <c r="A7" s="9" t="s">
        <v>22</v>
      </c>
      <c r="B7" s="8" t="s">
        <v>23</v>
      </c>
      <c r="C7" s="8"/>
      <c r="D7" s="8"/>
      <c r="E7" s="10"/>
      <c r="F7" s="909"/>
      <c r="G7" s="910"/>
      <c r="H7" s="910" t="s">
        <v>641</v>
      </c>
      <c r="I7" s="910" t="s">
        <v>642</v>
      </c>
      <c r="J7" s="910" t="s">
        <v>642</v>
      </c>
    </row>
    <row r="8" customHeight="1" spans="1:10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912"/>
      <c r="H8" s="912"/>
      <c r="I8" s="912">
        <f t="shared" ref="I8:I38" si="0">H8-G8</f>
        <v>0</v>
      </c>
      <c r="J8" s="912">
        <f t="shared" ref="J8:J38" si="1">H8*12</f>
        <v>0</v>
      </c>
    </row>
    <row r="9" customHeight="1" spans="1:10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912"/>
      <c r="H9" s="912"/>
      <c r="I9" s="912">
        <f t="shared" si="0"/>
        <v>0</v>
      </c>
      <c r="J9" s="912">
        <f t="shared" si="1"/>
        <v>0</v>
      </c>
    </row>
    <row r="10" customHeight="1" spans="1:10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912"/>
      <c r="H10" s="912"/>
      <c r="I10" s="912">
        <f t="shared" si="0"/>
        <v>0</v>
      </c>
      <c r="J10" s="912">
        <f t="shared" si="1"/>
        <v>0</v>
      </c>
    </row>
    <row r="11" customHeight="1" spans="1:10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912">
        <v>10293.3979166667</v>
      </c>
      <c r="H11" s="912">
        <f t="shared" ref="H11:H13" si="2">0.025*F11</f>
        <v>13866.7375</v>
      </c>
      <c r="I11" s="912">
        <f t="shared" si="0"/>
        <v>3573.3395833333</v>
      </c>
      <c r="J11" s="912">
        <f t="shared" si="1"/>
        <v>166400.85</v>
      </c>
    </row>
    <row r="12" customHeight="1" spans="1:10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912">
        <v>10293.3979166667</v>
      </c>
      <c r="H12" s="912">
        <f t="shared" si="2"/>
        <v>13084.6625</v>
      </c>
      <c r="I12" s="912">
        <f t="shared" si="0"/>
        <v>2791.2645833333</v>
      </c>
      <c r="J12" s="912">
        <f t="shared" si="1"/>
        <v>157015.95</v>
      </c>
    </row>
    <row r="13" customHeight="1" spans="1:10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912">
        <v>7859.63125</v>
      </c>
      <c r="H13" s="912">
        <f t="shared" si="2"/>
        <v>11149.8958333333</v>
      </c>
      <c r="I13" s="912">
        <f t="shared" si="0"/>
        <v>3290.2645833333</v>
      </c>
      <c r="J13" s="912">
        <f t="shared" si="1"/>
        <v>133798.75</v>
      </c>
    </row>
    <row r="14" customHeight="1" spans="1:10">
      <c r="A14" s="10">
        <v>7</v>
      </c>
      <c r="B14" s="11" t="s">
        <v>40</v>
      </c>
      <c r="C14" s="4" t="s">
        <v>643</v>
      </c>
      <c r="D14" s="15" t="s">
        <v>192</v>
      </c>
      <c r="E14" s="85">
        <v>484373.75</v>
      </c>
      <c r="F14" s="911">
        <v>366417.5</v>
      </c>
      <c r="G14" s="912"/>
      <c r="H14" s="912"/>
      <c r="I14" s="912">
        <f t="shared" si="0"/>
        <v>0</v>
      </c>
      <c r="J14" s="912">
        <f t="shared" si="1"/>
        <v>0</v>
      </c>
    </row>
    <row r="15" customHeight="1" spans="1:10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912"/>
      <c r="H15" s="912"/>
      <c r="I15" s="912">
        <f t="shared" si="0"/>
        <v>0</v>
      </c>
      <c r="J15" s="912">
        <f t="shared" si="1"/>
        <v>0</v>
      </c>
    </row>
    <row r="16" customHeight="1" spans="1:10">
      <c r="A16" s="10">
        <v>9</v>
      </c>
      <c r="B16" s="11" t="s">
        <v>45</v>
      </c>
      <c r="C16" s="4" t="s">
        <v>46</v>
      </c>
      <c r="D16" s="10" t="s">
        <v>214</v>
      </c>
      <c r="E16" s="85">
        <v>456622.25</v>
      </c>
      <c r="F16" s="911">
        <v>347715.916666667</v>
      </c>
      <c r="G16" s="912"/>
      <c r="H16" s="912"/>
      <c r="I16" s="912">
        <f t="shared" si="0"/>
        <v>0</v>
      </c>
      <c r="J16" s="912">
        <f t="shared" si="1"/>
        <v>0</v>
      </c>
    </row>
    <row r="17" customHeight="1" spans="1:10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912"/>
      <c r="H17" s="912"/>
      <c r="I17" s="912">
        <f t="shared" si="0"/>
        <v>0</v>
      </c>
      <c r="J17" s="912">
        <f t="shared" si="1"/>
        <v>0</v>
      </c>
    </row>
    <row r="18" customHeight="1" spans="1:10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912"/>
      <c r="H18" s="912"/>
      <c r="I18" s="912">
        <f t="shared" si="0"/>
        <v>0</v>
      </c>
      <c r="J18" s="912">
        <f t="shared" si="1"/>
        <v>0</v>
      </c>
    </row>
    <row r="19" customHeight="1" spans="1:10">
      <c r="A19" s="10">
        <v>12</v>
      </c>
      <c r="B19" s="18" t="s">
        <v>54</v>
      </c>
      <c r="C19" s="4" t="s">
        <v>55</v>
      </c>
      <c r="D19" s="15" t="s">
        <v>644</v>
      </c>
      <c r="E19" s="85">
        <v>428915.916666667</v>
      </c>
      <c r="F19" s="911">
        <v>329044.916666667</v>
      </c>
      <c r="G19" s="912">
        <v>5607.17708333333</v>
      </c>
      <c r="H19" s="912">
        <f t="shared" ref="H19:H22" si="3">0.025*F19</f>
        <v>8226.12291666667</v>
      </c>
      <c r="I19" s="912">
        <f t="shared" si="0"/>
        <v>2618.94583333334</v>
      </c>
      <c r="J19" s="912">
        <f t="shared" si="1"/>
        <v>98713.475</v>
      </c>
    </row>
    <row r="20" customHeight="1" spans="1:10">
      <c r="A20" s="10">
        <v>13</v>
      </c>
      <c r="B20" s="18" t="s">
        <v>57</v>
      </c>
      <c r="C20" s="4" t="s">
        <v>58</v>
      </c>
      <c r="D20" s="15" t="s">
        <v>602</v>
      </c>
      <c r="E20" s="680">
        <v>403138</v>
      </c>
      <c r="F20" s="911">
        <v>311673.25</v>
      </c>
      <c r="G20" s="912">
        <v>5967.30625</v>
      </c>
      <c r="H20" s="912">
        <f t="shared" si="3"/>
        <v>7791.83125</v>
      </c>
      <c r="I20" s="912">
        <f t="shared" si="0"/>
        <v>1824.525</v>
      </c>
      <c r="J20" s="912">
        <f t="shared" si="1"/>
        <v>93501.975</v>
      </c>
    </row>
    <row r="21" customHeight="1" spans="1:10">
      <c r="A21" s="10">
        <v>14</v>
      </c>
      <c r="B21" s="18" t="s">
        <v>60</v>
      </c>
      <c r="C21" s="4" t="s">
        <v>61</v>
      </c>
      <c r="D21" s="15" t="s">
        <v>602</v>
      </c>
      <c r="E21" s="680">
        <v>403138</v>
      </c>
      <c r="F21" s="911">
        <v>311673.25</v>
      </c>
      <c r="G21" s="912"/>
      <c r="H21" s="912"/>
      <c r="I21" s="912">
        <f t="shared" si="0"/>
        <v>0</v>
      </c>
      <c r="J21" s="912">
        <f t="shared" si="1"/>
        <v>0</v>
      </c>
    </row>
    <row r="22" customHeight="1" spans="1:10">
      <c r="A22" s="10">
        <v>15</v>
      </c>
      <c r="B22" s="11" t="s">
        <v>62</v>
      </c>
      <c r="C22" s="12" t="s">
        <v>645</v>
      </c>
      <c r="D22" s="15" t="s">
        <v>261</v>
      </c>
      <c r="E22" s="85">
        <v>402278</v>
      </c>
      <c r="F22" s="911">
        <f>'[18] FGN 2024 MGT Monthly'!$L$40</f>
        <v>311094.416666667</v>
      </c>
      <c r="G22" s="912">
        <v>5257.5625</v>
      </c>
      <c r="H22" s="912">
        <f t="shared" si="3"/>
        <v>7777.36041666667</v>
      </c>
      <c r="I22" s="912">
        <f t="shared" si="0"/>
        <v>2519.79791666667</v>
      </c>
      <c r="J22" s="912">
        <f t="shared" si="1"/>
        <v>93328.325</v>
      </c>
    </row>
    <row r="23" ht="18.75" customHeight="1" spans="1:10">
      <c r="A23" s="10">
        <v>16</v>
      </c>
      <c r="B23" s="11" t="s">
        <v>65</v>
      </c>
      <c r="C23" s="12" t="s">
        <v>178</v>
      </c>
      <c r="D23" s="15" t="s">
        <v>173</v>
      </c>
      <c r="E23" s="85">
        <v>390086.5</v>
      </c>
      <c r="F23" s="911">
        <v>302878.666666667</v>
      </c>
      <c r="G23" s="912"/>
      <c r="H23" s="912"/>
      <c r="I23" s="912">
        <f t="shared" si="0"/>
        <v>0</v>
      </c>
      <c r="J23" s="912">
        <f t="shared" si="1"/>
        <v>0</v>
      </c>
    </row>
    <row r="24" customHeight="1" spans="1:10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912"/>
      <c r="H24" s="912"/>
      <c r="I24" s="912">
        <f t="shared" si="0"/>
        <v>0</v>
      </c>
      <c r="J24" s="912">
        <f t="shared" si="1"/>
        <v>0</v>
      </c>
    </row>
    <row r="25" ht="21.6" customHeight="1" spans="1:10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912"/>
      <c r="H25" s="912"/>
      <c r="I25" s="912">
        <f t="shared" si="0"/>
        <v>0</v>
      </c>
      <c r="J25" s="912">
        <f t="shared" si="1"/>
        <v>0</v>
      </c>
    </row>
    <row r="26" customHeight="1" spans="1:10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912"/>
      <c r="H26" s="912"/>
      <c r="I26" s="912">
        <f t="shared" si="0"/>
        <v>0</v>
      </c>
      <c r="J26" s="912">
        <f t="shared" si="1"/>
        <v>0</v>
      </c>
    </row>
    <row r="27" customHeight="1" spans="1:10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912"/>
      <c r="H27" s="912"/>
      <c r="I27" s="912">
        <f t="shared" si="0"/>
        <v>0</v>
      </c>
      <c r="J27" s="912">
        <f t="shared" si="1"/>
        <v>0</v>
      </c>
    </row>
    <row r="28" ht="18.75" customHeight="1" spans="1:10">
      <c r="A28" s="10">
        <v>21</v>
      </c>
      <c r="B28" s="4" t="s">
        <v>478</v>
      </c>
      <c r="C28" s="4" t="s">
        <v>94</v>
      </c>
      <c r="D28" s="10" t="s">
        <v>156</v>
      </c>
      <c r="E28" s="85">
        <v>277798</v>
      </c>
      <c r="F28" s="911">
        <v>227615.75</v>
      </c>
      <c r="G28" s="912"/>
      <c r="H28" s="912"/>
      <c r="I28" s="912">
        <f t="shared" si="0"/>
        <v>0</v>
      </c>
      <c r="J28" s="912">
        <f t="shared" si="1"/>
        <v>0</v>
      </c>
    </row>
    <row r="29" ht="18.75" customHeight="1" spans="1:10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912"/>
      <c r="H29" s="912"/>
      <c r="I29" s="912">
        <f t="shared" si="0"/>
        <v>0</v>
      </c>
      <c r="J29" s="912">
        <f t="shared" si="1"/>
        <v>0</v>
      </c>
    </row>
    <row r="30" customHeight="1" spans="1:10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912"/>
      <c r="H30" s="912"/>
      <c r="I30" s="912">
        <f t="shared" si="0"/>
        <v>0</v>
      </c>
      <c r="J30" s="912">
        <f t="shared" si="1"/>
        <v>0</v>
      </c>
    </row>
    <row r="31" ht="18.75" customHeight="1" spans="1:10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912"/>
      <c r="H31" s="912"/>
      <c r="I31" s="912">
        <f t="shared" si="0"/>
        <v>0</v>
      </c>
      <c r="J31" s="912">
        <f t="shared" si="1"/>
        <v>0</v>
      </c>
    </row>
    <row r="32" ht="18.75" customHeight="1" spans="1:10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912"/>
      <c r="H32" s="912"/>
      <c r="I32" s="912">
        <f t="shared" si="0"/>
        <v>0</v>
      </c>
      <c r="J32" s="912">
        <f t="shared" si="1"/>
        <v>0</v>
      </c>
    </row>
    <row r="33" ht="18.75" customHeight="1" spans="1:10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912"/>
      <c r="H33" s="912"/>
      <c r="I33" s="912">
        <f t="shared" si="0"/>
        <v>0</v>
      </c>
      <c r="J33" s="912">
        <f t="shared" si="1"/>
        <v>0</v>
      </c>
    </row>
    <row r="34" ht="18.75" customHeight="1" spans="1:10">
      <c r="A34" s="10">
        <v>27</v>
      </c>
      <c r="B34" s="18" t="s">
        <v>91</v>
      </c>
      <c r="C34" s="17" t="s">
        <v>646</v>
      </c>
      <c r="D34" s="15" t="s">
        <v>156</v>
      </c>
      <c r="E34" s="85">
        <v>277798</v>
      </c>
      <c r="F34" s="911">
        <v>227615.75</v>
      </c>
      <c r="G34" s="912">
        <v>3653.5</v>
      </c>
      <c r="H34" s="912">
        <f>0.025*F34</f>
        <v>5690.39375</v>
      </c>
      <c r="I34" s="912">
        <f t="shared" si="0"/>
        <v>2036.89375</v>
      </c>
      <c r="J34" s="912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912"/>
      <c r="H35" s="912"/>
      <c r="I35" s="912">
        <f t="shared" si="0"/>
        <v>0</v>
      </c>
      <c r="J35" s="912">
        <f t="shared" si="1"/>
        <v>0</v>
      </c>
    </row>
    <row r="36" ht="18.75" customHeight="1" spans="1:10">
      <c r="A36" s="10">
        <v>29</v>
      </c>
      <c r="B36" s="18" t="s">
        <v>95</v>
      </c>
      <c r="C36" s="4" t="s">
        <v>647</v>
      </c>
      <c r="D36" s="10" t="s">
        <v>99</v>
      </c>
      <c r="E36" s="85">
        <v>263165.333333333</v>
      </c>
      <c r="F36" s="911">
        <v>217733.416666667</v>
      </c>
      <c r="G36" s="912"/>
      <c r="H36" s="912"/>
      <c r="I36" s="912">
        <f t="shared" si="0"/>
        <v>0</v>
      </c>
      <c r="J36" s="912">
        <f t="shared" si="1"/>
        <v>0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912"/>
      <c r="H37" s="912"/>
      <c r="I37" s="912">
        <f t="shared" si="0"/>
        <v>0</v>
      </c>
      <c r="J37" s="912">
        <f t="shared" si="1"/>
        <v>0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912"/>
      <c r="H38" s="912"/>
      <c r="I38" s="912">
        <f t="shared" si="0"/>
        <v>0</v>
      </c>
      <c r="J38" s="912">
        <f t="shared" si="1"/>
        <v>0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4">SUM(E8:E38)</f>
        <v>14073003.667</v>
      </c>
      <c r="F39" s="913">
        <f t="shared" si="4"/>
        <v>10664632</v>
      </c>
      <c r="G39" s="221">
        <f t="shared" si="4"/>
        <v>48931.9729166667</v>
      </c>
      <c r="H39" s="221">
        <f t="shared" si="4"/>
        <v>67587.0041666666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3"/>
      <c r="G40" s="912"/>
      <c r="H40" s="912"/>
      <c r="I40" s="912"/>
      <c r="J40" s="912"/>
    </row>
    <row r="41" ht="18.75" customHeight="1" spans="1:10">
      <c r="A41" s="10"/>
      <c r="B41" s="20" t="s">
        <v>121</v>
      </c>
      <c r="C41" s="4"/>
      <c r="D41" s="15"/>
      <c r="E41" s="85"/>
      <c r="F41" s="911"/>
      <c r="G41" s="912"/>
      <c r="H41" s="912"/>
      <c r="I41" s="912"/>
      <c r="J41" s="912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912"/>
      <c r="H42" s="912"/>
      <c r="I42" s="912">
        <f t="shared" ref="I42:I45" si="5">H42-G42</f>
        <v>0</v>
      </c>
      <c r="J42" s="912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912"/>
      <c r="H43" s="912"/>
      <c r="I43" s="912">
        <f t="shared" si="5"/>
        <v>0</v>
      </c>
      <c r="J43" s="912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912"/>
      <c r="H44" s="912"/>
      <c r="I44" s="912">
        <f t="shared" si="5"/>
        <v>0</v>
      </c>
      <c r="J44" s="912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912"/>
      <c r="H45" s="912"/>
      <c r="I45" s="912">
        <f t="shared" si="5"/>
        <v>0</v>
      </c>
      <c r="J45" s="912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3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3"/>
      <c r="G47" s="912"/>
      <c r="H47" s="912"/>
      <c r="I47" s="912"/>
      <c r="J47" s="912"/>
    </row>
    <row r="48" customHeight="1" spans="1:10">
      <c r="A48" s="10"/>
      <c r="B48" s="23" t="s">
        <v>137</v>
      </c>
      <c r="C48" s="5"/>
      <c r="D48" s="24"/>
      <c r="E48" s="221"/>
      <c r="F48" s="913"/>
      <c r="G48" s="912"/>
      <c r="H48" s="912"/>
      <c r="I48" s="912"/>
      <c r="J48" s="912"/>
    </row>
    <row r="49" customHeight="1" spans="1:10">
      <c r="A49" s="10">
        <v>1</v>
      </c>
      <c r="B49" s="11" t="s">
        <v>138</v>
      </c>
      <c r="C49" s="4" t="s">
        <v>648</v>
      </c>
      <c r="D49" s="10" t="s">
        <v>36</v>
      </c>
      <c r="E49" s="85">
        <v>762373.166666667</v>
      </c>
      <c r="F49" s="911">
        <v>554669.5</v>
      </c>
      <c r="G49" s="912"/>
      <c r="H49" s="912"/>
      <c r="I49" s="912">
        <f t="shared" ref="I49:I56" si="7">H49-G49</f>
        <v>0</v>
      </c>
      <c r="J49" s="912"/>
    </row>
    <row r="50" customHeight="1" spans="1:10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912"/>
      <c r="H50" s="912"/>
      <c r="I50" s="912">
        <f t="shared" si="7"/>
        <v>0</v>
      </c>
      <c r="J50" s="912"/>
    </row>
    <row r="51" customHeight="1" spans="1:10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912">
        <v>8380.22708333333</v>
      </c>
      <c r="H51" s="912">
        <f>0.025*F51</f>
        <v>11475.2625</v>
      </c>
      <c r="I51" s="912">
        <f t="shared" si="7"/>
        <v>3095.03541666667</v>
      </c>
      <c r="J51" s="912">
        <f>H51*12</f>
        <v>137703.15</v>
      </c>
    </row>
    <row r="52" customHeight="1" spans="1:10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912"/>
      <c r="H52" s="912"/>
      <c r="I52" s="912">
        <f t="shared" si="7"/>
        <v>0</v>
      </c>
      <c r="J52" s="912"/>
    </row>
    <row r="53" customHeight="1" spans="1:10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912"/>
      <c r="H53" s="912"/>
      <c r="I53" s="912">
        <f t="shared" si="7"/>
        <v>0</v>
      </c>
      <c r="J53" s="912"/>
    </row>
    <row r="54" customHeight="1" spans="1:10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912"/>
      <c r="H54" s="912"/>
      <c r="I54" s="912">
        <f t="shared" si="7"/>
        <v>0</v>
      </c>
      <c r="J54" s="912"/>
    </row>
    <row r="55" customHeight="1" spans="1:10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912"/>
      <c r="H55" s="912"/>
      <c r="I55" s="912">
        <f t="shared" si="7"/>
        <v>0</v>
      </c>
      <c r="J55" s="912"/>
    </row>
    <row r="56" customHeight="1" spans="1:10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912"/>
      <c r="H56" s="912"/>
      <c r="I56" s="912">
        <f t="shared" si="7"/>
        <v>0</v>
      </c>
      <c r="J56" s="912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8">SUM(E49:E56)</f>
        <v>4037104.08333333</v>
      </c>
      <c r="F57" s="915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56"/>
      <c r="F58" s="916"/>
      <c r="G58" s="912"/>
      <c r="H58" s="912"/>
      <c r="I58" s="912"/>
      <c r="J58" s="912"/>
    </row>
    <row r="59" customHeight="1" spans="1:10">
      <c r="A59" s="10"/>
      <c r="B59" s="20" t="s">
        <v>159</v>
      </c>
      <c r="C59" s="21"/>
      <c r="D59" s="21"/>
      <c r="E59" s="156"/>
      <c r="F59" s="916"/>
      <c r="G59" s="912"/>
      <c r="H59" s="912"/>
      <c r="I59" s="912"/>
      <c r="J59" s="912"/>
    </row>
    <row r="60" customHeight="1" spans="1:10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912"/>
      <c r="H60" s="912"/>
      <c r="I60" s="912">
        <f t="shared" ref="I60:I71" si="9">H60-G60</f>
        <v>0</v>
      </c>
      <c r="J60" s="912"/>
    </row>
    <row r="61" customHeight="1" spans="1:10">
      <c r="A61" s="10">
        <v>2</v>
      </c>
      <c r="B61" s="11" t="s">
        <v>162</v>
      </c>
      <c r="C61" s="12" t="s">
        <v>485</v>
      </c>
      <c r="D61" s="15" t="s">
        <v>486</v>
      </c>
      <c r="E61" s="85">
        <v>620675.583333333</v>
      </c>
      <c r="F61" s="911">
        <v>459010.5</v>
      </c>
      <c r="G61" s="912"/>
      <c r="H61" s="912"/>
      <c r="I61" s="912">
        <f t="shared" si="9"/>
        <v>0</v>
      </c>
      <c r="J61" s="912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0">SUM(E60:E61)</f>
        <v>2056395.58333333</v>
      </c>
      <c r="F62" s="915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56"/>
      <c r="F63" s="916"/>
      <c r="G63" s="912"/>
      <c r="H63" s="912"/>
      <c r="I63" s="912"/>
      <c r="J63" s="912"/>
    </row>
    <row r="64" customHeight="1" spans="1:10">
      <c r="A64" s="10"/>
      <c r="B64" s="20" t="s">
        <v>164</v>
      </c>
      <c r="C64" s="21"/>
      <c r="D64" s="21"/>
      <c r="E64" s="156"/>
      <c r="F64" s="916"/>
      <c r="G64" s="912"/>
      <c r="H64" s="912"/>
      <c r="I64" s="912"/>
      <c r="J64" s="912"/>
    </row>
    <row r="65" customHeight="1" spans="1:10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912">
        <v>10293.3979166667</v>
      </c>
      <c r="H65" s="912">
        <f>0.025*F65</f>
        <v>13866.7375</v>
      </c>
      <c r="I65" s="912">
        <f t="shared" si="9"/>
        <v>3573.3395833333</v>
      </c>
      <c r="J65" s="912">
        <f>H65*12</f>
        <v>166400.85</v>
      </c>
    </row>
    <row r="66" customHeight="1" spans="1:10">
      <c r="A66" s="10">
        <v>2</v>
      </c>
      <c r="B66" s="11" t="s">
        <v>167</v>
      </c>
      <c r="C66" s="4" t="s">
        <v>52</v>
      </c>
      <c r="D66" s="10" t="s">
        <v>214</v>
      </c>
      <c r="E66" s="85">
        <v>456622.25</v>
      </c>
      <c r="F66" s="911">
        <v>347715.916666667</v>
      </c>
      <c r="G66" s="912"/>
      <c r="H66" s="912"/>
      <c r="I66" s="912">
        <f t="shared" si="9"/>
        <v>0</v>
      </c>
      <c r="J66" s="912"/>
    </row>
    <row r="67" customHeight="1" spans="1:10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912"/>
      <c r="H67" s="912"/>
      <c r="I67" s="912">
        <f t="shared" si="9"/>
        <v>0</v>
      </c>
      <c r="J67" s="912"/>
    </row>
    <row r="68" customHeight="1" spans="1:10">
      <c r="A68" s="10">
        <v>4</v>
      </c>
      <c r="B68" s="11" t="s">
        <v>172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912"/>
      <c r="H68" s="912"/>
      <c r="I68" s="912">
        <f t="shared" si="9"/>
        <v>0</v>
      </c>
      <c r="J68" s="912"/>
    </row>
    <row r="69" customHeight="1" spans="1:10">
      <c r="A69" s="10">
        <v>5</v>
      </c>
      <c r="B69" s="11" t="s">
        <v>174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912"/>
      <c r="H69" s="912"/>
      <c r="I69" s="912">
        <f t="shared" si="9"/>
        <v>0</v>
      </c>
      <c r="J69" s="912"/>
    </row>
    <row r="70" customHeight="1" spans="1:10">
      <c r="A70" s="10">
        <v>6</v>
      </c>
      <c r="B70" s="11" t="s">
        <v>175</v>
      </c>
      <c r="C70" s="4" t="s">
        <v>649</v>
      </c>
      <c r="D70" s="10" t="s">
        <v>173</v>
      </c>
      <c r="E70" s="457">
        <v>390086.5</v>
      </c>
      <c r="F70" s="911">
        <v>302878.666666667</v>
      </c>
      <c r="G70" s="912"/>
      <c r="H70" s="912"/>
      <c r="I70" s="912">
        <f t="shared" si="9"/>
        <v>0</v>
      </c>
      <c r="J70" s="912"/>
    </row>
    <row r="71" ht="21.6" customHeight="1" spans="1:10">
      <c r="A71" s="10">
        <v>7</v>
      </c>
      <c r="B71" s="11" t="s">
        <v>179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912"/>
      <c r="H71" s="912"/>
      <c r="I71" s="912">
        <f t="shared" si="9"/>
        <v>0</v>
      </c>
      <c r="J71" s="912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1">SUM(E65:E71)</f>
        <v>3051668.91666667</v>
      </c>
      <c r="F72" s="915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56"/>
      <c r="F73" s="916"/>
      <c r="G73" s="912"/>
      <c r="H73" s="912"/>
      <c r="I73" s="912"/>
      <c r="J73" s="912"/>
    </row>
    <row r="74" customHeight="1" spans="1:10">
      <c r="A74" s="10"/>
      <c r="B74" s="20" t="s">
        <v>183</v>
      </c>
      <c r="C74" s="21"/>
      <c r="D74" s="21"/>
      <c r="E74" s="156"/>
      <c r="F74" s="916"/>
      <c r="G74" s="912"/>
      <c r="H74" s="912"/>
      <c r="I74" s="912"/>
      <c r="J74" s="912"/>
    </row>
    <row r="75" customHeight="1" spans="1:10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911">
        <v>1086777.08333333</v>
      </c>
      <c r="G75" s="912"/>
      <c r="H75" s="912"/>
      <c r="I75" s="912">
        <f t="shared" ref="I75:I80" si="12">H75-G75</f>
        <v>0</v>
      </c>
      <c r="J75" s="912"/>
    </row>
    <row r="76" customHeight="1" spans="1:10">
      <c r="A76" s="10">
        <v>2</v>
      </c>
      <c r="B76" s="11" t="s">
        <v>188</v>
      </c>
      <c r="C76" s="4" t="s">
        <v>189</v>
      </c>
      <c r="D76" s="10" t="s">
        <v>42</v>
      </c>
      <c r="E76" s="85">
        <v>582118.083333333</v>
      </c>
      <c r="F76" s="911">
        <v>445995.833333333</v>
      </c>
      <c r="G76" s="912"/>
      <c r="H76" s="912"/>
      <c r="I76" s="912">
        <f t="shared" si="12"/>
        <v>0</v>
      </c>
      <c r="J76" s="912"/>
    </row>
    <row r="77" customHeight="1" spans="1:10">
      <c r="A77" s="10">
        <v>3</v>
      </c>
      <c r="B77" s="11" t="s">
        <v>190</v>
      </c>
      <c r="C77" s="4" t="s">
        <v>191</v>
      </c>
      <c r="D77" s="15" t="s">
        <v>47</v>
      </c>
      <c r="E77" s="85">
        <v>470498</v>
      </c>
      <c r="F77" s="911">
        <v>357066.666666667</v>
      </c>
      <c r="G77" s="912">
        <v>6154.32291666667</v>
      </c>
      <c r="H77" s="912">
        <f>0.025*F77</f>
        <v>8926.66666666668</v>
      </c>
      <c r="I77" s="912">
        <f t="shared" si="12"/>
        <v>2772.34375000001</v>
      </c>
      <c r="J77" s="912">
        <f>H77*12</f>
        <v>107120</v>
      </c>
    </row>
    <row r="78" customHeight="1" spans="1:10">
      <c r="A78" s="10">
        <v>4</v>
      </c>
      <c r="B78" s="11" t="s">
        <v>197</v>
      </c>
      <c r="C78" s="4" t="s">
        <v>198</v>
      </c>
      <c r="D78" s="10" t="s">
        <v>131</v>
      </c>
      <c r="E78" s="85">
        <v>365703.833333333</v>
      </c>
      <c r="F78" s="911">
        <v>286447.083333333</v>
      </c>
      <c r="G78" s="912"/>
      <c r="H78" s="912"/>
      <c r="I78" s="912">
        <f t="shared" si="12"/>
        <v>0</v>
      </c>
      <c r="J78" s="912"/>
    </row>
    <row r="79" customHeight="1" spans="1:10">
      <c r="A79" s="10">
        <v>5</v>
      </c>
      <c r="B79" s="11" t="s">
        <v>201</v>
      </c>
      <c r="C79" s="4" t="s">
        <v>182</v>
      </c>
      <c r="D79" s="10" t="s">
        <v>99</v>
      </c>
      <c r="E79" s="85">
        <v>263165.333333333</v>
      </c>
      <c r="F79" s="911">
        <v>222674.583333333</v>
      </c>
      <c r="G79" s="912"/>
      <c r="H79" s="912"/>
      <c r="I79" s="912">
        <f t="shared" si="12"/>
        <v>0</v>
      </c>
      <c r="J79" s="912"/>
    </row>
    <row r="80" customHeight="1" spans="1:10">
      <c r="A80" s="10">
        <v>6</v>
      </c>
      <c r="B80" s="11" t="s">
        <v>203</v>
      </c>
      <c r="C80" s="4" t="s">
        <v>204</v>
      </c>
      <c r="D80" s="10" t="s">
        <v>108</v>
      </c>
      <c r="E80" s="85">
        <v>230631.916666667</v>
      </c>
      <c r="F80" s="911">
        <v>196364.416666667</v>
      </c>
      <c r="G80" s="912"/>
      <c r="H80" s="912"/>
      <c r="I80" s="912">
        <f t="shared" si="12"/>
        <v>0</v>
      </c>
      <c r="J80" s="912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3">SUM(E75:E80)</f>
        <v>3347837.16666667</v>
      </c>
      <c r="F81" s="915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56"/>
      <c r="F82" s="916"/>
      <c r="G82" s="912"/>
      <c r="H82" s="912"/>
      <c r="I82" s="912"/>
      <c r="J82" s="912"/>
    </row>
    <row r="83" customHeight="1" spans="1:10">
      <c r="A83" s="10"/>
      <c r="B83" s="20" t="s">
        <v>205</v>
      </c>
      <c r="C83" s="25"/>
      <c r="D83" s="21"/>
      <c r="E83" s="156"/>
      <c r="F83" s="916"/>
      <c r="G83" s="912"/>
      <c r="H83" s="912"/>
      <c r="I83" s="912"/>
      <c r="J83" s="912"/>
    </row>
    <row r="84" customHeight="1" spans="1:10">
      <c r="A84" s="10">
        <v>1</v>
      </c>
      <c r="B84" s="11" t="s">
        <v>206</v>
      </c>
      <c r="C84" s="4" t="s">
        <v>145</v>
      </c>
      <c r="D84" s="10" t="s">
        <v>304</v>
      </c>
      <c r="E84" s="85">
        <f>'[3]Annual &amp; Monthly'!$H$44</f>
        <v>1352042.66666667</v>
      </c>
      <c r="F84" s="911">
        <v>1025768.33333333</v>
      </c>
      <c r="G84" s="912">
        <v>18254.975</v>
      </c>
      <c r="H84" s="912">
        <f>0.025*F84</f>
        <v>25644.2083333333</v>
      </c>
      <c r="I84" s="912">
        <f t="shared" ref="I84:I93" si="14">H84-G84</f>
        <v>7389.23333333325</v>
      </c>
      <c r="J84" s="912">
        <f>H84*12</f>
        <v>307730.499999999</v>
      </c>
    </row>
    <row r="85" customHeight="1" spans="1:10">
      <c r="A85" s="10">
        <v>2</v>
      </c>
      <c r="B85" s="11" t="s">
        <v>208</v>
      </c>
      <c r="C85" s="4" t="s">
        <v>209</v>
      </c>
      <c r="D85" s="10" t="s">
        <v>143</v>
      </c>
      <c r="E85" s="85">
        <v>716034</v>
      </c>
      <c r="F85" s="911">
        <v>523386.5</v>
      </c>
      <c r="G85" s="912"/>
      <c r="H85" s="912"/>
      <c r="I85" s="912">
        <f t="shared" si="14"/>
        <v>0</v>
      </c>
      <c r="J85" s="912"/>
    </row>
    <row r="86" customHeight="1" spans="1:10">
      <c r="A86" s="10">
        <v>3</v>
      </c>
      <c r="B86" s="11" t="s">
        <v>479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912"/>
      <c r="H86" s="912"/>
      <c r="I86" s="912">
        <f t="shared" si="14"/>
        <v>0</v>
      </c>
      <c r="J86" s="912"/>
    </row>
    <row r="87" ht="21.6" customHeight="1" spans="1:10">
      <c r="A87" s="10">
        <v>4</v>
      </c>
      <c r="B87" s="11" t="s">
        <v>211</v>
      </c>
      <c r="C87" s="4" t="s">
        <v>52</v>
      </c>
      <c r="D87" s="15" t="s">
        <v>214</v>
      </c>
      <c r="E87" s="85">
        <v>456622.25</v>
      </c>
      <c r="F87" s="911">
        <v>442746.5</v>
      </c>
      <c r="G87" s="912"/>
      <c r="H87" s="912"/>
      <c r="I87" s="912">
        <f t="shared" si="14"/>
        <v>0</v>
      </c>
      <c r="J87" s="912"/>
    </row>
    <row r="88" ht="21.6" customHeight="1" spans="1:10">
      <c r="A88" s="10">
        <v>5</v>
      </c>
      <c r="B88" s="11" t="s">
        <v>212</v>
      </c>
      <c r="C88" s="4" t="s">
        <v>52</v>
      </c>
      <c r="D88" s="15" t="s">
        <v>214</v>
      </c>
      <c r="E88" s="85">
        <v>456622.25</v>
      </c>
      <c r="F88" s="911">
        <v>442746.5</v>
      </c>
      <c r="G88" s="912"/>
      <c r="H88" s="912"/>
      <c r="I88" s="912">
        <f t="shared" si="14"/>
        <v>0</v>
      </c>
      <c r="J88" s="912"/>
    </row>
    <row r="89" ht="21.6" customHeight="1" spans="1:10">
      <c r="A89" s="10">
        <v>6</v>
      </c>
      <c r="B89" s="11" t="s">
        <v>213</v>
      </c>
      <c r="C89" s="12" t="s">
        <v>52</v>
      </c>
      <c r="D89" s="15" t="s">
        <v>53</v>
      </c>
      <c r="E89" s="85">
        <v>442746.5</v>
      </c>
      <c r="F89" s="911">
        <v>428870.75</v>
      </c>
      <c r="G89" s="912"/>
      <c r="H89" s="912"/>
      <c r="I89" s="912">
        <f t="shared" si="14"/>
        <v>0</v>
      </c>
      <c r="J89" s="912"/>
    </row>
    <row r="90" ht="21.6" customHeight="1" spans="1:10">
      <c r="A90" s="10">
        <v>7</v>
      </c>
      <c r="B90" s="11" t="s">
        <v>215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912"/>
      <c r="H90" s="912"/>
      <c r="I90" s="912">
        <f t="shared" si="14"/>
        <v>0</v>
      </c>
      <c r="J90" s="912"/>
    </row>
    <row r="91" ht="21.6" customHeight="1" spans="1:10">
      <c r="A91" s="10">
        <v>8</v>
      </c>
      <c r="B91" s="11" t="s">
        <v>216</v>
      </c>
      <c r="C91" s="17" t="s">
        <v>217</v>
      </c>
      <c r="D91" s="15" t="s">
        <v>64</v>
      </c>
      <c r="E91" s="85">
        <v>403137.916666667</v>
      </c>
      <c r="F91" s="911">
        <v>311673.25</v>
      </c>
      <c r="G91" s="912">
        <v>5259.74375</v>
      </c>
      <c r="H91" s="912">
        <f>0.025*F91</f>
        <v>7791.83125</v>
      </c>
      <c r="I91" s="912">
        <f t="shared" si="14"/>
        <v>2532.0875</v>
      </c>
      <c r="J91" s="912">
        <f>H91*12</f>
        <v>93501.975</v>
      </c>
    </row>
    <row r="92" ht="21.6" customHeight="1" spans="1:10">
      <c r="A92" s="10">
        <v>9</v>
      </c>
      <c r="B92" s="11" t="s">
        <v>220</v>
      </c>
      <c r="C92" s="4" t="s">
        <v>221</v>
      </c>
      <c r="D92" s="10" t="s">
        <v>78</v>
      </c>
      <c r="E92" s="220">
        <v>308901.5</v>
      </c>
      <c r="F92" s="911">
        <v>246171.166666667</v>
      </c>
      <c r="G92" s="912"/>
      <c r="H92" s="912"/>
      <c r="I92" s="912">
        <f t="shared" si="14"/>
        <v>0</v>
      </c>
      <c r="J92" s="912"/>
    </row>
    <row r="93" ht="21.6" customHeight="1" spans="1:10">
      <c r="A93" s="10">
        <v>10</v>
      </c>
      <c r="B93" s="11" t="s">
        <v>224</v>
      </c>
      <c r="C93" s="17" t="s">
        <v>505</v>
      </c>
      <c r="D93" s="15" t="s">
        <v>105</v>
      </c>
      <c r="E93" s="220">
        <v>236804.083333333</v>
      </c>
      <c r="F93" s="911">
        <v>200549.416666667</v>
      </c>
      <c r="G93" s="912"/>
      <c r="H93" s="912"/>
      <c r="I93" s="912">
        <f t="shared" si="14"/>
        <v>0</v>
      </c>
      <c r="J93" s="912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15">SUM(E84:E93)</f>
        <v>5352203.16666667</v>
      </c>
      <c r="F94" s="915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56"/>
      <c r="F95" s="916"/>
      <c r="G95" s="912"/>
      <c r="H95" s="912"/>
      <c r="I95" s="912"/>
      <c r="J95" s="912"/>
    </row>
    <row r="96" customHeight="1" spans="1:10">
      <c r="A96" s="10"/>
      <c r="B96" s="20" t="s">
        <v>226</v>
      </c>
      <c r="C96" s="21"/>
      <c r="D96" s="21"/>
      <c r="E96" s="156"/>
      <c r="F96" s="916"/>
      <c r="G96" s="912"/>
      <c r="H96" s="912"/>
      <c r="I96" s="912"/>
      <c r="J96" s="912"/>
    </row>
    <row r="97" customHeight="1" spans="1:10">
      <c r="A97" s="10">
        <v>1</v>
      </c>
      <c r="B97" s="14" t="s">
        <v>227</v>
      </c>
      <c r="C97" s="4" t="s">
        <v>650</v>
      </c>
      <c r="D97" s="16" t="s">
        <v>140</v>
      </c>
      <c r="E97" s="85">
        <v>1393881.33333333</v>
      </c>
      <c r="F97" s="911">
        <v>1056272.83333333</v>
      </c>
      <c r="G97" s="912">
        <v>18254.975</v>
      </c>
      <c r="H97" s="912">
        <f>0.025*F97</f>
        <v>26406.8208333333</v>
      </c>
      <c r="I97" s="912">
        <f t="shared" ref="I97:I101" si="16">H97-G97</f>
        <v>8151.84583333325</v>
      </c>
      <c r="J97" s="912">
        <f t="shared" ref="J97:J101" si="17">H97*12</f>
        <v>316881.849999999</v>
      </c>
    </row>
    <row r="98" customHeight="1" spans="1:10">
      <c r="A98" s="10">
        <v>2</v>
      </c>
      <c r="B98" s="11" t="s">
        <v>229</v>
      </c>
      <c r="C98" s="4" t="s">
        <v>230</v>
      </c>
      <c r="D98" s="15" t="s">
        <v>47</v>
      </c>
      <c r="E98" s="85">
        <v>470498</v>
      </c>
      <c r="F98" s="911">
        <v>357066.666666667</v>
      </c>
      <c r="G98" s="912"/>
      <c r="H98" s="912"/>
      <c r="I98" s="912">
        <f t="shared" si="16"/>
        <v>0</v>
      </c>
      <c r="J98" s="912">
        <f t="shared" si="17"/>
        <v>0</v>
      </c>
    </row>
    <row r="99" customHeight="1" spans="1:10">
      <c r="A99" s="10">
        <v>3</v>
      </c>
      <c r="B99" s="11" t="s">
        <v>231</v>
      </c>
      <c r="C99" s="12" t="s">
        <v>232</v>
      </c>
      <c r="D99" s="15" t="s">
        <v>64</v>
      </c>
      <c r="E99" s="85">
        <v>403137.916666667</v>
      </c>
      <c r="F99" s="911">
        <v>311673.25</v>
      </c>
      <c r="G99" s="912">
        <v>5967.30625</v>
      </c>
      <c r="H99" s="912">
        <f>0.025*F99</f>
        <v>7791.83125</v>
      </c>
      <c r="I99" s="912">
        <f t="shared" si="16"/>
        <v>1824.525</v>
      </c>
      <c r="J99" s="912">
        <f t="shared" si="17"/>
        <v>93501.975</v>
      </c>
    </row>
    <row r="100" customHeight="1" spans="1:10">
      <c r="A100" s="10">
        <v>4</v>
      </c>
      <c r="B100" s="11" t="s">
        <v>235</v>
      </c>
      <c r="C100" s="4" t="s">
        <v>651</v>
      </c>
      <c r="D100" s="15" t="s">
        <v>173</v>
      </c>
      <c r="E100" s="85">
        <v>390086.5</v>
      </c>
      <c r="F100" s="911">
        <v>302878.666666667</v>
      </c>
      <c r="G100" s="912"/>
      <c r="H100" s="912"/>
      <c r="I100" s="912">
        <f t="shared" si="16"/>
        <v>0</v>
      </c>
      <c r="J100" s="912">
        <f t="shared" si="17"/>
        <v>0</v>
      </c>
    </row>
    <row r="101" customHeight="1" spans="1:10">
      <c r="A101" s="10">
        <v>5</v>
      </c>
      <c r="B101" s="11" t="s">
        <v>236</v>
      </c>
      <c r="C101" s="4" t="s">
        <v>200</v>
      </c>
      <c r="D101" s="15" t="s">
        <v>78</v>
      </c>
      <c r="E101" s="220">
        <v>308901.5</v>
      </c>
      <c r="F101" s="911">
        <v>246171.166666667</v>
      </c>
      <c r="G101" s="912"/>
      <c r="H101" s="912"/>
      <c r="I101" s="912">
        <f t="shared" si="16"/>
        <v>0</v>
      </c>
      <c r="J101" s="912">
        <f t="shared" si="17"/>
        <v>0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18">SUM(E97:E101)</f>
        <v>2966505.25</v>
      </c>
      <c r="F102" s="915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56"/>
      <c r="F103" s="916"/>
      <c r="G103" s="912"/>
      <c r="H103" s="912"/>
      <c r="I103" s="912"/>
      <c r="J103" s="912"/>
    </row>
    <row r="104" customHeight="1" spans="1:10">
      <c r="A104" s="4"/>
      <c r="B104" s="20" t="s">
        <v>239</v>
      </c>
      <c r="C104" s="4"/>
      <c r="D104" s="4"/>
      <c r="E104" s="4"/>
      <c r="F104" s="917"/>
      <c r="G104" s="912"/>
      <c r="H104" s="912"/>
      <c r="I104" s="912"/>
      <c r="J104" s="912"/>
    </row>
    <row r="105" customHeight="1" spans="1:10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911">
        <v>1086777.08333333</v>
      </c>
      <c r="G105" s="912">
        <v>0</v>
      </c>
      <c r="H105" s="912"/>
      <c r="I105" s="912">
        <f t="shared" ref="I105:I111" si="19">H105-G105</f>
        <v>0</v>
      </c>
      <c r="J105" s="912"/>
    </row>
    <row r="106" customHeight="1" spans="1:10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911">
        <v>554669.5</v>
      </c>
      <c r="G106" s="912">
        <v>10293.3979166667</v>
      </c>
      <c r="H106" s="912">
        <f>0.025*F106</f>
        <v>13866.7375</v>
      </c>
      <c r="I106" s="912">
        <f t="shared" si="19"/>
        <v>3573.3395833333</v>
      </c>
      <c r="J106" s="912">
        <f>H106*12</f>
        <v>166400.85</v>
      </c>
    </row>
    <row r="107" customHeight="1" spans="1:10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911">
        <v>337730.833333333</v>
      </c>
      <c r="G107" s="912">
        <v>5954.61041666667</v>
      </c>
      <c r="H107" s="912">
        <f>0.025*F107</f>
        <v>8443.27083333333</v>
      </c>
      <c r="I107" s="912">
        <f t="shared" si="19"/>
        <v>2488.66041666666</v>
      </c>
      <c r="J107" s="912">
        <f>H107*12</f>
        <v>101319.25</v>
      </c>
    </row>
    <row r="108" customHeight="1" spans="1:10">
      <c r="A108" s="4">
        <v>4</v>
      </c>
      <c r="B108" s="11" t="s">
        <v>246</v>
      </c>
      <c r="C108" s="4" t="s">
        <v>653</v>
      </c>
      <c r="D108" s="10" t="s">
        <v>56</v>
      </c>
      <c r="E108" s="85">
        <v>441804.916666667</v>
      </c>
      <c r="F108" s="911">
        <v>337730.833333333</v>
      </c>
      <c r="G108" s="912"/>
      <c r="H108" s="912"/>
      <c r="I108" s="912">
        <f t="shared" si="19"/>
        <v>0</v>
      </c>
      <c r="J108" s="912"/>
    </row>
    <row r="109" customHeight="1" spans="1:10">
      <c r="A109" s="4">
        <v>5</v>
      </c>
      <c r="B109" s="11" t="s">
        <v>249</v>
      </c>
      <c r="C109" s="4" t="s">
        <v>250</v>
      </c>
      <c r="D109" s="15" t="s">
        <v>603</v>
      </c>
      <c r="E109" s="220">
        <v>255320.583333333</v>
      </c>
      <c r="F109" s="911">
        <v>213104.416666667</v>
      </c>
      <c r="G109" s="912"/>
      <c r="H109" s="912"/>
      <c r="I109" s="912">
        <f t="shared" si="19"/>
        <v>0</v>
      </c>
      <c r="J109" s="912"/>
    </row>
    <row r="110" customHeight="1" spans="1:10">
      <c r="A110" s="4">
        <v>6</v>
      </c>
      <c r="B110" s="18" t="s">
        <v>252</v>
      </c>
      <c r="C110" s="4" t="s">
        <v>250</v>
      </c>
      <c r="D110" s="10" t="s">
        <v>225</v>
      </c>
      <c r="E110" s="220">
        <v>255849</v>
      </c>
      <c r="F110" s="911">
        <v>212792.166666667</v>
      </c>
      <c r="G110" s="912"/>
      <c r="H110" s="912"/>
      <c r="I110" s="912">
        <f t="shared" si="19"/>
        <v>0</v>
      </c>
      <c r="J110" s="912"/>
    </row>
    <row r="111" customHeight="1" spans="1:10">
      <c r="A111" s="4">
        <v>7</v>
      </c>
      <c r="B111" s="18" t="s">
        <v>253</v>
      </c>
      <c r="C111" s="4" t="s">
        <v>250</v>
      </c>
      <c r="D111" s="15" t="s">
        <v>105</v>
      </c>
      <c r="E111" s="220">
        <v>236804.083333333</v>
      </c>
      <c r="F111" s="911">
        <v>200549.416666667</v>
      </c>
      <c r="G111" s="912"/>
      <c r="H111" s="912"/>
      <c r="I111" s="912">
        <f t="shared" si="19"/>
        <v>0</v>
      </c>
      <c r="J111" s="912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2"/>
      <c r="H113" s="912"/>
      <c r="I113" s="912"/>
      <c r="J113" s="912"/>
    </row>
    <row r="114" customHeight="1" spans="1:10">
      <c r="A114" s="10"/>
      <c r="B114" s="20" t="s">
        <v>257</v>
      </c>
      <c r="C114" s="21"/>
      <c r="D114" s="21"/>
      <c r="E114" s="156"/>
      <c r="F114" s="916"/>
      <c r="G114" s="912"/>
      <c r="H114" s="912"/>
      <c r="I114" s="912"/>
      <c r="J114" s="912"/>
    </row>
    <row r="115" ht="18.75" customHeight="1" spans="1:10">
      <c r="A115" s="10">
        <v>1</v>
      </c>
      <c r="B115" s="11" t="s">
        <v>259</v>
      </c>
      <c r="C115" s="4" t="s">
        <v>260</v>
      </c>
      <c r="D115" s="15" t="s">
        <v>173</v>
      </c>
      <c r="E115" s="85">
        <v>390086.5</v>
      </c>
      <c r="F115" s="911">
        <v>302878.666666667</v>
      </c>
      <c r="G115" s="912"/>
      <c r="H115" s="912"/>
      <c r="I115" s="912">
        <f t="shared" ref="I115:I117" si="21">H115-G115</f>
        <v>0</v>
      </c>
      <c r="J115" s="912"/>
    </row>
    <row r="116" ht="18.75" customHeight="1" spans="1:10">
      <c r="A116" s="10">
        <v>2</v>
      </c>
      <c r="B116" s="11" t="s">
        <v>480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912"/>
      <c r="H116" s="912"/>
      <c r="I116" s="912">
        <f t="shared" si="21"/>
        <v>0</v>
      </c>
      <c r="J116" s="912"/>
    </row>
    <row r="117" customHeight="1" spans="1:10">
      <c r="A117" s="10">
        <v>3</v>
      </c>
      <c r="B117" s="11" t="s">
        <v>193</v>
      </c>
      <c r="C117" s="12" t="s">
        <v>194</v>
      </c>
      <c r="D117" s="15" t="s">
        <v>67</v>
      </c>
      <c r="E117" s="85">
        <v>390248.916666667</v>
      </c>
      <c r="F117" s="911">
        <v>302987.416666667</v>
      </c>
      <c r="G117" s="912">
        <v>5967.30625</v>
      </c>
      <c r="H117" s="912">
        <f>0.025*F117</f>
        <v>7574.68541666667</v>
      </c>
      <c r="I117" s="912">
        <f t="shared" si="21"/>
        <v>1607.37916666667</v>
      </c>
      <c r="J117" s="912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22">SUM(E115:E117)</f>
        <v>1158230.58333333</v>
      </c>
      <c r="F118" s="915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5"/>
      <c r="G119" s="912"/>
      <c r="H119" s="912"/>
      <c r="I119" s="912"/>
      <c r="J119" s="912"/>
    </row>
    <row r="120" ht="24.75" customHeight="1" spans="1:10">
      <c r="A120" s="10"/>
      <c r="B120" s="20" t="s">
        <v>268</v>
      </c>
      <c r="C120" s="21"/>
      <c r="D120" s="21"/>
      <c r="E120" s="156"/>
      <c r="F120" s="916"/>
      <c r="G120" s="912"/>
      <c r="H120" s="912"/>
      <c r="I120" s="912"/>
      <c r="J120" s="912"/>
    </row>
    <row r="121" ht="24.75" customHeight="1" spans="1:10">
      <c r="A121" s="10">
        <v>2</v>
      </c>
      <c r="B121" s="11" t="s">
        <v>271</v>
      </c>
      <c r="C121" s="4" t="s">
        <v>272</v>
      </c>
      <c r="D121" s="10" t="s">
        <v>275</v>
      </c>
      <c r="E121" s="85">
        <v>218287.583333333</v>
      </c>
      <c r="F121" s="911">
        <v>187994.416666667</v>
      </c>
      <c r="G121" s="912"/>
      <c r="H121" s="912"/>
      <c r="I121" s="912">
        <f t="shared" ref="I121:I135" si="23">H121-G121</f>
        <v>0</v>
      </c>
      <c r="J121" s="912"/>
    </row>
    <row r="122" ht="24.75" customHeight="1" spans="1:10">
      <c r="A122" s="10">
        <v>3</v>
      </c>
      <c r="B122" s="11" t="s">
        <v>276</v>
      </c>
      <c r="C122" s="4" t="s">
        <v>277</v>
      </c>
      <c r="D122" s="10" t="s">
        <v>275</v>
      </c>
      <c r="E122" s="85">
        <v>218287.583333333</v>
      </c>
      <c r="F122" s="911">
        <v>187994.416666667</v>
      </c>
      <c r="G122" s="912"/>
      <c r="H122" s="912"/>
      <c r="I122" s="912">
        <f t="shared" si="23"/>
        <v>0</v>
      </c>
      <c r="J122" s="912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24">SUM(E121:E122)</f>
        <v>436575.166666666</v>
      </c>
      <c r="F123" s="915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5"/>
      <c r="G124" s="912"/>
      <c r="H124" s="912"/>
      <c r="I124" s="912"/>
      <c r="J124" s="912"/>
    </row>
    <row r="125" customHeight="1" spans="1:10">
      <c r="A125" s="4"/>
      <c r="B125" s="20" t="s">
        <v>278</v>
      </c>
      <c r="C125" s="21"/>
      <c r="D125" s="21"/>
      <c r="E125" s="156"/>
      <c r="F125" s="916"/>
      <c r="G125" s="912"/>
      <c r="H125" s="912"/>
      <c r="I125" s="912"/>
      <c r="J125" s="912"/>
    </row>
    <row r="126" customHeight="1" spans="1:10">
      <c r="A126" s="4">
        <v>1</v>
      </c>
      <c r="B126" s="11" t="s">
        <v>279</v>
      </c>
      <c r="C126" s="12" t="s">
        <v>280</v>
      </c>
      <c r="D126" s="15" t="s">
        <v>124</v>
      </c>
      <c r="E126" s="85">
        <v>1435720</v>
      </c>
      <c r="F126" s="911">
        <v>1086777.08333333</v>
      </c>
      <c r="G126" s="912">
        <v>19384.7666666667</v>
      </c>
      <c r="H126" s="912">
        <f t="shared" ref="H126:H128" si="25">0.025*F126</f>
        <v>27169.4270833333</v>
      </c>
      <c r="I126" s="912">
        <f t="shared" si="23"/>
        <v>7784.66041666655</v>
      </c>
      <c r="J126" s="912">
        <f t="shared" ref="J126:J135" si="26">H126*12</f>
        <v>326033.124999999</v>
      </c>
    </row>
    <row r="127" customHeight="1" spans="1:10">
      <c r="A127" s="4">
        <v>2</v>
      </c>
      <c r="B127" s="11" t="s">
        <v>281</v>
      </c>
      <c r="C127" s="12" t="s">
        <v>654</v>
      </c>
      <c r="D127" s="15" t="s">
        <v>36</v>
      </c>
      <c r="E127" s="85">
        <v>762373.166666667</v>
      </c>
      <c r="F127" s="911">
        <v>554669.5</v>
      </c>
      <c r="G127" s="912">
        <v>9980.56666666667</v>
      </c>
      <c r="H127" s="912">
        <f t="shared" si="25"/>
        <v>13866.7375</v>
      </c>
      <c r="I127" s="912">
        <f t="shared" si="23"/>
        <v>3886.17083333333</v>
      </c>
      <c r="J127" s="912">
        <f t="shared" si="26"/>
        <v>166400.85</v>
      </c>
    </row>
    <row r="128" customHeight="1" spans="1:10">
      <c r="A128" s="4">
        <v>3</v>
      </c>
      <c r="B128" s="14" t="s">
        <v>283</v>
      </c>
      <c r="C128" s="12" t="s">
        <v>655</v>
      </c>
      <c r="D128" s="15" t="s">
        <v>143</v>
      </c>
      <c r="E128" s="85">
        <v>716034</v>
      </c>
      <c r="F128" s="911">
        <v>523386.5</v>
      </c>
      <c r="G128" s="912">
        <v>9980.56666666667</v>
      </c>
      <c r="H128" s="912">
        <f t="shared" si="25"/>
        <v>13084.6625</v>
      </c>
      <c r="I128" s="912">
        <f t="shared" si="23"/>
        <v>3104.09583333333</v>
      </c>
      <c r="J128" s="912">
        <f t="shared" si="26"/>
        <v>157015.95</v>
      </c>
    </row>
    <row r="129" customHeight="1" spans="1:10">
      <c r="A129" s="4">
        <v>4</v>
      </c>
      <c r="B129" s="11" t="s">
        <v>286</v>
      </c>
      <c r="C129" s="12" t="s">
        <v>288</v>
      </c>
      <c r="D129" s="15" t="s">
        <v>192</v>
      </c>
      <c r="E129" s="85">
        <v>484373.75</v>
      </c>
      <c r="F129" s="911">
        <v>366417.5</v>
      </c>
      <c r="G129" s="912">
        <v>0</v>
      </c>
      <c r="H129" s="912"/>
      <c r="I129" s="912">
        <f t="shared" si="23"/>
        <v>0</v>
      </c>
      <c r="J129" s="912">
        <f t="shared" si="26"/>
        <v>0</v>
      </c>
    </row>
    <row r="130" customHeight="1" spans="1:10">
      <c r="A130" s="4">
        <v>5</v>
      </c>
      <c r="B130" s="11" t="s">
        <v>287</v>
      </c>
      <c r="C130" s="12" t="s">
        <v>656</v>
      </c>
      <c r="D130" s="15" t="s">
        <v>214</v>
      </c>
      <c r="E130" s="85">
        <v>456622.25</v>
      </c>
      <c r="F130" s="911">
        <v>347715.916666667</v>
      </c>
      <c r="G130" s="912">
        <v>5967.30625</v>
      </c>
      <c r="H130" s="912">
        <f>0.025*F130</f>
        <v>8692.89791666667</v>
      </c>
      <c r="I130" s="912">
        <f t="shared" si="23"/>
        <v>2725.59166666667</v>
      </c>
      <c r="J130" s="912">
        <f t="shared" si="26"/>
        <v>104314.775</v>
      </c>
    </row>
    <row r="131" customHeight="1" spans="1:10">
      <c r="A131" s="4">
        <v>6</v>
      </c>
      <c r="B131" s="11" t="s">
        <v>289</v>
      </c>
      <c r="C131" s="12" t="s">
        <v>288</v>
      </c>
      <c r="D131" s="15" t="s">
        <v>47</v>
      </c>
      <c r="E131" s="85">
        <v>470498</v>
      </c>
      <c r="F131" s="911">
        <v>357066.666666667</v>
      </c>
      <c r="G131" s="912">
        <v>6154.32291666667</v>
      </c>
      <c r="H131" s="912">
        <f>0.025*F131</f>
        <v>8926.66666666668</v>
      </c>
      <c r="I131" s="912">
        <f t="shared" si="23"/>
        <v>2772.34375000001</v>
      </c>
      <c r="J131" s="912">
        <f t="shared" si="26"/>
        <v>107120</v>
      </c>
    </row>
    <row r="132" customHeight="1" spans="1:10">
      <c r="A132" s="4">
        <v>7</v>
      </c>
      <c r="B132" s="11" t="s">
        <v>292</v>
      </c>
      <c r="C132" s="12" t="s">
        <v>657</v>
      </c>
      <c r="D132" s="10" t="s">
        <v>156</v>
      </c>
      <c r="E132" s="85">
        <v>277798</v>
      </c>
      <c r="F132" s="911">
        <v>227615.75</v>
      </c>
      <c r="G132" s="912"/>
      <c r="H132" s="912"/>
      <c r="I132" s="912">
        <f t="shared" si="23"/>
        <v>0</v>
      </c>
      <c r="J132" s="912">
        <f t="shared" si="26"/>
        <v>0</v>
      </c>
    </row>
    <row r="133" customHeight="1" spans="1:10">
      <c r="A133" s="4">
        <v>8</v>
      </c>
      <c r="B133" s="18" t="s">
        <v>294</v>
      </c>
      <c r="C133" s="12" t="s">
        <v>295</v>
      </c>
      <c r="D133" s="15" t="s">
        <v>108</v>
      </c>
      <c r="E133" s="85">
        <v>230631.916666667</v>
      </c>
      <c r="F133" s="911">
        <v>196364.416666667</v>
      </c>
      <c r="G133" s="912">
        <v>0</v>
      </c>
      <c r="H133" s="912"/>
      <c r="I133" s="912">
        <f t="shared" si="23"/>
        <v>0</v>
      </c>
      <c r="J133" s="912">
        <f t="shared" si="26"/>
        <v>0</v>
      </c>
    </row>
    <row r="134" customHeight="1" spans="1:10">
      <c r="A134" s="4">
        <v>9</v>
      </c>
      <c r="B134" s="18" t="s">
        <v>296</v>
      </c>
      <c r="C134" s="12" t="s">
        <v>291</v>
      </c>
      <c r="D134" s="15" t="s">
        <v>108</v>
      </c>
      <c r="E134" s="85">
        <v>230631.916666667</v>
      </c>
      <c r="F134" s="911">
        <v>196364.416666667</v>
      </c>
      <c r="G134" s="912">
        <v>0</v>
      </c>
      <c r="H134" s="912"/>
      <c r="I134" s="912">
        <f t="shared" si="23"/>
        <v>0</v>
      </c>
      <c r="J134" s="912">
        <f t="shared" si="26"/>
        <v>0</v>
      </c>
    </row>
    <row r="135" customHeight="1" spans="1:10">
      <c r="A135" s="4">
        <v>10</v>
      </c>
      <c r="B135" s="18" t="s">
        <v>297</v>
      </c>
      <c r="C135" s="12" t="s">
        <v>295</v>
      </c>
      <c r="D135" s="15" t="s">
        <v>111</v>
      </c>
      <c r="E135" s="85">
        <v>224459.75</v>
      </c>
      <c r="F135" s="911">
        <v>192179.416666667</v>
      </c>
      <c r="G135" s="912"/>
      <c r="H135" s="912"/>
      <c r="I135" s="912">
        <f t="shared" si="23"/>
        <v>0</v>
      </c>
      <c r="J135" s="912">
        <f t="shared" si="26"/>
        <v>0</v>
      </c>
    </row>
    <row r="136" ht="28.5" customHeight="1" spans="1:10">
      <c r="A136" s="4"/>
      <c r="B136" s="20" t="s">
        <v>120</v>
      </c>
      <c r="C136" s="26" t="s">
        <v>658</v>
      </c>
      <c r="D136" s="15"/>
      <c r="E136" s="156">
        <f t="shared" ref="E136:J136" si="27">SUM(E126:E135)</f>
        <v>5289142.75</v>
      </c>
      <c r="F136" s="916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56"/>
      <c r="F137" s="916"/>
      <c r="G137" s="912"/>
      <c r="H137" s="912"/>
      <c r="I137" s="912"/>
      <c r="J137" s="912"/>
    </row>
    <row r="138" customHeight="1" spans="1:10">
      <c r="A138" s="4"/>
      <c r="B138" s="20" t="s">
        <v>299</v>
      </c>
      <c r="C138" s="12"/>
      <c r="D138" s="15"/>
      <c r="E138" s="85"/>
      <c r="F138" s="911"/>
      <c r="G138" s="912"/>
      <c r="H138" s="912"/>
      <c r="I138" s="912"/>
      <c r="J138" s="912"/>
    </row>
    <row r="139" customHeight="1" spans="1:10">
      <c r="A139" s="27">
        <v>1</v>
      </c>
      <c r="B139" s="14" t="s">
        <v>300</v>
      </c>
      <c r="C139" s="4" t="s">
        <v>301</v>
      </c>
      <c r="D139" s="10" t="s">
        <v>511</v>
      </c>
      <c r="E139" s="85">
        <f>'[3]Annual &amp; Monthly'!$H$44</f>
        <v>1352042.66666667</v>
      </c>
      <c r="F139" s="911">
        <v>1025768.33333333</v>
      </c>
      <c r="G139" s="912">
        <v>18254.975</v>
      </c>
      <c r="H139" s="912">
        <f t="shared" ref="H139:H143" si="28">0.025*F139</f>
        <v>25644.2083333333</v>
      </c>
      <c r="I139" s="912">
        <f t="shared" ref="I139:I198" si="29">H139-G139</f>
        <v>7389.23333333325</v>
      </c>
      <c r="J139" s="912">
        <f t="shared" ref="J139:J198" si="30">H139*12</f>
        <v>307730.499999999</v>
      </c>
    </row>
    <row r="140" customHeight="1" spans="1:10">
      <c r="A140" s="27">
        <v>2</v>
      </c>
      <c r="B140" s="14" t="s">
        <v>302</v>
      </c>
      <c r="C140" s="4" t="s">
        <v>488</v>
      </c>
      <c r="D140" s="16" t="s">
        <v>36</v>
      </c>
      <c r="E140" s="85">
        <v>762373.166666667</v>
      </c>
      <c r="F140" s="911">
        <v>554669.5</v>
      </c>
      <c r="G140" s="912">
        <v>10293.3979166667</v>
      </c>
      <c r="H140" s="912">
        <f t="shared" si="28"/>
        <v>13866.7375</v>
      </c>
      <c r="I140" s="912">
        <f t="shared" si="29"/>
        <v>3573.3395833333</v>
      </c>
      <c r="J140" s="912">
        <f t="shared" si="30"/>
        <v>166400.85</v>
      </c>
    </row>
    <row r="141" customHeight="1" spans="1:10">
      <c r="A141" s="27">
        <v>3</v>
      </c>
      <c r="B141" s="11" t="s">
        <v>305</v>
      </c>
      <c r="C141" s="12" t="s">
        <v>306</v>
      </c>
      <c r="D141" s="15" t="s">
        <v>42</v>
      </c>
      <c r="E141" s="85">
        <v>582118.083333333</v>
      </c>
      <c r="F141" s="911">
        <v>432981.083333333</v>
      </c>
      <c r="G141" s="912">
        <v>8380.22708333333</v>
      </c>
      <c r="H141" s="912">
        <f t="shared" si="28"/>
        <v>10824.5270833333</v>
      </c>
      <c r="I141" s="912">
        <f t="shared" si="29"/>
        <v>2444.3</v>
      </c>
      <c r="J141" s="912">
        <f t="shared" si="30"/>
        <v>129894.325</v>
      </c>
    </row>
    <row r="142" customHeight="1" spans="1:10">
      <c r="A142" s="27">
        <v>4</v>
      </c>
      <c r="B142" s="11" t="s">
        <v>307</v>
      </c>
      <c r="C142" s="4" t="s">
        <v>489</v>
      </c>
      <c r="D142" s="15" t="s">
        <v>42</v>
      </c>
      <c r="E142" s="85">
        <v>582119.083333333</v>
      </c>
      <c r="F142" s="911">
        <v>432981.083333333</v>
      </c>
      <c r="G142" s="912">
        <v>8381.22708333333</v>
      </c>
      <c r="H142" s="912">
        <f t="shared" si="28"/>
        <v>10824.5270833333</v>
      </c>
      <c r="I142" s="912">
        <f t="shared" si="29"/>
        <v>2443.3</v>
      </c>
      <c r="J142" s="912">
        <f t="shared" si="30"/>
        <v>129894.325</v>
      </c>
    </row>
    <row r="143" customHeight="1" spans="1:10">
      <c r="A143" s="27">
        <v>5</v>
      </c>
      <c r="B143" s="11" t="s">
        <v>309</v>
      </c>
      <c r="C143" s="4" t="s">
        <v>489</v>
      </c>
      <c r="D143" s="15" t="s">
        <v>42</v>
      </c>
      <c r="E143" s="85">
        <v>582120.083333333</v>
      </c>
      <c r="F143" s="911">
        <v>432981.083333333</v>
      </c>
      <c r="G143" s="912">
        <v>8382.22708333333</v>
      </c>
      <c r="H143" s="912">
        <f t="shared" si="28"/>
        <v>10824.5270833333</v>
      </c>
      <c r="I143" s="912">
        <f t="shared" si="29"/>
        <v>2442.3</v>
      </c>
      <c r="J143" s="912">
        <f t="shared" si="30"/>
        <v>129894.325</v>
      </c>
    </row>
    <row r="144" customHeight="1" spans="1:10">
      <c r="A144" s="27">
        <v>6</v>
      </c>
      <c r="B144" s="11" t="s">
        <v>312</v>
      </c>
      <c r="C144" s="12" t="s">
        <v>232</v>
      </c>
      <c r="D144" s="15" t="s">
        <v>67</v>
      </c>
      <c r="E144" s="85">
        <v>390248.916666667</v>
      </c>
      <c r="F144" s="911">
        <v>311673.25</v>
      </c>
      <c r="G144" s="912">
        <v>0</v>
      </c>
      <c r="H144" s="912"/>
      <c r="I144" s="912">
        <f t="shared" si="29"/>
        <v>0</v>
      </c>
      <c r="J144" s="912">
        <f t="shared" si="30"/>
        <v>0</v>
      </c>
    </row>
    <row r="145" customHeight="1" spans="1:10">
      <c r="A145" s="27">
        <v>7</v>
      </c>
      <c r="B145" s="11" t="s">
        <v>313</v>
      </c>
      <c r="C145" s="4" t="s">
        <v>659</v>
      </c>
      <c r="D145" s="15" t="s">
        <v>67</v>
      </c>
      <c r="E145" s="85">
        <v>390248.916666667</v>
      </c>
      <c r="F145" s="911">
        <v>302987.416666667</v>
      </c>
      <c r="G145" s="912">
        <v>0</v>
      </c>
      <c r="H145" s="912"/>
      <c r="I145" s="912">
        <f t="shared" si="29"/>
        <v>0</v>
      </c>
      <c r="J145" s="912">
        <f t="shared" si="30"/>
        <v>0</v>
      </c>
    </row>
    <row r="146" customHeight="1" spans="1:10">
      <c r="A146" s="27">
        <v>8</v>
      </c>
      <c r="B146" s="11" t="s">
        <v>315</v>
      </c>
      <c r="C146" s="12" t="s">
        <v>660</v>
      </c>
      <c r="D146" s="15" t="s">
        <v>173</v>
      </c>
      <c r="E146" s="85">
        <v>390086.5</v>
      </c>
      <c r="F146" s="911">
        <v>302878.666666667</v>
      </c>
      <c r="G146" s="912">
        <v>0</v>
      </c>
      <c r="H146" s="912"/>
      <c r="I146" s="912">
        <f t="shared" si="29"/>
        <v>0</v>
      </c>
      <c r="J146" s="912">
        <f t="shared" si="30"/>
        <v>0</v>
      </c>
    </row>
    <row r="147" customHeight="1" spans="1:10">
      <c r="A147" s="27">
        <v>9</v>
      </c>
      <c r="B147" s="11" t="s">
        <v>317</v>
      </c>
      <c r="C147" s="12" t="s">
        <v>318</v>
      </c>
      <c r="D147" s="15" t="s">
        <v>70</v>
      </c>
      <c r="E147" s="85">
        <v>377895.166666667</v>
      </c>
      <c r="F147" s="911">
        <v>294662.916666667</v>
      </c>
      <c r="G147" s="912">
        <v>4928.93333333333</v>
      </c>
      <c r="H147" s="912">
        <f>0.025*F147</f>
        <v>7366.57291666668</v>
      </c>
      <c r="I147" s="912">
        <f t="shared" si="29"/>
        <v>2437.63958333335</v>
      </c>
      <c r="J147" s="912">
        <f t="shared" si="30"/>
        <v>88398.8750000001</v>
      </c>
    </row>
    <row r="148" customHeight="1" spans="1:10">
      <c r="A148" s="27">
        <v>10</v>
      </c>
      <c r="B148" s="18" t="s">
        <v>319</v>
      </c>
      <c r="C148" s="4" t="s">
        <v>320</v>
      </c>
      <c r="D148" s="15" t="s">
        <v>131</v>
      </c>
      <c r="E148" s="220">
        <v>365703.833333333</v>
      </c>
      <c r="F148" s="911">
        <v>286447.083333333</v>
      </c>
      <c r="G148" s="912">
        <v>0</v>
      </c>
      <c r="H148" s="912"/>
      <c r="I148" s="912">
        <f t="shared" si="29"/>
        <v>0</v>
      </c>
      <c r="J148" s="912">
        <f t="shared" si="30"/>
        <v>0</v>
      </c>
    </row>
    <row r="149" customHeight="1" spans="1:10">
      <c r="A149" s="27">
        <v>11</v>
      </c>
      <c r="B149" s="11" t="s">
        <v>321</v>
      </c>
      <c r="C149" s="4" t="s">
        <v>320</v>
      </c>
      <c r="D149" s="15" t="s">
        <v>180</v>
      </c>
      <c r="E149" s="220">
        <v>353512.5</v>
      </c>
      <c r="F149" s="911">
        <v>278231.25</v>
      </c>
      <c r="G149" s="912">
        <v>0</v>
      </c>
      <c r="H149" s="912"/>
      <c r="I149" s="912">
        <f t="shared" si="29"/>
        <v>0</v>
      </c>
      <c r="J149" s="912">
        <f t="shared" si="30"/>
        <v>0</v>
      </c>
    </row>
    <row r="150" customHeight="1" spans="1:10">
      <c r="A150" s="27">
        <v>12</v>
      </c>
      <c r="B150" s="11" t="s">
        <v>322</v>
      </c>
      <c r="C150" s="4" t="s">
        <v>320</v>
      </c>
      <c r="D150" s="15" t="s">
        <v>180</v>
      </c>
      <c r="E150" s="220">
        <v>353512.5</v>
      </c>
      <c r="F150" s="911">
        <v>278231.25</v>
      </c>
      <c r="G150" s="912">
        <v>4928.93333333333</v>
      </c>
      <c r="H150" s="912">
        <f>0.025*F150</f>
        <v>6955.78125</v>
      </c>
      <c r="I150" s="912">
        <f t="shared" si="29"/>
        <v>2026.84791666667</v>
      </c>
      <c r="J150" s="912">
        <f t="shared" si="30"/>
        <v>83469.375</v>
      </c>
    </row>
    <row r="151" customHeight="1" spans="1:10">
      <c r="A151" s="27">
        <v>13</v>
      </c>
      <c r="B151" s="11" t="s">
        <v>324</v>
      </c>
      <c r="C151" s="4" t="s">
        <v>320</v>
      </c>
      <c r="D151" s="15" t="s">
        <v>131</v>
      </c>
      <c r="E151" s="220">
        <v>365703.833333333</v>
      </c>
      <c r="F151" s="911">
        <v>286447.083333333</v>
      </c>
      <c r="G151" s="912">
        <v>0</v>
      </c>
      <c r="H151" s="912"/>
      <c r="I151" s="912">
        <f t="shared" si="29"/>
        <v>0</v>
      </c>
      <c r="J151" s="912">
        <f t="shared" si="30"/>
        <v>0</v>
      </c>
    </row>
    <row r="152" customHeight="1" spans="1:10">
      <c r="A152" s="27">
        <v>14</v>
      </c>
      <c r="B152" s="11" t="s">
        <v>325</v>
      </c>
      <c r="C152" s="12" t="s">
        <v>326</v>
      </c>
      <c r="D152" s="15" t="s">
        <v>78</v>
      </c>
      <c r="E152" s="220">
        <v>308901.5</v>
      </c>
      <c r="F152" s="911">
        <v>246171.166666667</v>
      </c>
      <c r="G152" s="912">
        <v>0</v>
      </c>
      <c r="H152" s="912"/>
      <c r="I152" s="912">
        <f t="shared" si="29"/>
        <v>0</v>
      </c>
      <c r="J152" s="912">
        <f t="shared" si="30"/>
        <v>0</v>
      </c>
    </row>
    <row r="153" customHeight="1" spans="1:10">
      <c r="A153" s="27">
        <v>15</v>
      </c>
      <c r="B153" s="11" t="s">
        <v>327</v>
      </c>
      <c r="C153" s="12" t="s">
        <v>328</v>
      </c>
      <c r="D153" s="10" t="s">
        <v>86</v>
      </c>
      <c r="E153" s="85">
        <v>270481.666666667</v>
      </c>
      <c r="F153" s="911">
        <v>222674.583333333</v>
      </c>
      <c r="G153" s="912">
        <v>0</v>
      </c>
      <c r="H153" s="912"/>
      <c r="I153" s="912">
        <f t="shared" si="29"/>
        <v>0</v>
      </c>
      <c r="J153" s="912">
        <f t="shared" si="30"/>
        <v>0</v>
      </c>
    </row>
    <row r="154" customHeight="1" spans="1:10">
      <c r="A154" s="27">
        <v>16</v>
      </c>
      <c r="B154" s="11" t="s">
        <v>329</v>
      </c>
      <c r="C154" s="12" t="s">
        <v>661</v>
      </c>
      <c r="D154" s="15" t="s">
        <v>153</v>
      </c>
      <c r="E154" s="220">
        <v>316837.416666667</v>
      </c>
      <c r="F154" s="911">
        <v>308901.5</v>
      </c>
      <c r="G154" s="912">
        <v>0</v>
      </c>
      <c r="H154" s="912"/>
      <c r="I154" s="912">
        <f t="shared" si="29"/>
        <v>0</v>
      </c>
      <c r="J154" s="912">
        <f t="shared" si="30"/>
        <v>0</v>
      </c>
    </row>
    <row r="155" customHeight="1" spans="1:10">
      <c r="A155" s="27">
        <v>17</v>
      </c>
      <c r="B155" s="11" t="s">
        <v>331</v>
      </c>
      <c r="C155" s="12" t="s">
        <v>662</v>
      </c>
      <c r="D155" s="15" t="s">
        <v>156</v>
      </c>
      <c r="E155" s="220">
        <v>277798</v>
      </c>
      <c r="F155" s="911">
        <v>227615.75</v>
      </c>
      <c r="G155" s="912">
        <v>0</v>
      </c>
      <c r="H155" s="912"/>
      <c r="I155" s="912">
        <f t="shared" si="29"/>
        <v>0</v>
      </c>
      <c r="J155" s="912">
        <f t="shared" si="30"/>
        <v>0</v>
      </c>
    </row>
    <row r="156" customHeight="1" spans="1:10">
      <c r="A156" s="27">
        <v>18</v>
      </c>
      <c r="B156" s="11" t="s">
        <v>333</v>
      </c>
      <c r="C156" s="12" t="s">
        <v>663</v>
      </c>
      <c r="D156" s="15" t="s">
        <v>153</v>
      </c>
      <c r="E156" s="220">
        <v>316837.416666667</v>
      </c>
      <c r="F156" s="911">
        <v>308901.5</v>
      </c>
      <c r="G156" s="912">
        <v>4123.42083333333</v>
      </c>
      <c r="H156" s="912">
        <f>0.025*F156</f>
        <v>7722.5375</v>
      </c>
      <c r="I156" s="912">
        <f t="shared" si="29"/>
        <v>3599.11666666667</v>
      </c>
      <c r="J156" s="912">
        <f t="shared" si="30"/>
        <v>92670.45</v>
      </c>
    </row>
    <row r="157" customHeight="1" spans="1:10">
      <c r="A157" s="27">
        <v>19</v>
      </c>
      <c r="B157" s="11" t="s">
        <v>334</v>
      </c>
      <c r="C157" s="12" t="s">
        <v>664</v>
      </c>
      <c r="D157" s="15" t="s">
        <v>156</v>
      </c>
      <c r="E157" s="220">
        <v>277798</v>
      </c>
      <c r="F157" s="911">
        <v>227615.75</v>
      </c>
      <c r="G157" s="912">
        <v>0</v>
      </c>
      <c r="H157" s="912"/>
      <c r="I157" s="912">
        <f t="shared" si="29"/>
        <v>0</v>
      </c>
      <c r="J157" s="912">
        <f t="shared" si="30"/>
        <v>0</v>
      </c>
    </row>
    <row r="158" customHeight="1" spans="1:10">
      <c r="A158" s="27">
        <v>20</v>
      </c>
      <c r="B158" s="18" t="s">
        <v>336</v>
      </c>
      <c r="C158" s="12" t="s">
        <v>337</v>
      </c>
      <c r="D158" s="15" t="s">
        <v>99</v>
      </c>
      <c r="E158" s="220">
        <v>263165.333333333</v>
      </c>
      <c r="F158" s="911">
        <v>217733.416666667</v>
      </c>
      <c r="G158" s="912">
        <v>0</v>
      </c>
      <c r="H158" s="912"/>
      <c r="I158" s="912">
        <f t="shared" si="29"/>
        <v>0</v>
      </c>
      <c r="J158" s="912">
        <f t="shared" si="30"/>
        <v>0</v>
      </c>
    </row>
    <row r="159" customHeight="1" spans="1:10">
      <c r="A159" s="27">
        <v>21</v>
      </c>
      <c r="B159" s="18" t="s">
        <v>338</v>
      </c>
      <c r="C159" s="12" t="s">
        <v>337</v>
      </c>
      <c r="D159" s="15" t="s">
        <v>99</v>
      </c>
      <c r="E159" s="220">
        <v>263165.333333333</v>
      </c>
      <c r="F159" s="911">
        <v>217733.416666667</v>
      </c>
      <c r="G159" s="912">
        <v>0</v>
      </c>
      <c r="H159" s="912"/>
      <c r="I159" s="912">
        <f t="shared" si="29"/>
        <v>0</v>
      </c>
      <c r="J159" s="912">
        <f t="shared" si="30"/>
        <v>0</v>
      </c>
    </row>
    <row r="160" customHeight="1" spans="1:10">
      <c r="A160" s="27">
        <v>22</v>
      </c>
      <c r="B160" s="18" t="s">
        <v>343</v>
      </c>
      <c r="C160" s="12" t="s">
        <v>344</v>
      </c>
      <c r="D160" s="15" t="s">
        <v>108</v>
      </c>
      <c r="E160" s="85">
        <v>230631.916666667</v>
      </c>
      <c r="F160" s="911">
        <v>196364.416666667</v>
      </c>
      <c r="G160" s="912">
        <v>0</v>
      </c>
      <c r="H160" s="912"/>
      <c r="I160" s="912">
        <f t="shared" si="29"/>
        <v>0</v>
      </c>
      <c r="J160" s="912">
        <f t="shared" si="30"/>
        <v>0</v>
      </c>
    </row>
    <row r="161" customHeight="1" spans="1:10">
      <c r="A161" s="27">
        <v>23</v>
      </c>
      <c r="B161" s="18" t="s">
        <v>345</v>
      </c>
      <c r="C161" s="12" t="s">
        <v>346</v>
      </c>
      <c r="D161" s="15" t="s">
        <v>108</v>
      </c>
      <c r="E161" s="85">
        <v>230631.916666667</v>
      </c>
      <c r="F161" s="911">
        <v>196364.416666667</v>
      </c>
      <c r="G161" s="912">
        <v>0</v>
      </c>
      <c r="H161" s="912"/>
      <c r="I161" s="912">
        <f t="shared" si="29"/>
        <v>0</v>
      </c>
      <c r="J161" s="912">
        <f t="shared" si="30"/>
        <v>0</v>
      </c>
    </row>
    <row r="162" customHeight="1" spans="1:10">
      <c r="A162" s="27">
        <v>24</v>
      </c>
      <c r="B162" s="18" t="s">
        <v>347</v>
      </c>
      <c r="C162" s="12" t="s">
        <v>348</v>
      </c>
      <c r="D162" s="15" t="s">
        <v>108</v>
      </c>
      <c r="E162" s="85">
        <v>230631.916666667</v>
      </c>
      <c r="F162" s="911">
        <v>196364.416666667</v>
      </c>
      <c r="G162" s="912">
        <v>0</v>
      </c>
      <c r="H162" s="912"/>
      <c r="I162" s="912">
        <f t="shared" si="29"/>
        <v>0</v>
      </c>
      <c r="J162" s="912">
        <f t="shared" si="30"/>
        <v>0</v>
      </c>
    </row>
    <row r="163" customHeight="1" spans="1:10">
      <c r="A163" s="27">
        <v>25</v>
      </c>
      <c r="B163" s="18" t="s">
        <v>349</v>
      </c>
      <c r="C163" s="12" t="s">
        <v>665</v>
      </c>
      <c r="D163" s="15" t="s">
        <v>105</v>
      </c>
      <c r="E163" s="85">
        <v>236804.083333333</v>
      </c>
      <c r="F163" s="911">
        <v>200549.416666667</v>
      </c>
      <c r="G163" s="912">
        <v>0</v>
      </c>
      <c r="H163" s="912"/>
      <c r="I163" s="912">
        <f t="shared" si="29"/>
        <v>0</v>
      </c>
      <c r="J163" s="912">
        <f t="shared" si="30"/>
        <v>0</v>
      </c>
    </row>
    <row r="164" customHeight="1" spans="1:10">
      <c r="A164" s="27">
        <v>26</v>
      </c>
      <c r="B164" s="18" t="s">
        <v>350</v>
      </c>
      <c r="C164" s="12" t="s">
        <v>346</v>
      </c>
      <c r="D164" s="15" t="s">
        <v>108</v>
      </c>
      <c r="E164" s="85">
        <v>230631.916666667</v>
      </c>
      <c r="F164" s="911">
        <v>196364.416666667</v>
      </c>
      <c r="G164" s="912">
        <v>0</v>
      </c>
      <c r="H164" s="912"/>
      <c r="I164" s="912">
        <f t="shared" si="29"/>
        <v>0</v>
      </c>
      <c r="J164" s="912">
        <f t="shared" si="30"/>
        <v>0</v>
      </c>
    </row>
    <row r="165" customHeight="1" spans="1:10">
      <c r="A165" s="27">
        <v>27</v>
      </c>
      <c r="B165" s="18" t="s">
        <v>351</v>
      </c>
      <c r="C165" s="12" t="s">
        <v>352</v>
      </c>
      <c r="D165" s="15" t="s">
        <v>111</v>
      </c>
      <c r="E165" s="680">
        <v>224459.75</v>
      </c>
      <c r="F165" s="911">
        <v>192179.416666667</v>
      </c>
      <c r="G165" s="912"/>
      <c r="H165" s="912"/>
      <c r="I165" s="912">
        <f t="shared" si="29"/>
        <v>0</v>
      </c>
      <c r="J165" s="912">
        <f t="shared" si="30"/>
        <v>0</v>
      </c>
    </row>
    <row r="166" customHeight="1" spans="1:10">
      <c r="A166" s="27">
        <v>28</v>
      </c>
      <c r="B166" s="18" t="s">
        <v>353</v>
      </c>
      <c r="C166" s="12" t="s">
        <v>352</v>
      </c>
      <c r="D166" s="15" t="s">
        <v>111</v>
      </c>
      <c r="E166" s="680">
        <v>224459.75</v>
      </c>
      <c r="F166" s="911">
        <v>192179.416666667</v>
      </c>
      <c r="G166" s="912"/>
      <c r="H166" s="912"/>
      <c r="I166" s="912">
        <f t="shared" si="29"/>
        <v>0</v>
      </c>
      <c r="J166" s="912">
        <f t="shared" si="30"/>
        <v>0</v>
      </c>
    </row>
    <row r="167" customHeight="1" spans="1:10">
      <c r="A167" s="27">
        <v>29</v>
      </c>
      <c r="B167" s="11" t="s">
        <v>359</v>
      </c>
      <c r="C167" s="12" t="s">
        <v>512</v>
      </c>
      <c r="D167" s="15" t="s">
        <v>372</v>
      </c>
      <c r="E167" s="226">
        <v>173859.5</v>
      </c>
      <c r="F167" s="922">
        <v>159288.583333333</v>
      </c>
      <c r="G167" s="912">
        <v>2313.575</v>
      </c>
      <c r="H167" s="912">
        <f>0.025*F167</f>
        <v>3982.21458333333</v>
      </c>
      <c r="I167" s="912">
        <f t="shared" si="29"/>
        <v>1668.63958333333</v>
      </c>
      <c r="J167" s="912">
        <f t="shared" si="30"/>
        <v>47786.5749999999</v>
      </c>
    </row>
    <row r="168" customHeight="1" spans="1:10">
      <c r="A168" s="27">
        <v>30</v>
      </c>
      <c r="B168" s="11" t="s">
        <v>362</v>
      </c>
      <c r="C168" s="12" t="s">
        <v>512</v>
      </c>
      <c r="D168" s="15" t="s">
        <v>372</v>
      </c>
      <c r="E168" s="226">
        <v>173859.5</v>
      </c>
      <c r="F168" s="922">
        <v>159288.583333333</v>
      </c>
      <c r="G168" s="912">
        <v>0</v>
      </c>
      <c r="H168" s="912"/>
      <c r="I168" s="912">
        <f t="shared" si="29"/>
        <v>0</v>
      </c>
      <c r="J168" s="912">
        <f t="shared" si="30"/>
        <v>0</v>
      </c>
    </row>
    <row r="169" customHeight="1" spans="1:10">
      <c r="A169" s="27">
        <v>31</v>
      </c>
      <c r="B169" s="11" t="s">
        <v>666</v>
      </c>
      <c r="C169" s="12" t="s">
        <v>512</v>
      </c>
      <c r="D169" s="15" t="s">
        <v>372</v>
      </c>
      <c r="E169" s="226">
        <v>173859.5</v>
      </c>
      <c r="F169" s="922">
        <v>159288.583333333</v>
      </c>
      <c r="G169" s="912">
        <v>0</v>
      </c>
      <c r="H169" s="912"/>
      <c r="I169" s="912">
        <f t="shared" si="29"/>
        <v>0</v>
      </c>
      <c r="J169" s="912">
        <f t="shared" si="30"/>
        <v>0</v>
      </c>
    </row>
    <row r="170" customHeight="1" spans="1:10">
      <c r="A170" s="27">
        <v>32</v>
      </c>
      <c r="B170" s="11" t="s">
        <v>363</v>
      </c>
      <c r="C170" s="12" t="s">
        <v>512</v>
      </c>
      <c r="D170" s="15" t="s">
        <v>372</v>
      </c>
      <c r="E170" s="226">
        <v>173859.5</v>
      </c>
      <c r="F170" s="922">
        <v>159288.583333333</v>
      </c>
      <c r="G170" s="912">
        <v>2313.575</v>
      </c>
      <c r="H170" s="912">
        <v>3982.21458333333</v>
      </c>
      <c r="I170" s="912">
        <f t="shared" si="29"/>
        <v>1668.63958333333</v>
      </c>
      <c r="J170" s="912">
        <f t="shared" si="30"/>
        <v>47786.575</v>
      </c>
    </row>
    <row r="171" customHeight="1" spans="1:10">
      <c r="A171" s="27">
        <v>33</v>
      </c>
      <c r="B171" s="11" t="s">
        <v>364</v>
      </c>
      <c r="C171" s="12" t="s">
        <v>512</v>
      </c>
      <c r="D171" s="15" t="s">
        <v>372</v>
      </c>
      <c r="E171" s="226">
        <v>173859.5</v>
      </c>
      <c r="F171" s="922">
        <v>159288.583333333</v>
      </c>
      <c r="G171" s="912"/>
      <c r="H171" s="912"/>
      <c r="I171" s="912">
        <f t="shared" si="29"/>
        <v>0</v>
      </c>
      <c r="J171" s="912">
        <f t="shared" si="30"/>
        <v>0</v>
      </c>
    </row>
    <row r="172" customHeight="1" spans="1:10">
      <c r="A172" s="27">
        <v>34</v>
      </c>
      <c r="B172" s="11" t="s">
        <v>365</v>
      </c>
      <c r="C172" s="12" t="s">
        <v>512</v>
      </c>
      <c r="D172" s="15" t="s">
        <v>384</v>
      </c>
      <c r="E172" s="226">
        <v>168598.166666667</v>
      </c>
      <c r="F172" s="922">
        <v>155678.666666667</v>
      </c>
      <c r="G172" s="912"/>
      <c r="H172" s="912"/>
      <c r="I172" s="912">
        <f t="shared" si="29"/>
        <v>0</v>
      </c>
      <c r="J172" s="912">
        <f t="shared" si="30"/>
        <v>0</v>
      </c>
    </row>
    <row r="173" customHeight="1" spans="1:10">
      <c r="A173" s="27">
        <v>35</v>
      </c>
      <c r="B173" s="11" t="s">
        <v>367</v>
      </c>
      <c r="C173" s="12" t="s">
        <v>512</v>
      </c>
      <c r="D173" s="15" t="s">
        <v>384</v>
      </c>
      <c r="E173" s="226">
        <v>168598.166666667</v>
      </c>
      <c r="F173" s="922">
        <v>155678.666666667</v>
      </c>
      <c r="G173" s="912"/>
      <c r="H173" s="912"/>
      <c r="I173" s="912">
        <f t="shared" si="29"/>
        <v>0</v>
      </c>
      <c r="J173" s="912">
        <f t="shared" si="30"/>
        <v>0</v>
      </c>
    </row>
    <row r="174" customHeight="1" spans="1:10">
      <c r="A174" s="27">
        <v>36</v>
      </c>
      <c r="B174" s="14" t="s">
        <v>368</v>
      </c>
      <c r="C174" s="12" t="s">
        <v>512</v>
      </c>
      <c r="D174" s="15" t="s">
        <v>384</v>
      </c>
      <c r="E174" s="226">
        <v>168598.166666667</v>
      </c>
      <c r="F174" s="922">
        <v>155678.666666667</v>
      </c>
      <c r="G174" s="912"/>
      <c r="H174" s="912"/>
      <c r="I174" s="912">
        <f t="shared" si="29"/>
        <v>0</v>
      </c>
      <c r="J174" s="912">
        <f t="shared" si="30"/>
        <v>0</v>
      </c>
    </row>
    <row r="175" customHeight="1" spans="1:10">
      <c r="A175" s="27">
        <v>37</v>
      </c>
      <c r="B175" s="11" t="s">
        <v>369</v>
      </c>
      <c r="C175" s="12" t="s">
        <v>512</v>
      </c>
      <c r="D175" s="15" t="s">
        <v>384</v>
      </c>
      <c r="E175" s="226">
        <v>168598.166666667</v>
      </c>
      <c r="F175" s="922">
        <v>155678.666666667</v>
      </c>
      <c r="G175" s="912"/>
      <c r="H175" s="912"/>
      <c r="I175" s="912">
        <f t="shared" si="29"/>
        <v>0</v>
      </c>
      <c r="J175" s="912">
        <f t="shared" si="30"/>
        <v>0</v>
      </c>
    </row>
    <row r="176" customHeight="1" spans="1:10">
      <c r="A176" s="27">
        <v>38</v>
      </c>
      <c r="B176" s="18" t="s">
        <v>370</v>
      </c>
      <c r="C176" s="12" t="s">
        <v>512</v>
      </c>
      <c r="D176" s="15" t="s">
        <v>384</v>
      </c>
      <c r="E176" s="226">
        <v>168598.166666667</v>
      </c>
      <c r="F176" s="922">
        <v>155678.666666667</v>
      </c>
      <c r="G176" s="912"/>
      <c r="H176" s="912"/>
      <c r="I176" s="912">
        <f t="shared" si="29"/>
        <v>0</v>
      </c>
      <c r="J176" s="912">
        <f t="shared" si="30"/>
        <v>0</v>
      </c>
    </row>
    <row r="177" customHeight="1" spans="1:10">
      <c r="A177" s="27">
        <v>39</v>
      </c>
      <c r="B177" s="18" t="s">
        <v>357</v>
      </c>
      <c r="C177" s="12" t="s">
        <v>512</v>
      </c>
      <c r="D177" s="15" t="s">
        <v>384</v>
      </c>
      <c r="E177" s="226">
        <v>168598.166666667</v>
      </c>
      <c r="F177" s="922">
        <v>155678.666666667</v>
      </c>
      <c r="G177" s="912"/>
      <c r="H177" s="912"/>
      <c r="I177" s="912">
        <f t="shared" si="29"/>
        <v>0</v>
      </c>
      <c r="J177" s="912">
        <f t="shared" si="30"/>
        <v>0</v>
      </c>
    </row>
    <row r="178" customHeight="1" spans="1:10">
      <c r="A178" s="27">
        <v>40</v>
      </c>
      <c r="B178" s="11" t="s">
        <v>371</v>
      </c>
      <c r="C178" s="12" t="s">
        <v>360</v>
      </c>
      <c r="D178" s="15" t="s">
        <v>606</v>
      </c>
      <c r="E178" s="85">
        <v>158075.5</v>
      </c>
      <c r="F178" s="922">
        <v>148459</v>
      </c>
      <c r="G178" s="912"/>
      <c r="H178" s="912"/>
      <c r="I178" s="912">
        <f t="shared" si="29"/>
        <v>0</v>
      </c>
      <c r="J178" s="912">
        <f t="shared" si="30"/>
        <v>0</v>
      </c>
    </row>
    <row r="179" customHeight="1" spans="1:10">
      <c r="A179" s="27">
        <v>41</v>
      </c>
      <c r="B179" s="11" t="s">
        <v>373</v>
      </c>
      <c r="C179" s="12" t="s">
        <v>360</v>
      </c>
      <c r="D179" s="15" t="s">
        <v>606</v>
      </c>
      <c r="E179" s="85">
        <v>158075.5</v>
      </c>
      <c r="F179" s="922">
        <v>148459</v>
      </c>
      <c r="G179" s="912"/>
      <c r="H179" s="912"/>
      <c r="I179" s="912">
        <f t="shared" si="29"/>
        <v>0</v>
      </c>
      <c r="J179" s="912">
        <f t="shared" si="30"/>
        <v>0</v>
      </c>
    </row>
    <row r="180" customHeight="1" spans="1:10">
      <c r="A180" s="27">
        <v>42</v>
      </c>
      <c r="B180" s="18" t="s">
        <v>374</v>
      </c>
      <c r="C180" s="12" t="s">
        <v>360</v>
      </c>
      <c r="D180" s="15" t="s">
        <v>377</v>
      </c>
      <c r="E180" s="85">
        <v>163336.833333333</v>
      </c>
      <c r="F180" s="922">
        <v>152068.833333333</v>
      </c>
      <c r="G180" s="912"/>
      <c r="H180" s="912"/>
      <c r="I180" s="912">
        <f t="shared" si="29"/>
        <v>0</v>
      </c>
      <c r="J180" s="912">
        <f t="shared" si="30"/>
        <v>0</v>
      </c>
    </row>
    <row r="181" customHeight="1" spans="1:10">
      <c r="A181" s="27">
        <v>43</v>
      </c>
      <c r="B181" s="11" t="s">
        <v>376</v>
      </c>
      <c r="C181" s="12" t="s">
        <v>387</v>
      </c>
      <c r="D181" s="15" t="s">
        <v>607</v>
      </c>
      <c r="E181" s="85">
        <v>152814.166666667</v>
      </c>
      <c r="F181" s="922">
        <v>144849.083333333</v>
      </c>
      <c r="G181" s="912"/>
      <c r="H181" s="912"/>
      <c r="I181" s="912">
        <f t="shared" si="29"/>
        <v>0</v>
      </c>
      <c r="J181" s="912">
        <f t="shared" si="30"/>
        <v>0</v>
      </c>
    </row>
    <row r="182" customHeight="1" spans="1:10">
      <c r="A182" s="27">
        <v>44</v>
      </c>
      <c r="B182" s="11" t="s">
        <v>378</v>
      </c>
      <c r="C182" s="12" t="s">
        <v>514</v>
      </c>
      <c r="D182" s="15" t="s">
        <v>667</v>
      </c>
      <c r="E182" s="85">
        <v>94145.75</v>
      </c>
      <c r="F182" s="922">
        <v>101053.25</v>
      </c>
      <c r="G182" s="912"/>
      <c r="H182" s="912"/>
      <c r="I182" s="912">
        <f t="shared" si="29"/>
        <v>0</v>
      </c>
      <c r="J182" s="912">
        <f t="shared" si="30"/>
        <v>0</v>
      </c>
    </row>
    <row r="183" customHeight="1" spans="1:10">
      <c r="A183" s="27">
        <v>45</v>
      </c>
      <c r="B183" s="11" t="s">
        <v>379</v>
      </c>
      <c r="C183" s="12" t="s">
        <v>514</v>
      </c>
      <c r="D183" s="15" t="s">
        <v>667</v>
      </c>
      <c r="E183" s="85">
        <v>94145.75</v>
      </c>
      <c r="F183" s="922">
        <v>101053.25</v>
      </c>
      <c r="G183" s="912"/>
      <c r="H183" s="912"/>
      <c r="I183" s="912">
        <f t="shared" si="29"/>
        <v>0</v>
      </c>
      <c r="J183" s="912">
        <f t="shared" si="30"/>
        <v>0</v>
      </c>
    </row>
    <row r="184" customHeight="1" spans="1:10">
      <c r="A184" s="27">
        <v>46</v>
      </c>
      <c r="B184" s="11" t="s">
        <v>380</v>
      </c>
      <c r="C184" s="12" t="s">
        <v>514</v>
      </c>
      <c r="D184" s="15" t="s">
        <v>667</v>
      </c>
      <c r="E184" s="85">
        <v>94145.75</v>
      </c>
      <c r="F184" s="922">
        <v>101053.25</v>
      </c>
      <c r="G184" s="912"/>
      <c r="H184" s="912"/>
      <c r="I184" s="912">
        <f t="shared" si="29"/>
        <v>0</v>
      </c>
      <c r="J184" s="912">
        <f t="shared" si="30"/>
        <v>0</v>
      </c>
    </row>
    <row r="185" customHeight="1" spans="1:10">
      <c r="A185" s="27">
        <v>47</v>
      </c>
      <c r="B185" s="11" t="s">
        <v>381</v>
      </c>
      <c r="C185" s="12" t="s">
        <v>514</v>
      </c>
      <c r="D185" s="15" t="s">
        <v>667</v>
      </c>
      <c r="E185" s="85">
        <v>94145.75</v>
      </c>
      <c r="F185" s="922">
        <v>101053.25</v>
      </c>
      <c r="G185" s="912"/>
      <c r="H185" s="912"/>
      <c r="I185" s="912">
        <f t="shared" si="29"/>
        <v>0</v>
      </c>
      <c r="J185" s="912">
        <f t="shared" si="30"/>
        <v>0</v>
      </c>
    </row>
    <row r="186" customHeight="1" spans="1:10">
      <c r="A186" s="27">
        <v>48</v>
      </c>
      <c r="B186" s="11" t="s">
        <v>382</v>
      </c>
      <c r="C186" s="12" t="s">
        <v>514</v>
      </c>
      <c r="D186" s="15" t="s">
        <v>667</v>
      </c>
      <c r="E186" s="85">
        <v>94145.75</v>
      </c>
      <c r="F186" s="922">
        <v>101053.25</v>
      </c>
      <c r="G186" s="912"/>
      <c r="H186" s="912"/>
      <c r="I186" s="912">
        <f t="shared" si="29"/>
        <v>0</v>
      </c>
      <c r="J186" s="912">
        <f t="shared" si="30"/>
        <v>0</v>
      </c>
    </row>
    <row r="187" customHeight="1" spans="1:10">
      <c r="A187" s="27">
        <v>49</v>
      </c>
      <c r="B187" s="18" t="s">
        <v>383</v>
      </c>
      <c r="C187" s="12" t="s">
        <v>514</v>
      </c>
      <c r="D187" s="15" t="s">
        <v>667</v>
      </c>
      <c r="E187" s="85">
        <v>94145.75</v>
      </c>
      <c r="F187" s="922">
        <v>101053.25</v>
      </c>
      <c r="G187" s="912"/>
      <c r="H187" s="912"/>
      <c r="I187" s="912">
        <f t="shared" si="29"/>
        <v>0</v>
      </c>
      <c r="J187" s="912">
        <f t="shared" si="30"/>
        <v>0</v>
      </c>
    </row>
    <row r="188" customHeight="1" spans="1:10">
      <c r="A188" s="27">
        <v>50</v>
      </c>
      <c r="B188" s="18" t="s">
        <v>385</v>
      </c>
      <c r="C188" s="12" t="s">
        <v>514</v>
      </c>
      <c r="D188" s="15" t="s">
        <v>667</v>
      </c>
      <c r="E188" s="85">
        <v>94145.75</v>
      </c>
      <c r="F188" s="922">
        <v>101053.25</v>
      </c>
      <c r="G188" s="912"/>
      <c r="H188" s="912"/>
      <c r="I188" s="912">
        <f t="shared" si="29"/>
        <v>0</v>
      </c>
      <c r="J188" s="912">
        <f t="shared" si="30"/>
        <v>0</v>
      </c>
    </row>
    <row r="189" customHeight="1" spans="1:10">
      <c r="A189" s="27">
        <v>51</v>
      </c>
      <c r="B189" s="11" t="s">
        <v>668</v>
      </c>
      <c r="C189" s="12" t="s">
        <v>387</v>
      </c>
      <c r="D189" s="15" t="s">
        <v>667</v>
      </c>
      <c r="E189" s="85">
        <v>94145.75</v>
      </c>
      <c r="F189" s="922">
        <v>101053.25</v>
      </c>
      <c r="G189" s="912"/>
      <c r="H189" s="912"/>
      <c r="I189" s="912">
        <f t="shared" si="29"/>
        <v>0</v>
      </c>
      <c r="J189" s="912">
        <f t="shared" si="30"/>
        <v>0</v>
      </c>
    </row>
    <row r="190" customHeight="1" spans="1:10">
      <c r="A190" s="27">
        <v>52</v>
      </c>
      <c r="B190" s="11" t="s">
        <v>386</v>
      </c>
      <c r="C190" s="12" t="s">
        <v>387</v>
      </c>
      <c r="D190" s="15" t="s">
        <v>667</v>
      </c>
      <c r="E190" s="85">
        <v>94145.75</v>
      </c>
      <c r="F190" s="922">
        <v>101053.25</v>
      </c>
      <c r="G190" s="912"/>
      <c r="H190" s="912"/>
      <c r="I190" s="912">
        <f t="shared" si="29"/>
        <v>0</v>
      </c>
      <c r="J190" s="912">
        <f t="shared" si="30"/>
        <v>0</v>
      </c>
    </row>
    <row r="191" customHeight="1" spans="1:10">
      <c r="A191" s="27">
        <v>53</v>
      </c>
      <c r="B191" s="18" t="s">
        <v>358</v>
      </c>
      <c r="C191" s="12" t="s">
        <v>390</v>
      </c>
      <c r="D191" s="15" t="s">
        <v>669</v>
      </c>
      <c r="E191" s="85">
        <v>91598</v>
      </c>
      <c r="F191" s="922">
        <v>99486.9166666667</v>
      </c>
      <c r="G191" s="912"/>
      <c r="H191" s="912"/>
      <c r="I191" s="912">
        <f t="shared" si="29"/>
        <v>0</v>
      </c>
      <c r="J191" s="912">
        <f t="shared" si="30"/>
        <v>0</v>
      </c>
    </row>
    <row r="192" customHeight="1" spans="1:10">
      <c r="A192" s="27">
        <v>54</v>
      </c>
      <c r="B192" s="18" t="s">
        <v>389</v>
      </c>
      <c r="C192" s="12" t="s">
        <v>390</v>
      </c>
      <c r="D192" s="15" t="s">
        <v>393</v>
      </c>
      <c r="E192" s="85">
        <v>86502.5</v>
      </c>
      <c r="F192" s="922">
        <v>96354.25</v>
      </c>
      <c r="G192" s="912"/>
      <c r="H192" s="912"/>
      <c r="I192" s="912">
        <f t="shared" si="29"/>
        <v>0</v>
      </c>
      <c r="J192" s="912">
        <f t="shared" si="30"/>
        <v>0</v>
      </c>
    </row>
    <row r="193" customHeight="1" spans="1:10">
      <c r="A193" s="27">
        <v>55</v>
      </c>
      <c r="B193" s="18" t="s">
        <v>392</v>
      </c>
      <c r="C193" s="12" t="s">
        <v>390</v>
      </c>
      <c r="D193" s="15" t="s">
        <v>395</v>
      </c>
      <c r="E193" s="85">
        <v>83933</v>
      </c>
      <c r="F193" s="922">
        <v>94788.1666666667</v>
      </c>
      <c r="G193" s="912"/>
      <c r="H193" s="912"/>
      <c r="I193" s="912">
        <f t="shared" si="29"/>
        <v>0</v>
      </c>
      <c r="J193" s="912">
        <f t="shared" si="30"/>
        <v>0</v>
      </c>
    </row>
    <row r="194" customHeight="1" spans="1:10">
      <c r="A194" s="27">
        <v>56</v>
      </c>
      <c r="B194" s="18" t="s">
        <v>396</v>
      </c>
      <c r="C194" s="12" t="s">
        <v>397</v>
      </c>
      <c r="D194" s="15" t="s">
        <v>609</v>
      </c>
      <c r="E194" s="85">
        <v>78733.8333333333</v>
      </c>
      <c r="F194" s="911">
        <v>91578.25</v>
      </c>
      <c r="G194" s="912"/>
      <c r="H194" s="912"/>
      <c r="I194" s="912">
        <f t="shared" si="29"/>
        <v>0</v>
      </c>
      <c r="J194" s="912">
        <f t="shared" si="30"/>
        <v>0</v>
      </c>
    </row>
    <row r="195" customHeight="1" spans="1:10">
      <c r="A195" s="27">
        <v>57</v>
      </c>
      <c r="B195" s="18" t="s">
        <v>399</v>
      </c>
      <c r="C195" s="12" t="s">
        <v>397</v>
      </c>
      <c r="D195" s="15" t="s">
        <v>609</v>
      </c>
      <c r="E195" s="85">
        <v>78733.8333333333</v>
      </c>
      <c r="F195" s="911">
        <v>91578.25</v>
      </c>
      <c r="G195" s="912"/>
      <c r="H195" s="912"/>
      <c r="I195" s="912">
        <f t="shared" si="29"/>
        <v>0</v>
      </c>
      <c r="J195" s="912">
        <f t="shared" si="30"/>
        <v>0</v>
      </c>
    </row>
    <row r="196" customHeight="1" spans="1:10">
      <c r="A196" s="27">
        <v>58</v>
      </c>
      <c r="B196" s="18" t="s">
        <v>400</v>
      </c>
      <c r="C196" s="12" t="s">
        <v>397</v>
      </c>
      <c r="D196" s="15" t="s">
        <v>609</v>
      </c>
      <c r="E196" s="85">
        <v>78733.8333333333</v>
      </c>
      <c r="F196" s="911">
        <v>91578.25</v>
      </c>
      <c r="G196" s="912"/>
      <c r="H196" s="912"/>
      <c r="I196" s="912">
        <f t="shared" si="29"/>
        <v>0</v>
      </c>
      <c r="J196" s="912">
        <f t="shared" si="30"/>
        <v>0</v>
      </c>
    </row>
    <row r="197" customHeight="1" spans="1:10">
      <c r="A197" s="27">
        <v>59</v>
      </c>
      <c r="B197" s="18" t="s">
        <v>401</v>
      </c>
      <c r="C197" s="12" t="s">
        <v>402</v>
      </c>
      <c r="D197" s="15" t="s">
        <v>391</v>
      </c>
      <c r="E197" s="85">
        <v>89050.25</v>
      </c>
      <c r="F197" s="911">
        <v>97920.6666666667</v>
      </c>
      <c r="G197" s="912"/>
      <c r="H197" s="912"/>
      <c r="I197" s="912">
        <f t="shared" si="29"/>
        <v>0</v>
      </c>
      <c r="J197" s="912">
        <f t="shared" si="30"/>
        <v>0</v>
      </c>
    </row>
    <row r="198" customHeight="1" spans="1:10">
      <c r="A198" s="27">
        <v>60</v>
      </c>
      <c r="B198" s="18" t="s">
        <v>404</v>
      </c>
      <c r="C198" s="12" t="s">
        <v>402</v>
      </c>
      <c r="D198" s="15" t="s">
        <v>391</v>
      </c>
      <c r="E198" s="85">
        <v>89050.25</v>
      </c>
      <c r="F198" s="911">
        <v>97920.6666666667</v>
      </c>
      <c r="G198" s="912"/>
      <c r="H198" s="912"/>
      <c r="I198" s="912">
        <f t="shared" si="29"/>
        <v>0</v>
      </c>
      <c r="J198" s="912">
        <f t="shared" si="30"/>
        <v>0</v>
      </c>
    </row>
    <row r="199" ht="30.75" customHeight="1" spans="1:10">
      <c r="A199" s="27"/>
      <c r="B199" s="8" t="s">
        <v>120</v>
      </c>
      <c r="C199" s="28" t="s">
        <v>670</v>
      </c>
      <c r="D199" s="29"/>
      <c r="E199" s="93">
        <f t="shared" ref="E199:J199" si="31">SUM(E139:E198)</f>
        <v>14787756.9166667</v>
      </c>
      <c r="F199" s="915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671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373109.295833334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10">
      <c r="A201" s="4"/>
      <c r="B201" s="30" t="s">
        <v>672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673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373109.295833334</v>
      </c>
      <c r="I202" s="227">
        <f t="shared" si="33"/>
        <v>105629.039583333</v>
      </c>
      <c r="J202" s="227">
        <f t="shared" si="33"/>
        <v>4477311.55</v>
      </c>
    </row>
    <row r="203" customHeight="1" spans="1:10">
      <c r="F203" s="1"/>
      <c r="G203" s="13"/>
      <c r="H203" s="13"/>
      <c r="I203" s="13"/>
      <c r="J203" s="13"/>
    </row>
    <row r="204" customHeight="1" spans="1:10">
      <c r="F204" s="1"/>
    </row>
    <row r="205" customHeight="1" spans="1:10">
      <c r="F205" s="1"/>
    </row>
    <row r="206" customHeight="1" spans="1:10">
      <c r="F206" s="1"/>
    </row>
    <row r="207" customHeight="1" spans="1:10">
      <c r="F207" s="1"/>
    </row>
    <row r="208" customHeight="1" spans="1:10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928" t="s">
        <v>694</v>
      </c>
      <c r="AA4" s="464" t="s">
        <v>476</v>
      </c>
      <c r="AB4" s="466" t="s">
        <v>695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6" si="0">C6*D6</f>
        <v>26956465</v>
      </c>
      <c r="F6" s="470"/>
      <c r="G6" s="470">
        <v>0</v>
      </c>
      <c r="H6" s="470"/>
      <c r="I6" s="470">
        <f t="shared" ref="I6:I36" si="1">E6-F6-G6-H6</f>
        <v>26956465</v>
      </c>
      <c r="J6" s="470">
        <v>200000</v>
      </c>
      <c r="K6" s="470">
        <v>0.2</v>
      </c>
      <c r="L6" s="470">
        <f t="shared" ref="L6:L36" si="2">I6*K6</f>
        <v>5391292.99999999</v>
      </c>
      <c r="M6" s="470">
        <f t="shared" ref="M6:M36" si="3">J6+L6</f>
        <v>5591292.99999999</v>
      </c>
      <c r="N6" s="470">
        <f t="shared" ref="N6:N36" si="4">F6+G6+H6+M6</f>
        <v>5591292.99999999</v>
      </c>
      <c r="O6" s="470">
        <f t="shared" ref="O6:O36" si="5">E6-N6</f>
        <v>21365172</v>
      </c>
      <c r="P6" s="470">
        <f t="shared" ref="P6:P36" si="6">IF(O6&lt;300000,0.07*O6,21000)</f>
        <v>21000</v>
      </c>
      <c r="Q6" s="470">
        <f t="shared" ref="Q6:Q36" si="7">IF((O6-300000)&lt;0,0,IF((O6-300000)&lt;300000,0.11*(O6-300000),33000))</f>
        <v>33000</v>
      </c>
      <c r="R6" s="470">
        <f t="shared" ref="R6:R36" si="8">IF((O6-600000)&lt;0,0,IF((O6-600000)&lt;500000,0.15*(O6-600000),75000))</f>
        <v>75000</v>
      </c>
      <c r="S6" s="470">
        <f t="shared" ref="S6:S36" si="9">IF((O6-1100000)&lt;0,0,IF((O6-1100000)&lt;500000,0.19*(O6-1100000),95000))</f>
        <v>95000</v>
      </c>
      <c r="T6" s="470">
        <f t="shared" ref="T6:T36" si="10">IF((O6-1600000)&lt;0,0,IF((O6-1600000)&lt;1600000,0.21*(O6-1600000),336000))</f>
        <v>336000</v>
      </c>
      <c r="U6" s="470">
        <f t="shared" ref="U6:U34" si="11">24%*(O6-3200000)</f>
        <v>4359641.27999999</v>
      </c>
      <c r="V6" s="470">
        <f t="shared" ref="V6:V36" si="12">P6+Q6+R6+S6+T6+U6</f>
        <v>4919641.27999999</v>
      </c>
      <c r="W6" s="471">
        <v>12</v>
      </c>
      <c r="X6" s="470">
        <f t="shared" ref="X6:X36" si="13">V6/W6</f>
        <v>409970.106666666</v>
      </c>
      <c r="Y6" s="470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1540720.61184</v>
      </c>
      <c r="V7" s="470">
        <f t="shared" si="12"/>
        <v>2100720.61184</v>
      </c>
      <c r="W7" s="471">
        <v>12</v>
      </c>
      <c r="X7" s="470">
        <f t="shared" si="13"/>
        <v>175060.050986667</v>
      </c>
      <c r="Y7" s="470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1295306.75</v>
      </c>
      <c r="D8" s="469">
        <v>12</v>
      </c>
      <c r="E8" s="470">
        <f t="shared" si="0"/>
        <v>15543681</v>
      </c>
      <c r="F8" s="470"/>
      <c r="G8" s="470">
        <v>0</v>
      </c>
      <c r="H8" s="470"/>
      <c r="I8" s="470">
        <f t="shared" si="1"/>
        <v>15543681</v>
      </c>
      <c r="J8" s="470">
        <v>200000</v>
      </c>
      <c r="K8" s="470">
        <v>0.2</v>
      </c>
      <c r="L8" s="470">
        <f t="shared" si="2"/>
        <v>3108736.2</v>
      </c>
      <c r="M8" s="470">
        <f t="shared" si="3"/>
        <v>3308736.2</v>
      </c>
      <c r="N8" s="470">
        <f t="shared" si="4"/>
        <v>3308736.2</v>
      </c>
      <c r="O8" s="470">
        <f t="shared" si="5"/>
        <v>12234944.8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2168386.752</v>
      </c>
      <c r="V8" s="470">
        <f t="shared" si="12"/>
        <v>2728386.752</v>
      </c>
      <c r="W8" s="471">
        <v>12</v>
      </c>
      <c r="X8" s="470">
        <f t="shared" si="13"/>
        <v>227365.562666667</v>
      </c>
      <c r="Y8" s="470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1485731.64864</v>
      </c>
      <c r="V9" s="470">
        <f t="shared" si="12"/>
        <v>2045731.64864</v>
      </c>
      <c r="W9" s="471">
        <v>12</v>
      </c>
      <c r="X9" s="470">
        <f t="shared" si="13"/>
        <v>170477.637386667</v>
      </c>
      <c r="Y9" s="470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992711.083333333</v>
      </c>
      <c r="D10" s="469">
        <v>12</v>
      </c>
      <c r="E10" s="470">
        <f t="shared" si="0"/>
        <v>11912533</v>
      </c>
      <c r="F10" s="470">
        <v>157015.95</v>
      </c>
      <c r="G10" s="470">
        <v>818602.64</v>
      </c>
      <c r="H10" s="470"/>
      <c r="I10" s="470">
        <f t="shared" si="1"/>
        <v>10936914.41</v>
      </c>
      <c r="J10" s="470">
        <v>200000</v>
      </c>
      <c r="K10" s="470">
        <v>0.2</v>
      </c>
      <c r="L10" s="470">
        <f t="shared" si="2"/>
        <v>2187382.882</v>
      </c>
      <c r="M10" s="470">
        <f t="shared" si="3"/>
        <v>2387382.882</v>
      </c>
      <c r="N10" s="470">
        <f t="shared" si="4"/>
        <v>3363001.472</v>
      </c>
      <c r="O10" s="470">
        <f t="shared" si="5"/>
        <v>8549531.528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1283887.56672</v>
      </c>
      <c r="V10" s="470">
        <f t="shared" si="12"/>
        <v>1843887.56672</v>
      </c>
      <c r="W10" s="471">
        <v>12</v>
      </c>
      <c r="X10" s="470">
        <f t="shared" si="13"/>
        <v>153657.297226667</v>
      </c>
      <c r="Y10" s="470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1519421.86944</v>
      </c>
      <c r="V11" s="470">
        <f t="shared" si="12"/>
        <v>2079421.86944</v>
      </c>
      <c r="W11" s="471">
        <v>12</v>
      </c>
      <c r="X11" s="470">
        <f t="shared" si="13"/>
        <v>173285.155786667</v>
      </c>
      <c r="Y11" s="470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659657</v>
      </c>
      <c r="D12" s="469">
        <v>12</v>
      </c>
      <c r="E12" s="470">
        <f t="shared" si="0"/>
        <v>7915884</v>
      </c>
      <c r="F12" s="470"/>
      <c r="G12" s="470">
        <v>566070.72</v>
      </c>
      <c r="H12" s="470"/>
      <c r="I12" s="470">
        <f t="shared" si="1"/>
        <v>7349813.28</v>
      </c>
      <c r="J12" s="470">
        <v>200000</v>
      </c>
      <c r="K12" s="470">
        <v>0.2</v>
      </c>
      <c r="L12" s="470">
        <f t="shared" si="2"/>
        <v>1469962.656</v>
      </c>
      <c r="M12" s="470">
        <f t="shared" si="3"/>
        <v>1669962.656</v>
      </c>
      <c r="N12" s="470">
        <f t="shared" si="4"/>
        <v>2236033.376</v>
      </c>
      <c r="O12" s="470">
        <f t="shared" si="5"/>
        <v>5679850.624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595164.14976</v>
      </c>
      <c r="V12" s="470">
        <f t="shared" si="12"/>
        <v>1155164.14976</v>
      </c>
      <c r="W12" s="471">
        <v>12</v>
      </c>
      <c r="X12" s="470">
        <f t="shared" si="13"/>
        <v>96263.6791466667</v>
      </c>
      <c r="Y12" s="470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1032595.5</v>
      </c>
      <c r="D13" s="469">
        <v>12</v>
      </c>
      <c r="E13" s="470">
        <f t="shared" si="0"/>
        <v>12391146</v>
      </c>
      <c r="F13" s="470"/>
      <c r="G13" s="470">
        <v>693691.68</v>
      </c>
      <c r="H13" s="470"/>
      <c r="I13" s="470">
        <f t="shared" si="1"/>
        <v>11697454.32</v>
      </c>
      <c r="J13" s="470">
        <v>200000</v>
      </c>
      <c r="K13" s="470">
        <v>0.2</v>
      </c>
      <c r="L13" s="470">
        <f t="shared" si="2"/>
        <v>2339490.864</v>
      </c>
      <c r="M13" s="470">
        <f t="shared" si="3"/>
        <v>2539490.864</v>
      </c>
      <c r="N13" s="470">
        <f t="shared" si="4"/>
        <v>3233182.544</v>
      </c>
      <c r="O13" s="470">
        <f t="shared" si="5"/>
        <v>9157963.456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1429911.22944</v>
      </c>
      <c r="V13" s="470">
        <f t="shared" si="12"/>
        <v>1989911.22944</v>
      </c>
      <c r="W13" s="471">
        <v>12</v>
      </c>
      <c r="X13" s="470">
        <f t="shared" si="13"/>
        <v>165825.935786667</v>
      </c>
      <c r="Y13" s="470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1265691.71712</v>
      </c>
      <c r="V14" s="470">
        <f t="shared" si="12"/>
        <v>1825691.71712</v>
      </c>
      <c r="W14" s="471">
        <v>12</v>
      </c>
      <c r="X14" s="470">
        <f t="shared" si="13"/>
        <v>152140.976426667</v>
      </c>
      <c r="Y14" s="470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968809.274879998</v>
      </c>
      <c r="V15" s="470">
        <f t="shared" si="12"/>
        <v>1528809.27488</v>
      </c>
      <c r="W15" s="471">
        <v>12</v>
      </c>
      <c r="X15" s="470">
        <f t="shared" si="13"/>
        <v>127400.772906667</v>
      </c>
      <c r="Y15" s="470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661351.333333333</v>
      </c>
      <c r="D16" s="469">
        <v>12</v>
      </c>
      <c r="E16" s="470">
        <f t="shared" si="0"/>
        <v>7936216</v>
      </c>
      <c r="F16" s="470"/>
      <c r="G16" s="470">
        <v>519697.279999999</v>
      </c>
      <c r="H16" s="470"/>
      <c r="I16" s="470">
        <f t="shared" si="1"/>
        <v>7416518.72</v>
      </c>
      <c r="J16" s="470">
        <v>200000</v>
      </c>
      <c r="K16" s="470">
        <v>0.2</v>
      </c>
      <c r="L16" s="470">
        <f t="shared" si="2"/>
        <v>1483303.744</v>
      </c>
      <c r="M16" s="470">
        <f t="shared" si="3"/>
        <v>1683303.744</v>
      </c>
      <c r="N16" s="470">
        <f t="shared" si="4"/>
        <v>2203001.024</v>
      </c>
      <c r="O16" s="470">
        <f t="shared" si="5"/>
        <v>5733214.976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607971.594239999</v>
      </c>
      <c r="V16" s="470">
        <f t="shared" si="12"/>
        <v>1167971.59424</v>
      </c>
      <c r="W16" s="471">
        <v>12</v>
      </c>
      <c r="X16" s="470">
        <f t="shared" si="13"/>
        <v>97330.9661866666</v>
      </c>
      <c r="Y16" s="470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1018815.63744</v>
      </c>
      <c r="V17" s="470">
        <f t="shared" si="12"/>
        <v>1578815.63744</v>
      </c>
      <c r="W17" s="471">
        <v>12</v>
      </c>
      <c r="X17" s="470">
        <f t="shared" si="13"/>
        <v>131567.969786667</v>
      </c>
      <c r="Y17" s="470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381810.65952</v>
      </c>
      <c r="V18" s="470">
        <f t="shared" si="12"/>
        <v>941810.65952</v>
      </c>
      <c r="W18" s="471">
        <v>12</v>
      </c>
      <c r="X18" s="470">
        <f t="shared" si="13"/>
        <v>78484.2216266667</v>
      </c>
      <c r="Y18" s="470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514963.03872</v>
      </c>
      <c r="V19" s="470">
        <f t="shared" si="12"/>
        <v>1074963.03872</v>
      </c>
      <c r="W19" s="471">
        <v>12</v>
      </c>
      <c r="X19" s="470">
        <f t="shared" si="13"/>
        <v>89580.2532266667</v>
      </c>
      <c r="Y19" s="470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806497.166666667</v>
      </c>
      <c r="D20" s="469">
        <v>12</v>
      </c>
      <c r="E20" s="470">
        <f t="shared" si="0"/>
        <v>9677966</v>
      </c>
      <c r="F20" s="470">
        <v>93328.325</v>
      </c>
      <c r="G20" s="470">
        <v>476637.28</v>
      </c>
      <c r="H20" s="470"/>
      <c r="I20" s="470">
        <f t="shared" si="1"/>
        <v>9108000.39500001</v>
      </c>
      <c r="J20" s="470">
        <v>200000</v>
      </c>
      <c r="K20" s="470">
        <v>0.2</v>
      </c>
      <c r="L20" s="470">
        <f t="shared" si="2"/>
        <v>1821600.079</v>
      </c>
      <c r="M20" s="470">
        <f t="shared" si="3"/>
        <v>2021600.079</v>
      </c>
      <c r="N20" s="470">
        <f t="shared" si="4"/>
        <v>2591565.684</v>
      </c>
      <c r="O20" s="470">
        <f t="shared" si="5"/>
        <v>7086400.316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932736.075840001</v>
      </c>
      <c r="V20" s="470">
        <f t="shared" si="12"/>
        <v>1492736.07584</v>
      </c>
      <c r="W20" s="471">
        <v>12</v>
      </c>
      <c r="X20" s="470">
        <f t="shared" si="13"/>
        <v>124394.672986667</v>
      </c>
      <c r="Y20" s="470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692662.666666667</v>
      </c>
      <c r="D21" s="469">
        <v>12</v>
      </c>
      <c r="E21" s="470">
        <f t="shared" si="0"/>
        <v>8311952</v>
      </c>
      <c r="F21" s="470"/>
      <c r="G21" s="470">
        <v>463356.160000001</v>
      </c>
      <c r="H21" s="470"/>
      <c r="I21" s="470">
        <f t="shared" si="1"/>
        <v>7848595.84</v>
      </c>
      <c r="J21" s="470">
        <v>200000</v>
      </c>
      <c r="K21" s="470">
        <v>0.2</v>
      </c>
      <c r="L21" s="470">
        <f t="shared" si="2"/>
        <v>1569719.168</v>
      </c>
      <c r="M21" s="470">
        <f t="shared" si="3"/>
        <v>1769719.168</v>
      </c>
      <c r="N21" s="470">
        <f t="shared" si="4"/>
        <v>2233075.328</v>
      </c>
      <c r="O21" s="470">
        <f t="shared" si="5"/>
        <v>6078876.672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690930.40128</v>
      </c>
      <c r="V21" s="470">
        <f t="shared" si="12"/>
        <v>1250930.40128</v>
      </c>
      <c r="W21" s="471">
        <v>12</v>
      </c>
      <c r="X21" s="470">
        <f t="shared" si="13"/>
        <v>104244.200106667</v>
      </c>
      <c r="Y21" s="470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839640.798719999</v>
      </c>
      <c r="V22" s="470">
        <f t="shared" si="12"/>
        <v>1399640.79872</v>
      </c>
      <c r="W22" s="471">
        <v>12</v>
      </c>
      <c r="X22" s="470">
        <f t="shared" si="13"/>
        <v>116636.733226667</v>
      </c>
      <c r="Y22" s="470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401880.798719999</v>
      </c>
      <c r="V23" s="470">
        <f t="shared" si="12"/>
        <v>961880.798719999</v>
      </c>
      <c r="W23" s="471">
        <v>12</v>
      </c>
      <c r="X23" s="470">
        <f t="shared" si="13"/>
        <v>80156.7332266666</v>
      </c>
      <c r="Y23" s="470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336000</v>
      </c>
      <c r="U24" s="470">
        <f t="shared" si="11"/>
        <v>590936.248319999</v>
      </c>
      <c r="V24" s="470">
        <f t="shared" si="12"/>
        <v>1150936.24832</v>
      </c>
      <c r="W24" s="471">
        <v>12</v>
      </c>
      <c r="X24" s="470">
        <f t="shared" si="13"/>
        <v>95911.3540266666</v>
      </c>
      <c r="Y24" s="470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336000</v>
      </c>
      <c r="U25" s="470">
        <f t="shared" si="11"/>
        <v>130136.248319998</v>
      </c>
      <c r="V25" s="470">
        <f t="shared" si="12"/>
        <v>690136.248319998</v>
      </c>
      <c r="W25" s="471">
        <v>12</v>
      </c>
      <c r="X25" s="470">
        <f t="shared" si="13"/>
        <v>57511.3540266665</v>
      </c>
      <c r="Y25" s="470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478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336000</v>
      </c>
      <c r="U26" s="470">
        <f t="shared" si="11"/>
        <v>75406.1107200006</v>
      </c>
      <c r="V26" s="470">
        <f t="shared" si="12"/>
        <v>635406.110720001</v>
      </c>
      <c r="W26" s="471">
        <v>12</v>
      </c>
      <c r="X26" s="470">
        <f t="shared" si="13"/>
        <v>52950.5092266667</v>
      </c>
      <c r="Y26" s="470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415320.666666667</v>
      </c>
      <c r="D27" s="469">
        <v>12</v>
      </c>
      <c r="E27" s="470">
        <f t="shared" si="0"/>
        <v>4983848</v>
      </c>
      <c r="F27" s="470"/>
      <c r="G27" s="470">
        <v>341107.840000001</v>
      </c>
      <c r="H27" s="470"/>
      <c r="I27" s="470">
        <f t="shared" si="1"/>
        <v>4642740.16</v>
      </c>
      <c r="J27" s="470">
        <v>200000</v>
      </c>
      <c r="K27" s="470">
        <v>0.2</v>
      </c>
      <c r="L27" s="470">
        <f t="shared" si="2"/>
        <v>928548.032000001</v>
      </c>
      <c r="M27" s="470">
        <f t="shared" si="3"/>
        <v>1128548.032</v>
      </c>
      <c r="N27" s="470">
        <f t="shared" si="4"/>
        <v>1469655.872</v>
      </c>
      <c r="O27" s="470">
        <f t="shared" si="5"/>
        <v>3514192.128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336000</v>
      </c>
      <c r="U27" s="470">
        <f t="shared" si="11"/>
        <v>75406.1107200006</v>
      </c>
      <c r="V27" s="470">
        <f t="shared" si="12"/>
        <v>635406.110720001</v>
      </c>
      <c r="W27" s="471">
        <v>12</v>
      </c>
      <c r="X27" s="470">
        <f t="shared" si="13"/>
        <v>52950.5092266667</v>
      </c>
      <c r="Y27" s="470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455320.666666667</v>
      </c>
      <c r="D28" s="469">
        <v>12</v>
      </c>
      <c r="E28" s="470">
        <f t="shared" si="0"/>
        <v>5463848</v>
      </c>
      <c r="F28" s="470"/>
      <c r="G28" s="470">
        <v>341107.840000001</v>
      </c>
      <c r="H28" s="470"/>
      <c r="I28" s="470">
        <f t="shared" si="1"/>
        <v>5122740.16</v>
      </c>
      <c r="J28" s="470">
        <v>200000</v>
      </c>
      <c r="K28" s="470">
        <v>0.2</v>
      </c>
      <c r="L28" s="470">
        <f t="shared" si="2"/>
        <v>1024548.032</v>
      </c>
      <c r="M28" s="470">
        <f t="shared" si="3"/>
        <v>1224548.032</v>
      </c>
      <c r="N28" s="470">
        <f t="shared" si="4"/>
        <v>1565655.872</v>
      </c>
      <c r="O28" s="470">
        <f t="shared" si="5"/>
        <v>3898192.128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336000</v>
      </c>
      <c r="U28" s="470">
        <f t="shared" si="11"/>
        <v>167566.110720001</v>
      </c>
      <c r="V28" s="470">
        <f t="shared" si="12"/>
        <v>727566.110720001</v>
      </c>
      <c r="W28" s="471">
        <v>12</v>
      </c>
      <c r="X28" s="470">
        <f t="shared" si="13"/>
        <v>60630.5092266667</v>
      </c>
      <c r="Y28" s="470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336000</v>
      </c>
      <c r="U29" s="470">
        <f t="shared" si="11"/>
        <v>57803.2281599984</v>
      </c>
      <c r="V29" s="470">
        <f t="shared" si="12"/>
        <v>617803.228159998</v>
      </c>
      <c r="W29" s="471">
        <v>12</v>
      </c>
      <c r="X29" s="470">
        <f t="shared" si="13"/>
        <v>51483.6023466665</v>
      </c>
      <c r="Y29" s="470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336000</v>
      </c>
      <c r="U30" s="470">
        <f t="shared" si="11"/>
        <v>40200.3456000005</v>
      </c>
      <c r="V30" s="470">
        <f t="shared" si="12"/>
        <v>600200.345600001</v>
      </c>
      <c r="W30" s="471">
        <v>12</v>
      </c>
      <c r="X30" s="470">
        <f t="shared" si="13"/>
        <v>50016.6954666667</v>
      </c>
      <c r="Y30" s="470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398711.666666667</v>
      </c>
      <c r="D31" s="469">
        <v>12</v>
      </c>
      <c r="E31" s="470">
        <f t="shared" si="0"/>
        <v>4784540</v>
      </c>
      <c r="F31" s="470"/>
      <c r="G31" s="474">
        <v>325163.200000001</v>
      </c>
      <c r="H31" s="470"/>
      <c r="I31" s="470">
        <f t="shared" si="1"/>
        <v>4459376.8</v>
      </c>
      <c r="J31" s="470">
        <v>200000</v>
      </c>
      <c r="K31" s="470">
        <v>0.2</v>
      </c>
      <c r="L31" s="470">
        <f t="shared" si="2"/>
        <v>891875.360000001</v>
      </c>
      <c r="M31" s="470">
        <f t="shared" si="3"/>
        <v>1091875.36</v>
      </c>
      <c r="N31" s="470">
        <f t="shared" si="4"/>
        <v>1417038.56</v>
      </c>
      <c r="O31" s="470">
        <f t="shared" si="5"/>
        <v>3367501.44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336000</v>
      </c>
      <c r="U31" s="470">
        <f t="shared" si="11"/>
        <v>40200.3456000005</v>
      </c>
      <c r="V31" s="470">
        <f t="shared" si="12"/>
        <v>600200.345600001</v>
      </c>
      <c r="W31" s="471">
        <v>12</v>
      </c>
      <c r="X31" s="470">
        <f t="shared" si="13"/>
        <v>50016.6954666667</v>
      </c>
      <c r="Y31" s="470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415320.666666667</v>
      </c>
      <c r="D32" s="469">
        <v>12</v>
      </c>
      <c r="E32" s="470">
        <f t="shared" si="0"/>
        <v>4983848</v>
      </c>
      <c r="F32" s="470"/>
      <c r="G32" s="474">
        <v>341107.840000001</v>
      </c>
      <c r="H32" s="470"/>
      <c r="I32" s="470">
        <f t="shared" si="1"/>
        <v>4642740.16</v>
      </c>
      <c r="J32" s="470">
        <v>200000</v>
      </c>
      <c r="K32" s="470">
        <v>0.2</v>
      </c>
      <c r="L32" s="470">
        <f t="shared" si="2"/>
        <v>928548.032000001</v>
      </c>
      <c r="M32" s="470">
        <f t="shared" si="3"/>
        <v>1128548.032</v>
      </c>
      <c r="N32" s="470">
        <f t="shared" si="4"/>
        <v>1469655.872</v>
      </c>
      <c r="O32" s="470">
        <f t="shared" si="5"/>
        <v>3514192.128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336000</v>
      </c>
      <c r="U32" s="470">
        <f t="shared" si="11"/>
        <v>75406.1107200006</v>
      </c>
      <c r="V32" s="470">
        <f t="shared" si="12"/>
        <v>635406.110720001</v>
      </c>
      <c r="W32" s="471">
        <v>12</v>
      </c>
      <c r="X32" s="470">
        <f t="shared" si="13"/>
        <v>52950.5092266667</v>
      </c>
      <c r="Y32" s="470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6"/>
        <v>21000</v>
      </c>
      <c r="Q33" s="470">
        <f t="shared" si="7"/>
        <v>33000</v>
      </c>
      <c r="R33" s="470">
        <f t="shared" si="8"/>
        <v>75000</v>
      </c>
      <c r="S33" s="470">
        <f t="shared" si="9"/>
        <v>95000</v>
      </c>
      <c r="T33" s="470">
        <f t="shared" si="10"/>
        <v>336000</v>
      </c>
      <c r="U33" s="470">
        <f t="shared" si="11"/>
        <v>37138.9747200005</v>
      </c>
      <c r="V33" s="470">
        <f t="shared" si="12"/>
        <v>597138.974720001</v>
      </c>
      <c r="W33" s="471">
        <v>12</v>
      </c>
      <c r="X33" s="470">
        <f t="shared" si="13"/>
        <v>49761.5812266667</v>
      </c>
      <c r="Y33" s="470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398711.666666667</v>
      </c>
      <c r="D34" s="469">
        <v>12</v>
      </c>
      <c r="E34" s="470">
        <f t="shared" si="0"/>
        <v>4784540</v>
      </c>
      <c r="F34" s="470"/>
      <c r="G34" s="474">
        <v>341107.840000001</v>
      </c>
      <c r="H34" s="470"/>
      <c r="I34" s="470">
        <f t="shared" si="1"/>
        <v>4443432.16</v>
      </c>
      <c r="J34" s="470">
        <v>200000</v>
      </c>
      <c r="K34" s="470">
        <v>0.2</v>
      </c>
      <c r="L34" s="470">
        <f t="shared" si="2"/>
        <v>888686.432000001</v>
      </c>
      <c r="M34" s="470">
        <f t="shared" si="3"/>
        <v>1088686.432</v>
      </c>
      <c r="N34" s="470">
        <f t="shared" si="4"/>
        <v>1429794.272</v>
      </c>
      <c r="O34" s="470">
        <f t="shared" si="5"/>
        <v>3354745.728</v>
      </c>
      <c r="P34" s="470">
        <f t="shared" si="6"/>
        <v>21000</v>
      </c>
      <c r="Q34" s="470">
        <f t="shared" si="7"/>
        <v>33000</v>
      </c>
      <c r="R34" s="470">
        <f t="shared" si="8"/>
        <v>75000</v>
      </c>
      <c r="S34" s="470">
        <f t="shared" si="9"/>
        <v>95000</v>
      </c>
      <c r="T34" s="470">
        <f t="shared" si="10"/>
        <v>336000</v>
      </c>
      <c r="U34" s="470">
        <f t="shared" si="11"/>
        <v>37138.9747200005</v>
      </c>
      <c r="V34" s="470">
        <f t="shared" si="12"/>
        <v>597138.974720001</v>
      </c>
      <c r="W34" s="471">
        <v>12</v>
      </c>
      <c r="X34" s="470">
        <f t="shared" si="13"/>
        <v>49761.5812266667</v>
      </c>
      <c r="Y34" s="470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3"/>
      <c r="AD34" s="473"/>
      <c r="AE34" s="473"/>
    </row>
    <row r="35" ht="15.5" spans="1:31">
      <c r="A35" s="467"/>
      <c r="B35" s="351" t="s">
        <v>103</v>
      </c>
      <c r="C35" s="477">
        <v>351910.75</v>
      </c>
      <c r="D35" s="469">
        <v>12</v>
      </c>
      <c r="E35" s="470">
        <f t="shared" si="0"/>
        <v>4222929</v>
      </c>
      <c r="F35" s="470"/>
      <c r="G35" s="474">
        <v>289834.32</v>
      </c>
      <c r="H35" s="470"/>
      <c r="I35" s="470">
        <f t="shared" si="1"/>
        <v>3933094.68</v>
      </c>
      <c r="J35" s="470">
        <v>200000</v>
      </c>
      <c r="K35" s="470">
        <v>0.2</v>
      </c>
      <c r="L35" s="470">
        <f t="shared" si="2"/>
        <v>786618.936</v>
      </c>
      <c r="M35" s="470">
        <f t="shared" si="3"/>
        <v>986618.936</v>
      </c>
      <c r="N35" s="470">
        <f t="shared" si="4"/>
        <v>1276453.256</v>
      </c>
      <c r="O35" s="470">
        <f t="shared" si="5"/>
        <v>2946475.744</v>
      </c>
      <c r="P35" s="470">
        <f t="shared" si="6"/>
        <v>21000</v>
      </c>
      <c r="Q35" s="470">
        <f t="shared" si="7"/>
        <v>33000</v>
      </c>
      <c r="R35" s="470">
        <f t="shared" si="8"/>
        <v>75000</v>
      </c>
      <c r="S35" s="470">
        <f t="shared" si="9"/>
        <v>95000</v>
      </c>
      <c r="T35" s="470">
        <f t="shared" si="10"/>
        <v>282759.90624</v>
      </c>
      <c r="U35" s="470"/>
      <c r="V35" s="470">
        <f t="shared" si="12"/>
        <v>506759.90624</v>
      </c>
      <c r="W35" s="470">
        <v>12</v>
      </c>
      <c r="X35" s="470">
        <f t="shared" si="13"/>
        <v>42229.9921866667</v>
      </c>
      <c r="Y35" s="470"/>
      <c r="Z35" s="929">
        <f t="shared" si="14"/>
        <v>42229.9921866667</v>
      </c>
      <c r="AA35" s="470">
        <v>30259.1656266667</v>
      </c>
      <c r="AB35" s="806">
        <f t="shared" si="15"/>
        <v>11970.82656</v>
      </c>
      <c r="AC35" s="473"/>
      <c r="AD35" s="473"/>
      <c r="AE35" s="473"/>
    </row>
    <row r="36" ht="31" spans="1:31">
      <c r="A36" s="467"/>
      <c r="B36" s="351" t="s">
        <v>106</v>
      </c>
      <c r="C36" s="470">
        <v>344900.833333334</v>
      </c>
      <c r="D36" s="469">
        <v>12</v>
      </c>
      <c r="E36" s="470">
        <f t="shared" si="0"/>
        <v>4138810.00000001</v>
      </c>
      <c r="F36" s="470"/>
      <c r="G36" s="474">
        <v>283104.8</v>
      </c>
      <c r="H36" s="470"/>
      <c r="I36" s="470">
        <f t="shared" si="1"/>
        <v>3855705.20000001</v>
      </c>
      <c r="J36" s="470">
        <v>200000</v>
      </c>
      <c r="K36" s="470">
        <v>0.2</v>
      </c>
      <c r="L36" s="470">
        <f t="shared" si="2"/>
        <v>771141.040000002</v>
      </c>
      <c r="M36" s="470">
        <f t="shared" si="3"/>
        <v>971141.040000002</v>
      </c>
      <c r="N36" s="470">
        <f t="shared" si="4"/>
        <v>1254245.84</v>
      </c>
      <c r="O36" s="470">
        <f t="shared" si="5"/>
        <v>2884564.16000001</v>
      </c>
      <c r="P36" s="470">
        <f t="shared" si="6"/>
        <v>21000</v>
      </c>
      <c r="Q36" s="470">
        <f t="shared" si="7"/>
        <v>33000</v>
      </c>
      <c r="R36" s="470">
        <f t="shared" si="8"/>
        <v>75000</v>
      </c>
      <c r="S36" s="470">
        <f t="shared" si="9"/>
        <v>95000</v>
      </c>
      <c r="T36" s="470">
        <f t="shared" si="10"/>
        <v>269758.473600001</v>
      </c>
      <c r="U36" s="470"/>
      <c r="V36" s="470">
        <f t="shared" si="12"/>
        <v>493758.473600001</v>
      </c>
      <c r="W36" s="470">
        <v>12</v>
      </c>
      <c r="X36" s="470">
        <f t="shared" si="13"/>
        <v>41146.5394666668</v>
      </c>
      <c r="Y36" s="470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ref="E39:E42" si="16">C39*D39</f>
        <v>22165276.9999999</v>
      </c>
      <c r="F39" s="470"/>
      <c r="G39" s="470">
        <v>1677222.16</v>
      </c>
      <c r="H39" s="470"/>
      <c r="I39" s="470">
        <f t="shared" ref="I39:I42" si="17">E39-F39-G39-H39</f>
        <v>20488054.8399999</v>
      </c>
      <c r="J39" s="470">
        <v>200000</v>
      </c>
      <c r="K39" s="470">
        <v>0.2</v>
      </c>
      <c r="L39" s="470">
        <f t="shared" ref="L39:L42" si="18">I39*K39</f>
        <v>4097610.96799998</v>
      </c>
      <c r="M39" s="470">
        <f t="shared" ref="M39:M42" si="19">J39+L39</f>
        <v>4297610.96799998</v>
      </c>
      <c r="N39" s="470">
        <f t="shared" ref="N39:N42" si="20">F39+G39+H39+M39</f>
        <v>5974833.12799998</v>
      </c>
      <c r="O39" s="470">
        <f t="shared" ref="O39:O42" si="21">E39-N39</f>
        <v>16190443.8719999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 t="shared" ref="U39:U42" si="27">24%*(O39-3200000)</f>
        <v>3117706.52927998</v>
      </c>
      <c r="V39" s="470">
        <f t="shared" ref="V39:V42" si="28">P39+Q39+R39+S39+T39+U39</f>
        <v>3677706.52927998</v>
      </c>
      <c r="W39" s="471">
        <v>12</v>
      </c>
      <c r="X39" s="470">
        <f t="shared" ref="X39:X42" si="29">V39/W39</f>
        <v>306475.544106665</v>
      </c>
      <c r="Y39" s="470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6"/>
        <v>5293687.99999999</v>
      </c>
      <c r="F40" s="470"/>
      <c r="G40" s="470">
        <v>365895.04</v>
      </c>
      <c r="H40" s="470"/>
      <c r="I40" s="470">
        <f t="shared" si="17"/>
        <v>4927792.95999999</v>
      </c>
      <c r="J40" s="470">
        <v>200000</v>
      </c>
      <c r="K40" s="470">
        <v>0.2</v>
      </c>
      <c r="L40" s="470">
        <f t="shared" si="18"/>
        <v>985558.591999998</v>
      </c>
      <c r="M40" s="470">
        <f t="shared" si="19"/>
        <v>1185558.592</v>
      </c>
      <c r="N40" s="470">
        <f t="shared" si="20"/>
        <v>1551453.632</v>
      </c>
      <c r="O40" s="470">
        <f t="shared" si="21"/>
        <v>3742234.36799999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95000</v>
      </c>
      <c r="T40" s="470">
        <f t="shared" si="26"/>
        <v>336000</v>
      </c>
      <c r="U40" s="470">
        <f t="shared" si="27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450135.833333334</v>
      </c>
      <c r="D41" s="469">
        <v>12</v>
      </c>
      <c r="E41" s="470">
        <f t="shared" si="16"/>
        <v>5401630.00000001</v>
      </c>
      <c r="F41" s="470"/>
      <c r="G41" s="470">
        <v>374530.4</v>
      </c>
      <c r="H41" s="470"/>
      <c r="I41" s="470">
        <f t="shared" si="17"/>
        <v>5027099.60000001</v>
      </c>
      <c r="J41" s="470">
        <v>200000</v>
      </c>
      <c r="K41" s="470">
        <v>0.2</v>
      </c>
      <c r="L41" s="470">
        <f t="shared" si="18"/>
        <v>1005419.92</v>
      </c>
      <c r="M41" s="470">
        <f t="shared" si="19"/>
        <v>1205419.92</v>
      </c>
      <c r="N41" s="470">
        <f t="shared" si="20"/>
        <v>1579950.32</v>
      </c>
      <c r="O41" s="470">
        <f t="shared" si="21"/>
        <v>3821679.68000001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95000</v>
      </c>
      <c r="T41" s="470">
        <f t="shared" si="26"/>
        <v>336000</v>
      </c>
      <c r="U41" s="470">
        <f t="shared" si="27"/>
        <v>149203.123200002</v>
      </c>
      <c r="V41" s="470">
        <f t="shared" si="28"/>
        <v>709203.123200002</v>
      </c>
      <c r="W41" s="471">
        <v>12</v>
      </c>
      <c r="X41" s="470">
        <f t="shared" si="29"/>
        <v>59100.2602666668</v>
      </c>
      <c r="Y41" s="470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6"/>
        <v>4784540</v>
      </c>
      <c r="F42" s="470"/>
      <c r="G42" s="474">
        <v>325163.200000001</v>
      </c>
      <c r="H42" s="470"/>
      <c r="I42" s="470">
        <f t="shared" si="17"/>
        <v>4459376.8</v>
      </c>
      <c r="J42" s="470">
        <v>200000</v>
      </c>
      <c r="K42" s="470">
        <v>0.2</v>
      </c>
      <c r="L42" s="470">
        <f t="shared" si="18"/>
        <v>891875.360000001</v>
      </c>
      <c r="M42" s="470">
        <f t="shared" si="19"/>
        <v>1091875.36</v>
      </c>
      <c r="N42" s="470">
        <f t="shared" si="20"/>
        <v>1417038.56</v>
      </c>
      <c r="O42" s="470">
        <f t="shared" si="21"/>
        <v>3367501.44</v>
      </c>
      <c r="P42" s="470">
        <f t="shared" si="22"/>
        <v>21000</v>
      </c>
      <c r="Q42" s="470">
        <f t="shared" si="23"/>
        <v>33000</v>
      </c>
      <c r="R42" s="470">
        <f t="shared" si="24"/>
        <v>75000</v>
      </c>
      <c r="S42" s="470">
        <f t="shared" si="25"/>
        <v>95000</v>
      </c>
      <c r="T42" s="470">
        <f t="shared" si="26"/>
        <v>336000</v>
      </c>
      <c r="U42" s="470">
        <f t="shared" si="27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1185306.75</v>
      </c>
      <c r="D45" s="469">
        <v>12</v>
      </c>
      <c r="E45" s="470">
        <f t="shared" ref="E45:E52" si="32">C45*D45</f>
        <v>14223681</v>
      </c>
      <c r="F45" s="470"/>
      <c r="G45" s="474">
        <v>869094.48</v>
      </c>
      <c r="H45" s="470"/>
      <c r="I45" s="470">
        <f t="shared" ref="I45:I52" si="33">E45-F45-G45-H45</f>
        <v>13354586.52</v>
      </c>
      <c r="J45" s="470">
        <v>200000</v>
      </c>
      <c r="K45" s="470">
        <v>0.2</v>
      </c>
      <c r="L45" s="470">
        <f t="shared" ref="L45:L52" si="34">I45*K45</f>
        <v>2670917.304</v>
      </c>
      <c r="M45" s="470">
        <f t="shared" ref="M45:M52" si="35">J45+L45</f>
        <v>2870917.304</v>
      </c>
      <c r="N45" s="470">
        <f t="shared" ref="N45:N52" si="36">F45+G45+H45+M45</f>
        <v>3740011.784</v>
      </c>
      <c r="O45" s="470">
        <f t="shared" ref="O45:O52" si="37">E45-N45</f>
        <v>10483669.216</v>
      </c>
      <c r="P45" s="470">
        <f t="shared" ref="P45:P52" si="38">IF(O45&lt;300000,0.07*O45,21000)</f>
        <v>21000</v>
      </c>
      <c r="Q45" s="470">
        <f t="shared" ref="Q45:Q52" si="39">IF((O45-300000)&lt;0,0,IF((O45-300000)&lt;300000,0.11*(O45-300000),33000))</f>
        <v>33000</v>
      </c>
      <c r="R45" s="470">
        <f t="shared" ref="R45:R52" si="40">IF((O45-600000)&lt;0,0,IF((O45-600000)&lt;500000,0.15*(O45-600000),75000))</f>
        <v>75000</v>
      </c>
      <c r="S45" s="470">
        <f t="shared" ref="S45:S52" si="41">IF((O45-1100000)&lt;0,0,IF((O45-1100000)&lt;500000,0.19*(O45-1100000),95000))</f>
        <v>95000</v>
      </c>
      <c r="T45" s="470">
        <f t="shared" ref="T45:T52" si="42">IF((O45-1600000)&lt;0,0,IF((O45-1600000)&lt;1600000,0.21*(O45-1600000),336000))</f>
        <v>336000</v>
      </c>
      <c r="U45" s="470">
        <f>0.24*(O45-3200000)</f>
        <v>1748080.61184</v>
      </c>
      <c r="V45" s="470">
        <f t="shared" ref="V45:V52" si="43">P45+Q45+R45+S45+T45+U45</f>
        <v>2308080.61184</v>
      </c>
      <c r="W45" s="471">
        <v>12</v>
      </c>
      <c r="X45" s="470">
        <f t="shared" ref="X45:X52" si="44">V45/W45</f>
        <v>192340.050986667</v>
      </c>
      <c r="Y45" s="470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2"/>
        <v>10853724</v>
      </c>
      <c r="F46" s="476"/>
      <c r="G46" s="474">
        <v>714697.92</v>
      </c>
      <c r="H46" s="476"/>
      <c r="I46" s="470">
        <f t="shared" si="33"/>
        <v>10139026.08</v>
      </c>
      <c r="J46" s="470">
        <v>200000</v>
      </c>
      <c r="K46" s="470">
        <v>0.2</v>
      </c>
      <c r="L46" s="470">
        <f t="shared" si="34"/>
        <v>2027805.216</v>
      </c>
      <c r="M46" s="470">
        <f t="shared" si="35"/>
        <v>2227805.216</v>
      </c>
      <c r="N46" s="470">
        <f t="shared" si="36"/>
        <v>2942503.136</v>
      </c>
      <c r="O46" s="470">
        <f t="shared" si="37"/>
        <v>7911220.864</v>
      </c>
      <c r="P46" s="470">
        <f t="shared" si="38"/>
        <v>21000</v>
      </c>
      <c r="Q46" s="470">
        <f t="shared" si="39"/>
        <v>33000</v>
      </c>
      <c r="R46" s="470">
        <f t="shared" si="40"/>
        <v>75000</v>
      </c>
      <c r="S46" s="470">
        <f t="shared" si="41"/>
        <v>95000</v>
      </c>
      <c r="T46" s="470">
        <f t="shared" si="42"/>
        <v>336000</v>
      </c>
      <c r="U46" s="470">
        <f t="shared" ref="U46:U52" si="47">24%*(O46-3200000)</f>
        <v>1130693.00736</v>
      </c>
      <c r="V46" s="470">
        <f t="shared" si="43"/>
        <v>1690693.00736</v>
      </c>
      <c r="W46" s="471">
        <v>12</v>
      </c>
      <c r="X46" s="470">
        <f t="shared" si="44"/>
        <v>140891.083946667</v>
      </c>
      <c r="Y46" s="476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904477</v>
      </c>
      <c r="D47" s="469">
        <v>12</v>
      </c>
      <c r="E47" s="470">
        <f t="shared" si="32"/>
        <v>10853724</v>
      </c>
      <c r="F47" s="476">
        <v>137703.15</v>
      </c>
      <c r="G47" s="474">
        <v>714697.92</v>
      </c>
      <c r="H47" s="476"/>
      <c r="I47" s="470">
        <f t="shared" si="33"/>
        <v>10001322.93</v>
      </c>
      <c r="J47" s="470">
        <v>200000</v>
      </c>
      <c r="K47" s="470">
        <v>0.2</v>
      </c>
      <c r="L47" s="470">
        <f t="shared" si="34"/>
        <v>2000264.586</v>
      </c>
      <c r="M47" s="470">
        <f t="shared" si="35"/>
        <v>2200264.586</v>
      </c>
      <c r="N47" s="470">
        <f t="shared" si="36"/>
        <v>3052665.656</v>
      </c>
      <c r="O47" s="470">
        <f t="shared" si="37"/>
        <v>7801058.344</v>
      </c>
      <c r="P47" s="470">
        <f t="shared" si="38"/>
        <v>21000</v>
      </c>
      <c r="Q47" s="470">
        <f t="shared" si="39"/>
        <v>33000</v>
      </c>
      <c r="R47" s="470">
        <f t="shared" si="40"/>
        <v>75000</v>
      </c>
      <c r="S47" s="470">
        <f t="shared" si="41"/>
        <v>95000</v>
      </c>
      <c r="T47" s="470">
        <f t="shared" si="42"/>
        <v>336000</v>
      </c>
      <c r="U47" s="470">
        <f t="shared" si="47"/>
        <v>1104254.00256</v>
      </c>
      <c r="V47" s="470">
        <f t="shared" si="43"/>
        <v>1664254.00256</v>
      </c>
      <c r="W47" s="471">
        <v>12</v>
      </c>
      <c r="X47" s="470">
        <f t="shared" si="44"/>
        <v>138687.833546667</v>
      </c>
      <c r="Y47" s="476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2"/>
        <v>10591146</v>
      </c>
      <c r="F48" s="476"/>
      <c r="G48" s="474">
        <v>693691.68</v>
      </c>
      <c r="H48" s="476"/>
      <c r="I48" s="470">
        <f t="shared" si="33"/>
        <v>9897454.32</v>
      </c>
      <c r="J48" s="470">
        <v>200000</v>
      </c>
      <c r="K48" s="470">
        <v>0.2</v>
      </c>
      <c r="L48" s="470">
        <f t="shared" si="34"/>
        <v>1979490.864</v>
      </c>
      <c r="M48" s="470">
        <f t="shared" si="35"/>
        <v>2179490.864</v>
      </c>
      <c r="N48" s="470">
        <f t="shared" si="36"/>
        <v>2873182.544</v>
      </c>
      <c r="O48" s="470">
        <f t="shared" si="37"/>
        <v>7717963.456</v>
      </c>
      <c r="P48" s="470">
        <f t="shared" si="38"/>
        <v>21000</v>
      </c>
      <c r="Q48" s="470">
        <f t="shared" si="39"/>
        <v>33000</v>
      </c>
      <c r="R48" s="470">
        <f t="shared" si="40"/>
        <v>75000</v>
      </c>
      <c r="S48" s="470">
        <f t="shared" si="41"/>
        <v>95000</v>
      </c>
      <c r="T48" s="470">
        <f t="shared" si="42"/>
        <v>336000</v>
      </c>
      <c r="U48" s="470">
        <f t="shared" si="47"/>
        <v>1084311.22944</v>
      </c>
      <c r="V48" s="470">
        <f t="shared" si="43"/>
        <v>1644311.22944</v>
      </c>
      <c r="W48" s="471">
        <v>12</v>
      </c>
      <c r="X48" s="470">
        <f t="shared" si="44"/>
        <v>137025.935786667</v>
      </c>
      <c r="Y48" s="476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2"/>
        <v>10328567</v>
      </c>
      <c r="F49" s="470"/>
      <c r="G49" s="474">
        <v>672685.36</v>
      </c>
      <c r="H49" s="476"/>
      <c r="I49" s="470">
        <f t="shared" si="33"/>
        <v>9655881.63999999</v>
      </c>
      <c r="J49" s="470">
        <v>200000</v>
      </c>
      <c r="K49" s="470">
        <v>0.2</v>
      </c>
      <c r="L49" s="470">
        <f t="shared" si="34"/>
        <v>1931176.328</v>
      </c>
      <c r="M49" s="470">
        <f t="shared" si="35"/>
        <v>2131176.328</v>
      </c>
      <c r="N49" s="470">
        <f t="shared" si="36"/>
        <v>2803861.688</v>
      </c>
      <c r="O49" s="470">
        <f t="shared" si="37"/>
        <v>7524705.31199999</v>
      </c>
      <c r="P49" s="470">
        <f t="shared" si="38"/>
        <v>21000</v>
      </c>
      <c r="Q49" s="470">
        <f t="shared" si="39"/>
        <v>33000</v>
      </c>
      <c r="R49" s="470">
        <f t="shared" si="40"/>
        <v>75000</v>
      </c>
      <c r="S49" s="470">
        <f t="shared" si="41"/>
        <v>95000</v>
      </c>
      <c r="T49" s="470">
        <f t="shared" si="42"/>
        <v>336000</v>
      </c>
      <c r="U49" s="470">
        <f t="shared" si="47"/>
        <v>1037929.27488</v>
      </c>
      <c r="V49" s="470">
        <f t="shared" si="43"/>
        <v>1597929.27488</v>
      </c>
      <c r="W49" s="471">
        <v>12</v>
      </c>
      <c r="X49" s="470">
        <f t="shared" si="44"/>
        <v>133160.772906667</v>
      </c>
      <c r="Y49" s="476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2"/>
        <v>5881630.00000001</v>
      </c>
      <c r="F50" s="470"/>
      <c r="G50" s="474">
        <v>374530.4</v>
      </c>
      <c r="H50" s="476"/>
      <c r="I50" s="470">
        <f t="shared" si="33"/>
        <v>5507099.60000001</v>
      </c>
      <c r="J50" s="470">
        <v>200000</v>
      </c>
      <c r="K50" s="470">
        <v>0.2</v>
      </c>
      <c r="L50" s="470">
        <f t="shared" si="34"/>
        <v>1101419.92</v>
      </c>
      <c r="M50" s="470">
        <f t="shared" si="35"/>
        <v>1301419.92</v>
      </c>
      <c r="N50" s="470">
        <f t="shared" si="36"/>
        <v>1675950.32</v>
      </c>
      <c r="O50" s="470">
        <f t="shared" si="37"/>
        <v>4205679.68000001</v>
      </c>
      <c r="P50" s="470">
        <f t="shared" si="38"/>
        <v>21000</v>
      </c>
      <c r="Q50" s="470">
        <f t="shared" si="39"/>
        <v>33000</v>
      </c>
      <c r="R50" s="470">
        <f t="shared" si="40"/>
        <v>75000</v>
      </c>
      <c r="S50" s="470">
        <f t="shared" si="41"/>
        <v>95000</v>
      </c>
      <c r="T50" s="470">
        <f t="shared" si="42"/>
        <v>336000</v>
      </c>
      <c r="U50" s="470">
        <f t="shared" si="47"/>
        <v>241363.123200002</v>
      </c>
      <c r="V50" s="470">
        <f t="shared" si="43"/>
        <v>801363.123200002</v>
      </c>
      <c r="W50" s="471">
        <v>12</v>
      </c>
      <c r="X50" s="470">
        <f t="shared" si="44"/>
        <v>66780.2602666668</v>
      </c>
      <c r="Y50" s="476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2"/>
        <v>5364193.99999999</v>
      </c>
      <c r="F51" s="470"/>
      <c r="G51" s="474">
        <v>333135.52</v>
      </c>
      <c r="H51" s="476"/>
      <c r="I51" s="470">
        <f t="shared" si="33"/>
        <v>5031058.47999999</v>
      </c>
      <c r="J51" s="470">
        <v>200000</v>
      </c>
      <c r="K51" s="470">
        <v>0.2</v>
      </c>
      <c r="L51" s="470">
        <f t="shared" si="34"/>
        <v>1006211.696</v>
      </c>
      <c r="M51" s="470">
        <f t="shared" si="35"/>
        <v>1206211.696</v>
      </c>
      <c r="N51" s="470">
        <f t="shared" si="36"/>
        <v>1539347.216</v>
      </c>
      <c r="O51" s="470">
        <f t="shared" si="37"/>
        <v>3824846.78399999</v>
      </c>
      <c r="P51" s="470">
        <f t="shared" si="38"/>
        <v>21000</v>
      </c>
      <c r="Q51" s="470">
        <f t="shared" si="39"/>
        <v>33000</v>
      </c>
      <c r="R51" s="470">
        <f t="shared" si="40"/>
        <v>75000</v>
      </c>
      <c r="S51" s="470">
        <f t="shared" si="41"/>
        <v>95000</v>
      </c>
      <c r="T51" s="470">
        <f t="shared" si="42"/>
        <v>336000</v>
      </c>
      <c r="U51" s="470">
        <f t="shared" si="47"/>
        <v>149963.228159998</v>
      </c>
      <c r="V51" s="470">
        <f t="shared" si="43"/>
        <v>709963.228159998</v>
      </c>
      <c r="W51" s="471">
        <v>12</v>
      </c>
      <c r="X51" s="470">
        <f t="shared" si="44"/>
        <v>59163.6023466665</v>
      </c>
      <c r="Y51" s="476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2"/>
        <v>5364193.99999999</v>
      </c>
      <c r="F52" s="470"/>
      <c r="G52" s="474">
        <v>333135.52</v>
      </c>
      <c r="H52" s="476"/>
      <c r="I52" s="470">
        <f t="shared" si="33"/>
        <v>5031058.47999999</v>
      </c>
      <c r="J52" s="470">
        <v>200000</v>
      </c>
      <c r="K52" s="470">
        <v>0.2</v>
      </c>
      <c r="L52" s="470">
        <f t="shared" si="34"/>
        <v>1006211.696</v>
      </c>
      <c r="M52" s="470">
        <f t="shared" si="35"/>
        <v>1206211.696</v>
      </c>
      <c r="N52" s="470">
        <f t="shared" si="36"/>
        <v>1539347.216</v>
      </c>
      <c r="O52" s="470">
        <f t="shared" si="37"/>
        <v>3824846.78399999</v>
      </c>
      <c r="P52" s="470">
        <f t="shared" si="38"/>
        <v>21000</v>
      </c>
      <c r="Q52" s="470">
        <f t="shared" si="39"/>
        <v>33000</v>
      </c>
      <c r="R52" s="470">
        <f t="shared" si="40"/>
        <v>75000</v>
      </c>
      <c r="S52" s="470">
        <f t="shared" si="41"/>
        <v>95000</v>
      </c>
      <c r="T52" s="470">
        <f t="shared" si="42"/>
        <v>336000</v>
      </c>
      <c r="U52" s="470">
        <f t="shared" si="47"/>
        <v>149963.228159998</v>
      </c>
      <c r="V52" s="470">
        <f t="shared" si="43"/>
        <v>709963.228159998</v>
      </c>
      <c r="W52" s="471">
        <v>12</v>
      </c>
      <c r="X52" s="470">
        <f t="shared" si="44"/>
        <v>59163.6023466665</v>
      </c>
      <c r="Y52" s="476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5" si="48">C55*D55</f>
        <v>23365276.9999999</v>
      </c>
      <c r="F55" s="470"/>
      <c r="G55" s="474">
        <v>1677222.16</v>
      </c>
      <c r="H55" s="476"/>
      <c r="I55" s="470">
        <f t="shared" ref="I55:I65" si="49">E55-F55-G55-H55</f>
        <v>21688054.8399999</v>
      </c>
      <c r="J55" s="470">
        <v>200000</v>
      </c>
      <c r="K55" s="470">
        <v>0.2</v>
      </c>
      <c r="L55" s="470">
        <f t="shared" ref="L55:L65" si="50">I55*K55</f>
        <v>4337610.96799998</v>
      </c>
      <c r="M55" s="470">
        <f t="shared" ref="M55:M65" si="51">J55+L55</f>
        <v>4537610.96799998</v>
      </c>
      <c r="N55" s="470">
        <f t="shared" ref="N55:N65" si="52">F55+G55+H55+M55</f>
        <v>6214833.12799998</v>
      </c>
      <c r="O55" s="470">
        <f t="shared" ref="O55:O65" si="53">E55-N55</f>
        <v>17150443.8719999</v>
      </c>
      <c r="P55" s="470">
        <f t="shared" ref="P55:P65" si="54">IF(O55&lt;300000,0.07*O55,21000)</f>
        <v>21000</v>
      </c>
      <c r="Q55" s="470">
        <f t="shared" ref="Q55:Q65" si="55">IF((O55-300000)&lt;0,0,IF((O55-300000)&lt;300000,0.11*(O55-300000),33000))</f>
        <v>33000</v>
      </c>
      <c r="R55" s="470">
        <f t="shared" ref="R55:R65" si="56">IF((O55-600000)&lt;0,0,IF((O55-600000)&lt;500000,0.15*(O55-600000),75000))</f>
        <v>75000</v>
      </c>
      <c r="S55" s="470">
        <f t="shared" ref="S55:S65" si="57">IF((O55-1100000)&lt;0,0,IF((O55-1100000)&lt;500000,0.19*(O55-1100000),95000))</f>
        <v>95000</v>
      </c>
      <c r="T55" s="470">
        <f t="shared" ref="T55:T65" si="58">IF((O55-1600000)&lt;0,0,IF((O55-1600000)&lt;1600000,0.21*(O55-1600000),336000))</f>
        <v>336000</v>
      </c>
      <c r="U55" s="470">
        <f t="shared" ref="U55:U65" si="59">24%*(O55-3200000)</f>
        <v>3348106.52927998</v>
      </c>
      <c r="V55" s="470">
        <f t="shared" ref="V55:V65" si="60">P55+Q55+R55+S55+T55+U55</f>
        <v>3908106.52927998</v>
      </c>
      <c r="W55" s="471">
        <v>12</v>
      </c>
      <c r="X55" s="470">
        <f t="shared" ref="X55:X65" si="61">V55/W55</f>
        <v>325675.544106665</v>
      </c>
      <c r="Y55" s="476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431205.688320001</v>
      </c>
      <c r="V61" s="470">
        <f t="shared" si="60"/>
        <v>991205.688320001</v>
      </c>
      <c r="W61" s="471">
        <v>12</v>
      </c>
      <c r="X61" s="470">
        <f t="shared" si="61"/>
        <v>82600.4740266667</v>
      </c>
      <c r="Y61" s="476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3"/>
      <c r="AD61" s="473"/>
      <c r="AE61" s="473"/>
    </row>
    <row r="62" ht="15.5" spans="1:31">
      <c r="A62" s="467">
        <v>53</v>
      </c>
      <c r="B62" s="351" t="s">
        <v>172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431205.688320001</v>
      </c>
      <c r="V62" s="470">
        <f t="shared" si="60"/>
        <v>991205.688320001</v>
      </c>
      <c r="W62" s="471">
        <v>12</v>
      </c>
      <c r="X62" s="470">
        <f t="shared" si="61"/>
        <v>82600.4740266667</v>
      </c>
      <c r="Y62" s="476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3"/>
      <c r="AD62" s="473"/>
      <c r="AE62" s="473"/>
    </row>
    <row r="63" ht="15.5" spans="1:31">
      <c r="A63" s="467">
        <v>54</v>
      </c>
      <c r="B63" s="643" t="s">
        <v>174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431205.688320001</v>
      </c>
      <c r="V63" s="470">
        <f t="shared" si="60"/>
        <v>991205.688320001</v>
      </c>
      <c r="W63" s="471">
        <v>12</v>
      </c>
      <c r="X63" s="470">
        <f t="shared" si="61"/>
        <v>82600.4740266667</v>
      </c>
      <c r="Y63" s="476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3"/>
      <c r="AD63" s="473"/>
      <c r="AE63" s="473"/>
    </row>
    <row r="64" ht="15.5" spans="1:31">
      <c r="A64" s="467">
        <v>55</v>
      </c>
      <c r="B64" s="651" t="s">
        <v>175</v>
      </c>
      <c r="C64" s="470">
        <v>592662.666666667</v>
      </c>
      <c r="D64" s="469">
        <v>12</v>
      </c>
      <c r="E64" s="470">
        <f t="shared" si="48"/>
        <v>7111952</v>
      </c>
      <c r="F64" s="470"/>
      <c r="G64" s="474">
        <v>463356.160000001</v>
      </c>
      <c r="H64" s="476"/>
      <c r="I64" s="470">
        <f t="shared" si="49"/>
        <v>6648595.84</v>
      </c>
      <c r="J64" s="470">
        <v>200000</v>
      </c>
      <c r="K64" s="470">
        <v>0.2</v>
      </c>
      <c r="L64" s="470">
        <f t="shared" si="50"/>
        <v>1329719.168</v>
      </c>
      <c r="M64" s="470">
        <f t="shared" si="51"/>
        <v>1529719.168</v>
      </c>
      <c r="N64" s="470">
        <f t="shared" si="52"/>
        <v>1993075.328</v>
      </c>
      <c r="O64" s="470">
        <f t="shared" si="53"/>
        <v>5118876.672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460530.401280001</v>
      </c>
      <c r="V64" s="470">
        <f t="shared" si="60"/>
        <v>1020530.40128</v>
      </c>
      <c r="W64" s="471">
        <v>12</v>
      </c>
      <c r="X64" s="470">
        <f t="shared" si="61"/>
        <v>85044.2001066667</v>
      </c>
      <c r="Y64" s="476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3"/>
      <c r="AD64" s="473"/>
      <c r="AE64" s="473"/>
    </row>
    <row r="65" ht="15.5" spans="1:31">
      <c r="A65" s="467">
        <v>56</v>
      </c>
      <c r="B65" s="651" t="s">
        <v>179</v>
      </c>
      <c r="C65" s="470">
        <v>490135.833333334</v>
      </c>
      <c r="D65" s="469">
        <v>12</v>
      </c>
      <c r="E65" s="470">
        <f t="shared" si="48"/>
        <v>5881630.00000001</v>
      </c>
      <c r="F65" s="470"/>
      <c r="G65" s="474">
        <v>374530.4</v>
      </c>
      <c r="H65" s="476"/>
      <c r="I65" s="470">
        <f t="shared" si="49"/>
        <v>5507099.60000001</v>
      </c>
      <c r="J65" s="470">
        <v>200000</v>
      </c>
      <c r="K65" s="470">
        <v>0.2</v>
      </c>
      <c r="L65" s="470">
        <f t="shared" si="50"/>
        <v>1101419.92</v>
      </c>
      <c r="M65" s="470">
        <f t="shared" si="51"/>
        <v>1301419.92</v>
      </c>
      <c r="N65" s="470">
        <f t="shared" si="52"/>
        <v>1675950.32</v>
      </c>
      <c r="O65" s="470">
        <f t="shared" si="53"/>
        <v>4205679.68000001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241363.123200002</v>
      </c>
      <c r="V65" s="470">
        <f t="shared" si="60"/>
        <v>801363.123200002</v>
      </c>
      <c r="W65" s="471">
        <v>12</v>
      </c>
      <c r="X65" s="470">
        <f t="shared" si="61"/>
        <v>66780.2602666668</v>
      </c>
      <c r="Y65" s="476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183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184</v>
      </c>
      <c r="C68" s="470">
        <v>1947106.41666666</v>
      </c>
      <c r="D68" s="469">
        <v>12</v>
      </c>
      <c r="E68" s="470">
        <f t="shared" ref="E68:E73" si="64">C68*D68</f>
        <v>23365276.9999999</v>
      </c>
      <c r="F68" s="470"/>
      <c r="G68" s="474">
        <v>1677222.16</v>
      </c>
      <c r="H68" s="476"/>
      <c r="I68" s="470">
        <f t="shared" ref="I68:I73" si="65">E68-F68-G68-H68</f>
        <v>21688054.8399999</v>
      </c>
      <c r="J68" s="470">
        <v>200000</v>
      </c>
      <c r="K68" s="470">
        <v>0.2</v>
      </c>
      <c r="L68" s="470">
        <f t="shared" ref="L68:L73" si="66">I68*K68</f>
        <v>4337610.96799998</v>
      </c>
      <c r="M68" s="470">
        <f t="shared" ref="M68:M73" si="67">J68+L68</f>
        <v>4537610.96799998</v>
      </c>
      <c r="N68" s="470">
        <f t="shared" ref="N68:N73" si="68">F68+G68+H68+M68</f>
        <v>6214833.12799998</v>
      </c>
      <c r="O68" s="470">
        <f t="shared" ref="O68:O73" si="69">E68-N68</f>
        <v>17150443.8719999</v>
      </c>
      <c r="P68" s="470">
        <f t="shared" ref="P68:P73" si="70">IF(O68&lt;300000,0.07*O68,21000)</f>
        <v>21000</v>
      </c>
      <c r="Q68" s="470">
        <f t="shared" ref="Q68:Q73" si="71">IF((O68-300000)&lt;0,0,IF((O68-300000)&lt;300000,0.11*(O68-300000),33000))</f>
        <v>33000</v>
      </c>
      <c r="R68" s="470">
        <f t="shared" ref="R68:R73" si="72">IF((O68-600000)&lt;0,0,IF((O68-600000)&lt;500000,0.15*(O68-600000),75000))</f>
        <v>75000</v>
      </c>
      <c r="S68" s="470">
        <f t="shared" ref="S68:S73" si="73">IF((O68-1100000)&lt;0,0,IF((O68-1100000)&lt;500000,0.19*(O68-1100000),95000))</f>
        <v>95000</v>
      </c>
      <c r="T68" s="470">
        <f t="shared" ref="T68:T73" si="74">IF((O68-1600000)&lt;0,0,IF((O68-1600000)&lt;1600000,0.21*(O68-1600000),336000))</f>
        <v>336000</v>
      </c>
      <c r="U68" s="470">
        <f t="shared" ref="U68:U71" si="75">24%*(O68-3200000)</f>
        <v>3348106.52927998</v>
      </c>
      <c r="V68" s="470">
        <f t="shared" ref="V68:V73" si="76">P68+Q68+R68+S68+T68+U68</f>
        <v>3908106.52927998</v>
      </c>
      <c r="W68" s="471">
        <v>12</v>
      </c>
      <c r="X68" s="470">
        <f t="shared" ref="X68:X73" si="77">V68/W68</f>
        <v>325675.544106665</v>
      </c>
      <c r="Y68" s="476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188</v>
      </c>
      <c r="C69" s="470">
        <v>882595.5</v>
      </c>
      <c r="D69" s="469">
        <v>12</v>
      </c>
      <c r="E69" s="470">
        <f t="shared" si="64"/>
        <v>10591146</v>
      </c>
      <c r="F69" s="470"/>
      <c r="G69" s="474">
        <v>693691.68</v>
      </c>
      <c r="H69" s="476"/>
      <c r="I69" s="470">
        <f t="shared" si="65"/>
        <v>9897454.32</v>
      </c>
      <c r="J69" s="470">
        <v>200000</v>
      </c>
      <c r="K69" s="470">
        <v>0.2</v>
      </c>
      <c r="L69" s="470">
        <f t="shared" si="66"/>
        <v>1979490.864</v>
      </c>
      <c r="M69" s="470">
        <f t="shared" si="67"/>
        <v>2179490.864</v>
      </c>
      <c r="N69" s="470">
        <f t="shared" si="68"/>
        <v>2873182.544</v>
      </c>
      <c r="O69" s="470">
        <f t="shared" si="69"/>
        <v>7717963.456</v>
      </c>
      <c r="P69" s="470">
        <f t="shared" si="70"/>
        <v>21000</v>
      </c>
      <c r="Q69" s="470">
        <f t="shared" si="71"/>
        <v>33000</v>
      </c>
      <c r="R69" s="470">
        <f t="shared" si="72"/>
        <v>75000</v>
      </c>
      <c r="S69" s="470">
        <f t="shared" si="73"/>
        <v>95000</v>
      </c>
      <c r="T69" s="470">
        <f t="shared" si="74"/>
        <v>336000</v>
      </c>
      <c r="U69" s="470">
        <f t="shared" si="75"/>
        <v>1084311.22944</v>
      </c>
      <c r="V69" s="470">
        <f t="shared" si="76"/>
        <v>1644311.22944</v>
      </c>
      <c r="W69" s="471">
        <v>12</v>
      </c>
      <c r="X69" s="470">
        <f t="shared" si="77"/>
        <v>137025.935786667</v>
      </c>
      <c r="Y69" s="476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190</v>
      </c>
      <c r="C70" s="470">
        <v>713911.083333334</v>
      </c>
      <c r="D70" s="469">
        <v>12</v>
      </c>
      <c r="E70" s="470">
        <f t="shared" si="64"/>
        <v>8566933.00000001</v>
      </c>
      <c r="F70" s="470">
        <v>107120</v>
      </c>
      <c r="G70" s="474">
        <v>550954.64</v>
      </c>
      <c r="H70" s="476"/>
      <c r="I70" s="470">
        <f t="shared" si="65"/>
        <v>7908858.36000001</v>
      </c>
      <c r="J70" s="470">
        <v>200000</v>
      </c>
      <c r="K70" s="470">
        <v>0.2</v>
      </c>
      <c r="L70" s="470">
        <f t="shared" si="66"/>
        <v>1581771.672</v>
      </c>
      <c r="M70" s="470">
        <f t="shared" si="67"/>
        <v>1781771.672</v>
      </c>
      <c r="N70" s="470">
        <f t="shared" si="68"/>
        <v>2439846.312</v>
      </c>
      <c r="O70" s="470">
        <f t="shared" si="69"/>
        <v>6127086.68800001</v>
      </c>
      <c r="P70" s="470">
        <f t="shared" si="70"/>
        <v>21000</v>
      </c>
      <c r="Q70" s="470">
        <f t="shared" si="71"/>
        <v>33000</v>
      </c>
      <c r="R70" s="470">
        <f t="shared" si="72"/>
        <v>75000</v>
      </c>
      <c r="S70" s="470">
        <f t="shared" si="73"/>
        <v>95000</v>
      </c>
      <c r="T70" s="470">
        <f t="shared" si="74"/>
        <v>336000</v>
      </c>
      <c r="U70" s="470">
        <f t="shared" si="75"/>
        <v>702500.805120001</v>
      </c>
      <c r="V70" s="470">
        <f t="shared" si="76"/>
        <v>1262500.80512</v>
      </c>
      <c r="W70" s="471">
        <v>12</v>
      </c>
      <c r="X70" s="470">
        <f t="shared" si="77"/>
        <v>105208.400426667</v>
      </c>
      <c r="Y70" s="476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197</v>
      </c>
      <c r="C71" s="470">
        <v>564993.583333333</v>
      </c>
      <c r="D71" s="469">
        <v>12</v>
      </c>
      <c r="E71" s="470">
        <f t="shared" si="64"/>
        <v>6779923</v>
      </c>
      <c r="F71" s="470"/>
      <c r="G71" s="474">
        <v>436793.839999999</v>
      </c>
      <c r="H71" s="476"/>
      <c r="I71" s="470">
        <f t="shared" si="65"/>
        <v>6343129.16</v>
      </c>
      <c r="J71" s="470">
        <v>200000</v>
      </c>
      <c r="K71" s="470">
        <v>0.2</v>
      </c>
      <c r="L71" s="470">
        <f t="shared" si="66"/>
        <v>1268625.832</v>
      </c>
      <c r="M71" s="470">
        <f t="shared" si="67"/>
        <v>1468625.832</v>
      </c>
      <c r="N71" s="470">
        <f t="shared" si="68"/>
        <v>1905419.672</v>
      </c>
      <c r="O71" s="470">
        <f t="shared" si="69"/>
        <v>4874503.328</v>
      </c>
      <c r="P71" s="470">
        <f t="shared" si="70"/>
        <v>21000</v>
      </c>
      <c r="Q71" s="470">
        <f t="shared" si="71"/>
        <v>33000</v>
      </c>
      <c r="R71" s="470">
        <f t="shared" si="72"/>
        <v>75000</v>
      </c>
      <c r="S71" s="470">
        <f t="shared" si="73"/>
        <v>95000</v>
      </c>
      <c r="T71" s="470">
        <f t="shared" si="74"/>
        <v>336000</v>
      </c>
      <c r="U71" s="470">
        <f t="shared" si="75"/>
        <v>401880.798719999</v>
      </c>
      <c r="V71" s="470">
        <f t="shared" si="76"/>
        <v>961880.798719999</v>
      </c>
      <c r="W71" s="471">
        <v>12</v>
      </c>
      <c r="X71" s="470">
        <f t="shared" si="77"/>
        <v>80156.7332266666</v>
      </c>
      <c r="Y71" s="476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201</v>
      </c>
      <c r="C72" s="470">
        <v>447016.166666666</v>
      </c>
      <c r="D72" s="469">
        <v>12</v>
      </c>
      <c r="E72" s="470">
        <f t="shared" si="64"/>
        <v>5364193.99999999</v>
      </c>
      <c r="F72" s="470"/>
      <c r="G72" s="474">
        <v>333135.52</v>
      </c>
      <c r="H72" s="476"/>
      <c r="I72" s="470">
        <f t="shared" si="65"/>
        <v>5031058.47999999</v>
      </c>
      <c r="J72" s="470">
        <v>200000</v>
      </c>
      <c r="K72" s="470">
        <v>0.2</v>
      </c>
      <c r="L72" s="470">
        <f t="shared" si="66"/>
        <v>1006211.696</v>
      </c>
      <c r="M72" s="470">
        <f t="shared" si="67"/>
        <v>1206211.696</v>
      </c>
      <c r="N72" s="470">
        <f t="shared" si="68"/>
        <v>1539347.216</v>
      </c>
      <c r="O72" s="470">
        <f t="shared" si="69"/>
        <v>3824846.78399999</v>
      </c>
      <c r="P72" s="470">
        <f t="shared" si="70"/>
        <v>21000</v>
      </c>
      <c r="Q72" s="470">
        <f t="shared" si="71"/>
        <v>33000</v>
      </c>
      <c r="R72" s="470">
        <f t="shared" si="72"/>
        <v>75000</v>
      </c>
      <c r="S72" s="470">
        <f t="shared" si="73"/>
        <v>95000</v>
      </c>
      <c r="T72" s="470">
        <f t="shared" si="74"/>
        <v>336000</v>
      </c>
      <c r="U72" s="470">
        <f>0.24*(O72-3200000)</f>
        <v>149963.228159998</v>
      </c>
      <c r="V72" s="470">
        <f t="shared" si="76"/>
        <v>709963.228159998</v>
      </c>
      <c r="W72" s="471">
        <v>12</v>
      </c>
      <c r="X72" s="470">
        <f t="shared" si="77"/>
        <v>59163.6023466665</v>
      </c>
      <c r="Y72" s="476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3"/>
      <c r="AD72" s="473"/>
      <c r="AE72" s="473"/>
    </row>
    <row r="73" ht="24.75" customHeight="1" spans="1:31">
      <c r="A73" s="467"/>
      <c r="B73" s="651" t="s">
        <v>203</v>
      </c>
      <c r="C73" s="470">
        <v>401910.75</v>
      </c>
      <c r="D73" s="469">
        <v>12</v>
      </c>
      <c r="E73" s="470">
        <f t="shared" si="64"/>
        <v>4822929</v>
      </c>
      <c r="F73" s="470"/>
      <c r="G73" s="474">
        <v>289834.32</v>
      </c>
      <c r="H73" s="476"/>
      <c r="I73" s="470">
        <f t="shared" si="65"/>
        <v>4533094.68</v>
      </c>
      <c r="J73" s="470">
        <v>200000</v>
      </c>
      <c r="K73" s="470">
        <v>0.2</v>
      </c>
      <c r="L73" s="470">
        <f t="shared" si="66"/>
        <v>906618.936</v>
      </c>
      <c r="M73" s="470">
        <f t="shared" si="67"/>
        <v>1106618.936</v>
      </c>
      <c r="N73" s="470">
        <f t="shared" si="68"/>
        <v>1396453.256</v>
      </c>
      <c r="O73" s="470">
        <f t="shared" si="69"/>
        <v>3426475.744</v>
      </c>
      <c r="P73" s="470">
        <f t="shared" si="70"/>
        <v>21000</v>
      </c>
      <c r="Q73" s="470">
        <f t="shared" si="71"/>
        <v>33000</v>
      </c>
      <c r="R73" s="470">
        <f t="shared" si="72"/>
        <v>75000</v>
      </c>
      <c r="S73" s="470">
        <f t="shared" si="73"/>
        <v>95000</v>
      </c>
      <c r="T73" s="470">
        <f t="shared" si="74"/>
        <v>336000</v>
      </c>
      <c r="U73" s="470">
        <f>0.24*(O73-3200000)</f>
        <v>54354.17856</v>
      </c>
      <c r="V73" s="470">
        <f t="shared" si="76"/>
        <v>614354.17856</v>
      </c>
      <c r="W73" s="471">
        <v>12</v>
      </c>
      <c r="X73" s="470">
        <f t="shared" si="77"/>
        <v>51196.1815466667</v>
      </c>
      <c r="Y73" s="476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205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206</v>
      </c>
      <c r="C76" s="470">
        <v>1847612</v>
      </c>
      <c r="D76" s="469">
        <v>12</v>
      </c>
      <c r="E76" s="470">
        <f t="shared" ref="E76:E85" si="80">C76*D76</f>
        <v>22171344</v>
      </c>
      <c r="F76" s="470">
        <v>307730.499999999</v>
      </c>
      <c r="G76" s="474">
        <v>1581707.52</v>
      </c>
      <c r="H76" s="476"/>
      <c r="I76" s="470">
        <f t="shared" ref="I76:I85" si="81">E76-F76-G76-H76</f>
        <v>20281905.98</v>
      </c>
      <c r="J76" s="470">
        <v>200000</v>
      </c>
      <c r="K76" s="470">
        <v>0.2</v>
      </c>
      <c r="L76" s="470">
        <f t="shared" ref="L76:L85" si="82">I76*K76</f>
        <v>4056381.196</v>
      </c>
      <c r="M76" s="470">
        <f t="shared" ref="M76:M85" si="83">J76+L76</f>
        <v>4256381.196</v>
      </c>
      <c r="N76" s="470">
        <f t="shared" ref="N76:N85" si="84">F76+G76+H76+M76</f>
        <v>6145819.216</v>
      </c>
      <c r="O76" s="470">
        <f t="shared" ref="O76:O85" si="85">E76-N76</f>
        <v>16025524.784</v>
      </c>
      <c r="P76" s="470">
        <f t="shared" ref="P76:P85" si="86">IF(O76&lt;300000,0.07*O76,21000)</f>
        <v>21000</v>
      </c>
      <c r="Q76" s="470">
        <f t="shared" ref="Q76:Q85" si="87">IF((O76-300000)&lt;0,0,IF((O76-300000)&lt;300000,0.11*(O76-300000),33000))</f>
        <v>33000</v>
      </c>
      <c r="R76" s="470">
        <f t="shared" ref="R76:R85" si="88">IF((O76-600000)&lt;0,0,IF((O76-600000)&lt;500000,0.15*(O76-600000),75000))</f>
        <v>75000</v>
      </c>
      <c r="S76" s="470">
        <f t="shared" ref="S76:S85" si="89">IF((O76-1100000)&lt;0,0,IF((O76-1100000)&lt;500000,0.19*(O76-1100000),95000))</f>
        <v>95000</v>
      </c>
      <c r="T76" s="470">
        <f t="shared" ref="T76:T85" si="90">IF((O76-1600000)&lt;0,0,IF((O76-1600000)&lt;1600000,0.21*(O76-1600000),336000))</f>
        <v>336000</v>
      </c>
      <c r="U76" s="470">
        <f t="shared" ref="U76:U85" si="91">24%*(O76-3200000)</f>
        <v>3078125.94816</v>
      </c>
      <c r="V76" s="470">
        <f t="shared" ref="V76:V85" si="92">P76+Q76+R76+S76+T76+U76</f>
        <v>3638125.94816</v>
      </c>
      <c r="W76" s="471">
        <v>12</v>
      </c>
      <c r="X76" s="470">
        <f t="shared" ref="X76:X85" si="93">V76/W76</f>
        <v>303177.162346667</v>
      </c>
      <c r="Y76" s="476"/>
      <c r="Z76" s="929">
        <f t="shared" ref="Z76:Z85" si="94">X76</f>
        <v>303177.162346667</v>
      </c>
      <c r="AA76" s="470">
        <v>251101.24</v>
      </c>
      <c r="AB76" s="806">
        <f t="shared" ref="AB76:AB85" si="95">Z76-AA76</f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208</v>
      </c>
      <c r="C77" s="470">
        <v>1232711.08333333</v>
      </c>
      <c r="D77" s="469">
        <v>12</v>
      </c>
      <c r="E77" s="470">
        <f t="shared" si="80"/>
        <v>14792533</v>
      </c>
      <c r="F77" s="470"/>
      <c r="G77" s="474">
        <v>818602.639999999</v>
      </c>
      <c r="H77" s="476"/>
      <c r="I77" s="470">
        <f t="shared" si="81"/>
        <v>13973930.36</v>
      </c>
      <c r="J77" s="470">
        <v>200000</v>
      </c>
      <c r="K77" s="470">
        <v>0.2</v>
      </c>
      <c r="L77" s="470">
        <f t="shared" si="82"/>
        <v>2794786.07199999</v>
      </c>
      <c r="M77" s="470">
        <f t="shared" si="83"/>
        <v>2994786.07199999</v>
      </c>
      <c r="N77" s="470">
        <f t="shared" si="84"/>
        <v>3813388.71199999</v>
      </c>
      <c r="O77" s="470">
        <f t="shared" si="85"/>
        <v>10979144.288</v>
      </c>
      <c r="P77" s="470">
        <f t="shared" si="86"/>
        <v>21000</v>
      </c>
      <c r="Q77" s="470">
        <f t="shared" si="87"/>
        <v>33000</v>
      </c>
      <c r="R77" s="470">
        <f t="shared" si="88"/>
        <v>75000</v>
      </c>
      <c r="S77" s="470">
        <f t="shared" si="89"/>
        <v>95000</v>
      </c>
      <c r="T77" s="470">
        <f t="shared" si="90"/>
        <v>336000</v>
      </c>
      <c r="U77" s="470">
        <f t="shared" si="91"/>
        <v>1866994.62911999</v>
      </c>
      <c r="V77" s="470">
        <f t="shared" si="92"/>
        <v>2426994.62911999</v>
      </c>
      <c r="W77" s="471">
        <v>12</v>
      </c>
      <c r="X77" s="470">
        <f t="shared" si="93"/>
        <v>202249.552426666</v>
      </c>
      <c r="Y77" s="476"/>
      <c r="Z77" s="929">
        <f t="shared" si="94"/>
        <v>202249.552426666</v>
      </c>
      <c r="AA77" s="470">
        <v>177751.03</v>
      </c>
      <c r="AB77" s="806">
        <f t="shared" si="95"/>
        <v>24498.522426666</v>
      </c>
      <c r="AC77" s="473"/>
      <c r="AD77" s="473"/>
      <c r="AE77" s="473"/>
    </row>
    <row r="78" ht="31" spans="1:31">
      <c r="A78" s="467">
        <v>70</v>
      </c>
      <c r="B78" s="651" t="s">
        <v>479</v>
      </c>
      <c r="C78" s="470">
        <v>882595.5</v>
      </c>
      <c r="D78" s="469">
        <v>12</v>
      </c>
      <c r="E78" s="470">
        <f t="shared" si="80"/>
        <v>10591146</v>
      </c>
      <c r="F78" s="470"/>
      <c r="G78" s="474">
        <v>693691.68</v>
      </c>
      <c r="H78" s="476"/>
      <c r="I78" s="470">
        <f t="shared" si="81"/>
        <v>9897454.32</v>
      </c>
      <c r="J78" s="470">
        <v>200000</v>
      </c>
      <c r="K78" s="470">
        <v>0.2</v>
      </c>
      <c r="L78" s="470">
        <f t="shared" si="82"/>
        <v>1979490.864</v>
      </c>
      <c r="M78" s="470">
        <f t="shared" si="83"/>
        <v>2179490.864</v>
      </c>
      <c r="N78" s="470">
        <f t="shared" si="84"/>
        <v>2873182.544</v>
      </c>
      <c r="O78" s="470">
        <f t="shared" si="85"/>
        <v>7717963.456</v>
      </c>
      <c r="P78" s="470">
        <f t="shared" si="86"/>
        <v>21000</v>
      </c>
      <c r="Q78" s="470">
        <f t="shared" si="87"/>
        <v>33000</v>
      </c>
      <c r="R78" s="470">
        <f t="shared" si="88"/>
        <v>75000</v>
      </c>
      <c r="S78" s="470">
        <f t="shared" si="89"/>
        <v>95000</v>
      </c>
      <c r="T78" s="470">
        <f t="shared" si="90"/>
        <v>336000</v>
      </c>
      <c r="U78" s="470">
        <f t="shared" si="91"/>
        <v>1084311.22944</v>
      </c>
      <c r="V78" s="470">
        <f t="shared" si="92"/>
        <v>1644311.22944</v>
      </c>
      <c r="W78" s="471">
        <v>12</v>
      </c>
      <c r="X78" s="470">
        <f t="shared" si="93"/>
        <v>137025.935786667</v>
      </c>
      <c r="Y78" s="476"/>
      <c r="Z78" s="929">
        <f t="shared" si="94"/>
        <v>137025.935786667</v>
      </c>
      <c r="AA78" s="470">
        <v>112212.004906667</v>
      </c>
      <c r="AB78" s="806">
        <f t="shared" si="95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211</v>
      </c>
      <c r="C79" s="470">
        <v>793195.833333333</v>
      </c>
      <c r="D79" s="469">
        <v>12</v>
      </c>
      <c r="E79" s="470">
        <f t="shared" si="80"/>
        <v>9518350</v>
      </c>
      <c r="F79" s="470"/>
      <c r="G79" s="474">
        <v>627067.999999999</v>
      </c>
      <c r="H79" s="476"/>
      <c r="I79" s="470">
        <f t="shared" si="81"/>
        <v>8891282</v>
      </c>
      <c r="J79" s="470">
        <v>200000</v>
      </c>
      <c r="K79" s="470">
        <v>0.2</v>
      </c>
      <c r="L79" s="470">
        <f t="shared" si="82"/>
        <v>1778256.4</v>
      </c>
      <c r="M79" s="470">
        <f t="shared" si="83"/>
        <v>1978256.4</v>
      </c>
      <c r="N79" s="470">
        <f t="shared" si="84"/>
        <v>2605324.4</v>
      </c>
      <c r="O79" s="470">
        <f t="shared" si="85"/>
        <v>6913025.6</v>
      </c>
      <c r="P79" s="470">
        <f t="shared" si="86"/>
        <v>21000</v>
      </c>
      <c r="Q79" s="470">
        <f t="shared" si="87"/>
        <v>33000</v>
      </c>
      <c r="R79" s="470">
        <f t="shared" si="88"/>
        <v>75000</v>
      </c>
      <c r="S79" s="470">
        <f t="shared" si="89"/>
        <v>95000</v>
      </c>
      <c r="T79" s="470">
        <f t="shared" si="90"/>
        <v>336000</v>
      </c>
      <c r="U79" s="470">
        <f t="shared" si="91"/>
        <v>891126.143999999</v>
      </c>
      <c r="V79" s="470">
        <f t="shared" si="92"/>
        <v>1451126.144</v>
      </c>
      <c r="W79" s="471">
        <v>12</v>
      </c>
      <c r="X79" s="470">
        <f t="shared" si="93"/>
        <v>120927.178666667</v>
      </c>
      <c r="Y79" s="476"/>
      <c r="Z79" s="929">
        <f t="shared" si="94"/>
        <v>120927.178666667</v>
      </c>
      <c r="AA79" s="470">
        <v>83767.87</v>
      </c>
      <c r="AB79" s="806">
        <f t="shared" si="95"/>
        <v>37159.3086666666</v>
      </c>
      <c r="AC79" s="473"/>
      <c r="AD79" s="473"/>
      <c r="AE79" s="473"/>
    </row>
    <row r="80" ht="15.5" spans="1:31">
      <c r="A80" s="467">
        <v>72</v>
      </c>
      <c r="B80" s="651" t="s">
        <v>212</v>
      </c>
      <c r="C80" s="470">
        <v>793195.833333333</v>
      </c>
      <c r="D80" s="469">
        <v>12</v>
      </c>
      <c r="E80" s="470">
        <f t="shared" si="80"/>
        <v>9518350</v>
      </c>
      <c r="F80" s="470"/>
      <c r="G80" s="474">
        <v>627067.999999999</v>
      </c>
      <c r="H80" s="476"/>
      <c r="I80" s="470">
        <f t="shared" si="81"/>
        <v>8891282</v>
      </c>
      <c r="J80" s="470">
        <v>200000</v>
      </c>
      <c r="K80" s="470">
        <v>0.2</v>
      </c>
      <c r="L80" s="470">
        <f t="shared" si="82"/>
        <v>1778256.4</v>
      </c>
      <c r="M80" s="470">
        <f t="shared" si="83"/>
        <v>1978256.4</v>
      </c>
      <c r="N80" s="470">
        <f t="shared" si="84"/>
        <v>2605324.4</v>
      </c>
      <c r="O80" s="470">
        <f t="shared" si="85"/>
        <v>6913025.6</v>
      </c>
      <c r="P80" s="470">
        <f t="shared" si="86"/>
        <v>21000</v>
      </c>
      <c r="Q80" s="470">
        <f t="shared" si="87"/>
        <v>33000</v>
      </c>
      <c r="R80" s="470">
        <f t="shared" si="88"/>
        <v>75000</v>
      </c>
      <c r="S80" s="470">
        <f t="shared" si="89"/>
        <v>95000</v>
      </c>
      <c r="T80" s="470">
        <f t="shared" si="90"/>
        <v>336000</v>
      </c>
      <c r="U80" s="470">
        <f t="shared" si="91"/>
        <v>891126.143999999</v>
      </c>
      <c r="V80" s="470">
        <f t="shared" si="92"/>
        <v>1451126.144</v>
      </c>
      <c r="W80" s="471">
        <v>12</v>
      </c>
      <c r="X80" s="470">
        <f t="shared" si="93"/>
        <v>120927.178666667</v>
      </c>
      <c r="Y80" s="476"/>
      <c r="Z80" s="929">
        <f t="shared" si="94"/>
        <v>120927.178666667</v>
      </c>
      <c r="AA80" s="470">
        <v>83753.4084266666</v>
      </c>
      <c r="AB80" s="806">
        <f t="shared" si="95"/>
        <v>37173.77024</v>
      </c>
      <c r="AC80" s="473"/>
      <c r="AD80" s="473"/>
      <c r="AE80" s="473"/>
    </row>
    <row r="81" ht="31" spans="1:31">
      <c r="A81" s="467">
        <v>73</v>
      </c>
      <c r="B81" s="651" t="s">
        <v>213</v>
      </c>
      <c r="C81" s="470">
        <v>772925</v>
      </c>
      <c r="D81" s="469">
        <v>12</v>
      </c>
      <c r="E81" s="470">
        <f t="shared" si="80"/>
        <v>9275100</v>
      </c>
      <c r="F81" s="470"/>
      <c r="G81" s="474">
        <v>607608</v>
      </c>
      <c r="H81" s="476"/>
      <c r="I81" s="470">
        <f t="shared" si="81"/>
        <v>8667492</v>
      </c>
      <c r="J81" s="470">
        <v>200000</v>
      </c>
      <c r="K81" s="470">
        <v>0.2</v>
      </c>
      <c r="L81" s="470">
        <f t="shared" si="82"/>
        <v>1733498.4</v>
      </c>
      <c r="M81" s="470">
        <f t="shared" si="83"/>
        <v>1933498.4</v>
      </c>
      <c r="N81" s="470">
        <f t="shared" si="84"/>
        <v>2541106.4</v>
      </c>
      <c r="O81" s="470">
        <f t="shared" si="85"/>
        <v>6733993.6</v>
      </c>
      <c r="P81" s="470">
        <f t="shared" si="86"/>
        <v>21000</v>
      </c>
      <c r="Q81" s="470">
        <f t="shared" si="87"/>
        <v>33000</v>
      </c>
      <c r="R81" s="470">
        <f t="shared" si="88"/>
        <v>75000</v>
      </c>
      <c r="S81" s="470">
        <f t="shared" si="89"/>
        <v>95000</v>
      </c>
      <c r="T81" s="470">
        <f t="shared" si="90"/>
        <v>336000</v>
      </c>
      <c r="U81" s="470">
        <f t="shared" si="91"/>
        <v>848158.464</v>
      </c>
      <c r="V81" s="470">
        <f t="shared" si="92"/>
        <v>1408158.464</v>
      </c>
      <c r="W81" s="471">
        <v>12</v>
      </c>
      <c r="X81" s="470">
        <f t="shared" si="93"/>
        <v>117346.538666667</v>
      </c>
      <c r="Y81" s="476"/>
      <c r="Z81" s="929">
        <f t="shared" si="94"/>
        <v>117346.538666667</v>
      </c>
      <c r="AA81" s="470">
        <v>81302.3959466667</v>
      </c>
      <c r="AB81" s="806">
        <f t="shared" si="95"/>
        <v>36044.14272</v>
      </c>
      <c r="AC81" s="473"/>
      <c r="AD81" s="473"/>
      <c r="AE81" s="473"/>
    </row>
    <row r="82" ht="15.5" spans="1:31">
      <c r="A82" s="467">
        <v>74</v>
      </c>
      <c r="B82" s="651" t="s">
        <v>215</v>
      </c>
      <c r="C82" s="470">
        <v>578828.166666667</v>
      </c>
      <c r="D82" s="469">
        <v>12</v>
      </c>
      <c r="E82" s="470">
        <f t="shared" si="80"/>
        <v>6945938</v>
      </c>
      <c r="F82" s="470"/>
      <c r="G82" s="479">
        <v>450075.040000001</v>
      </c>
      <c r="H82" s="476"/>
      <c r="I82" s="470">
        <f t="shared" si="81"/>
        <v>6495862.96</v>
      </c>
      <c r="J82" s="470">
        <v>200000</v>
      </c>
      <c r="K82" s="470">
        <v>0.2</v>
      </c>
      <c r="L82" s="470">
        <f t="shared" si="82"/>
        <v>1299172.592</v>
      </c>
      <c r="M82" s="470">
        <f t="shared" si="83"/>
        <v>1499172.592</v>
      </c>
      <c r="N82" s="470">
        <f t="shared" si="84"/>
        <v>1949247.632</v>
      </c>
      <c r="O82" s="470">
        <f t="shared" si="85"/>
        <v>4996690.368</v>
      </c>
      <c r="P82" s="470">
        <f t="shared" si="86"/>
        <v>21000</v>
      </c>
      <c r="Q82" s="470">
        <f t="shared" si="87"/>
        <v>33000</v>
      </c>
      <c r="R82" s="470">
        <f t="shared" si="88"/>
        <v>75000</v>
      </c>
      <c r="S82" s="470">
        <f t="shared" si="89"/>
        <v>95000</v>
      </c>
      <c r="T82" s="470">
        <f t="shared" si="90"/>
        <v>336000</v>
      </c>
      <c r="U82" s="470">
        <f t="shared" si="91"/>
        <v>431205.688320001</v>
      </c>
      <c r="V82" s="470">
        <f t="shared" si="92"/>
        <v>991205.688320001</v>
      </c>
      <c r="W82" s="471">
        <v>12</v>
      </c>
      <c r="X82" s="470">
        <f t="shared" si="93"/>
        <v>82600.4740266667</v>
      </c>
      <c r="Y82" s="476"/>
      <c r="Z82" s="929">
        <f t="shared" si="94"/>
        <v>82600.4740266667</v>
      </c>
      <c r="AA82" s="470">
        <v>64384.5917866667</v>
      </c>
      <c r="AB82" s="806">
        <f t="shared" si="95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216</v>
      </c>
      <c r="C83" s="470">
        <v>617472.75</v>
      </c>
      <c r="D83" s="469">
        <v>12</v>
      </c>
      <c r="E83" s="470">
        <f t="shared" si="80"/>
        <v>7409673</v>
      </c>
      <c r="F83" s="470">
        <v>93501.975</v>
      </c>
      <c r="G83" s="474">
        <v>477573.84</v>
      </c>
      <c r="H83" s="476"/>
      <c r="I83" s="470">
        <f t="shared" si="81"/>
        <v>6838597.185</v>
      </c>
      <c r="J83" s="470">
        <v>200000</v>
      </c>
      <c r="K83" s="470">
        <v>0.2</v>
      </c>
      <c r="L83" s="470">
        <f t="shared" si="82"/>
        <v>1367719.437</v>
      </c>
      <c r="M83" s="470">
        <f t="shared" si="83"/>
        <v>1567719.437</v>
      </c>
      <c r="N83" s="470">
        <f t="shared" si="84"/>
        <v>2138795.252</v>
      </c>
      <c r="O83" s="470">
        <f t="shared" si="85"/>
        <v>5270877.748</v>
      </c>
      <c r="P83" s="470">
        <f t="shared" si="86"/>
        <v>21000</v>
      </c>
      <c r="Q83" s="470">
        <f t="shared" si="87"/>
        <v>33000</v>
      </c>
      <c r="R83" s="470">
        <f t="shared" si="88"/>
        <v>75000</v>
      </c>
      <c r="S83" s="470">
        <f t="shared" si="89"/>
        <v>95000</v>
      </c>
      <c r="T83" s="470">
        <f t="shared" si="90"/>
        <v>336000</v>
      </c>
      <c r="U83" s="470">
        <f t="shared" si="91"/>
        <v>497010.65952</v>
      </c>
      <c r="V83" s="470">
        <f t="shared" si="92"/>
        <v>1057010.65952</v>
      </c>
      <c r="W83" s="471">
        <v>12</v>
      </c>
      <c r="X83" s="470">
        <f t="shared" si="93"/>
        <v>88084.2216266667</v>
      </c>
      <c r="Y83" s="476"/>
      <c r="Z83" s="929">
        <f t="shared" si="94"/>
        <v>88084.2216266667</v>
      </c>
      <c r="AA83" s="470">
        <v>70529.4753546667</v>
      </c>
      <c r="AB83" s="806">
        <f t="shared" si="95"/>
        <v>17554.746272</v>
      </c>
      <c r="AC83" s="473"/>
      <c r="AD83" s="473"/>
      <c r="AE83" s="473"/>
    </row>
    <row r="84" ht="15.5" spans="1:31">
      <c r="A84" s="467">
        <v>76</v>
      </c>
      <c r="B84" s="651" t="s">
        <v>220</v>
      </c>
      <c r="C84" s="470">
        <v>490135.833333334</v>
      </c>
      <c r="D84" s="469">
        <v>12</v>
      </c>
      <c r="E84" s="470">
        <f t="shared" si="80"/>
        <v>5881630.00000001</v>
      </c>
      <c r="F84" s="470"/>
      <c r="G84" s="474">
        <v>374530.4</v>
      </c>
      <c r="H84" s="476"/>
      <c r="I84" s="470">
        <f t="shared" si="81"/>
        <v>5507099.60000001</v>
      </c>
      <c r="J84" s="470">
        <v>200000</v>
      </c>
      <c r="K84" s="470">
        <v>0.2</v>
      </c>
      <c r="L84" s="470">
        <f t="shared" si="82"/>
        <v>1101419.92</v>
      </c>
      <c r="M84" s="470">
        <f t="shared" si="83"/>
        <v>1301419.92</v>
      </c>
      <c r="N84" s="470">
        <f t="shared" si="84"/>
        <v>1675950.32</v>
      </c>
      <c r="O84" s="470">
        <f t="shared" si="85"/>
        <v>4205679.68000001</v>
      </c>
      <c r="P84" s="470">
        <f t="shared" si="86"/>
        <v>21000</v>
      </c>
      <c r="Q84" s="470">
        <f t="shared" si="87"/>
        <v>33000</v>
      </c>
      <c r="R84" s="470">
        <f t="shared" si="88"/>
        <v>75000</v>
      </c>
      <c r="S84" s="470">
        <f t="shared" si="89"/>
        <v>95000</v>
      </c>
      <c r="T84" s="470">
        <f t="shared" si="90"/>
        <v>336000</v>
      </c>
      <c r="U84" s="470">
        <f t="shared" si="91"/>
        <v>241363.123200002</v>
      </c>
      <c r="V84" s="470">
        <f t="shared" si="92"/>
        <v>801363.123200002</v>
      </c>
      <c r="W84" s="471">
        <v>12</v>
      </c>
      <c r="X84" s="470">
        <f t="shared" si="93"/>
        <v>66780.2602666668</v>
      </c>
      <c r="Y84" s="476"/>
      <c r="Z84" s="929">
        <f t="shared" si="94"/>
        <v>66780.2602666668</v>
      </c>
      <c r="AA84" s="470">
        <v>51029.2273066667</v>
      </c>
      <c r="AB84" s="806">
        <f t="shared" si="95"/>
        <v>15751.0329600001</v>
      </c>
      <c r="AC84" s="473"/>
      <c r="AD84" s="473"/>
      <c r="AE84" s="473"/>
    </row>
    <row r="85" ht="15.5" spans="1:31">
      <c r="A85" s="467"/>
      <c r="B85" s="651" t="s">
        <v>224</v>
      </c>
      <c r="C85" s="470">
        <v>408920.666666667</v>
      </c>
      <c r="D85" s="469">
        <v>12</v>
      </c>
      <c r="E85" s="470">
        <f t="shared" si="80"/>
        <v>4907048</v>
      </c>
      <c r="F85" s="470"/>
      <c r="G85" s="474">
        <v>296563.840000001</v>
      </c>
      <c r="H85" s="476"/>
      <c r="I85" s="470">
        <f t="shared" si="81"/>
        <v>4610484.16</v>
      </c>
      <c r="J85" s="470">
        <v>200000</v>
      </c>
      <c r="K85" s="470">
        <v>0.2</v>
      </c>
      <c r="L85" s="470">
        <f t="shared" si="82"/>
        <v>922096.832000001</v>
      </c>
      <c r="M85" s="470">
        <f t="shared" si="83"/>
        <v>1122096.832</v>
      </c>
      <c r="N85" s="470">
        <f t="shared" si="84"/>
        <v>1418660.672</v>
      </c>
      <c r="O85" s="470">
        <f t="shared" si="85"/>
        <v>3488387.328</v>
      </c>
      <c r="P85" s="470">
        <f t="shared" si="86"/>
        <v>21000</v>
      </c>
      <c r="Q85" s="470">
        <f t="shared" si="87"/>
        <v>33000</v>
      </c>
      <c r="R85" s="470">
        <f t="shared" si="88"/>
        <v>75000</v>
      </c>
      <c r="S85" s="470">
        <f t="shared" si="89"/>
        <v>95000</v>
      </c>
      <c r="T85" s="470">
        <f t="shared" si="90"/>
        <v>336000</v>
      </c>
      <c r="U85" s="470">
        <f t="shared" si="91"/>
        <v>69212.9587200005</v>
      </c>
      <c r="V85" s="470">
        <f t="shared" si="92"/>
        <v>629212.95872</v>
      </c>
      <c r="W85" s="471">
        <v>12</v>
      </c>
      <c r="X85" s="470">
        <f t="shared" si="93"/>
        <v>52434.4132266667</v>
      </c>
      <c r="Y85" s="476"/>
      <c r="Z85" s="929">
        <f t="shared" si="94"/>
        <v>52434.4132266667</v>
      </c>
      <c r="AA85" s="470">
        <v>39613.1357066667</v>
      </c>
      <c r="AB85" s="806">
        <f t="shared" si="95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226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227</v>
      </c>
      <c r="C89" s="470">
        <v>1797359.33333333</v>
      </c>
      <c r="D89" s="469">
        <v>12</v>
      </c>
      <c r="E89" s="470">
        <f t="shared" ref="E89:E93" si="96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7">E89-F89-G89-H89</f>
        <v>19621965.19</v>
      </c>
      <c r="J89" s="470">
        <v>200000</v>
      </c>
      <c r="K89" s="470">
        <v>0.2</v>
      </c>
      <c r="L89" s="470">
        <f t="shared" ref="L89:L93" si="98">I89*K89</f>
        <v>3924393.03799999</v>
      </c>
      <c r="M89" s="470">
        <f t="shared" ref="M89:M93" si="99">J89+L89</f>
        <v>4124393.03799999</v>
      </c>
      <c r="N89" s="470">
        <f t="shared" ref="N89:N93" si="100">F89+G89+H89+M89</f>
        <v>6070739.84799998</v>
      </c>
      <c r="O89" s="470">
        <f t="shared" ref="O89:O93" si="101">E89-N89</f>
        <v>15497572.152</v>
      </c>
      <c r="P89" s="470">
        <f t="shared" ref="P89:P93" si="102">IF(O89&lt;300000,0.07*O89,21000)</f>
        <v>21000</v>
      </c>
      <c r="Q89" s="470">
        <f t="shared" ref="Q89:Q93" si="103">IF((O89-300000)&lt;0,0,IF((O89-300000)&lt;300000,0.11*(O89-300000),33000))</f>
        <v>33000</v>
      </c>
      <c r="R89" s="470">
        <f t="shared" ref="R89:R93" si="104">IF((O89-600000)&lt;0,0,IF((O89-600000)&lt;500000,0.15*(O89-600000),75000))</f>
        <v>75000</v>
      </c>
      <c r="S89" s="470">
        <f t="shared" ref="S89:S93" si="105">IF((O89-1100000)&lt;0,0,IF((O89-1100000)&lt;500000,0.19*(O89-1100000),95000))</f>
        <v>95000</v>
      </c>
      <c r="T89" s="470">
        <f t="shared" ref="T89:T93" si="106">IF((O89-1600000)&lt;0,0,IF((O89-1600000)&lt;1600000,0.21*(O89-1600000),336000))</f>
        <v>336000</v>
      </c>
      <c r="U89" s="470">
        <f t="shared" ref="U89:U93" si="107">24%*(O89-3200000)</f>
        <v>2951417.31647999</v>
      </c>
      <c r="V89" s="470">
        <f t="shared" ref="V89:V93" si="108">P89+Q89+R89+S89+T89+U89</f>
        <v>3511417.31647999</v>
      </c>
      <c r="W89" s="471">
        <v>12</v>
      </c>
      <c r="X89" s="470">
        <f t="shared" ref="X89:X93" si="109">V89/W89</f>
        <v>292618.109706666</v>
      </c>
      <c r="Y89" s="476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3"/>
      <c r="AD89" s="473"/>
      <c r="AE89" s="473"/>
    </row>
    <row r="90" ht="15.5" spans="1:31">
      <c r="A90" s="467">
        <v>80</v>
      </c>
      <c r="B90" s="651" t="s">
        <v>229</v>
      </c>
      <c r="C90" s="470">
        <v>643911.083333334</v>
      </c>
      <c r="D90" s="469">
        <v>12</v>
      </c>
      <c r="E90" s="470">
        <f t="shared" si="96"/>
        <v>7726933.00000001</v>
      </c>
      <c r="F90" s="470"/>
      <c r="G90" s="474">
        <v>550954.64</v>
      </c>
      <c r="H90" s="476"/>
      <c r="I90" s="470">
        <f t="shared" si="97"/>
        <v>7175978.36000001</v>
      </c>
      <c r="J90" s="470">
        <v>200000</v>
      </c>
      <c r="K90" s="470">
        <v>0.2</v>
      </c>
      <c r="L90" s="470">
        <f t="shared" si="98"/>
        <v>1435195.672</v>
      </c>
      <c r="M90" s="470">
        <f t="shared" si="99"/>
        <v>1635195.672</v>
      </c>
      <c r="N90" s="470">
        <f t="shared" si="100"/>
        <v>2186150.312</v>
      </c>
      <c r="O90" s="470">
        <f t="shared" si="101"/>
        <v>5540782.68800001</v>
      </c>
      <c r="P90" s="470">
        <f t="shared" si="102"/>
        <v>21000</v>
      </c>
      <c r="Q90" s="470">
        <f t="shared" si="103"/>
        <v>33000</v>
      </c>
      <c r="R90" s="470">
        <f t="shared" si="104"/>
        <v>75000</v>
      </c>
      <c r="S90" s="470">
        <f t="shared" si="105"/>
        <v>95000</v>
      </c>
      <c r="T90" s="470">
        <f t="shared" si="106"/>
        <v>336000</v>
      </c>
      <c r="U90" s="470">
        <f t="shared" si="107"/>
        <v>561787.845120001</v>
      </c>
      <c r="V90" s="470">
        <f t="shared" si="108"/>
        <v>1121787.84512</v>
      </c>
      <c r="W90" s="471">
        <v>12</v>
      </c>
      <c r="X90" s="470">
        <f t="shared" si="109"/>
        <v>93482.3204266668</v>
      </c>
      <c r="Y90" s="476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3"/>
      <c r="AD90" s="473"/>
      <c r="AE90" s="473"/>
    </row>
    <row r="91" ht="15.5" spans="1:31">
      <c r="A91" s="467">
        <v>81</v>
      </c>
      <c r="B91" s="651" t="s">
        <v>231</v>
      </c>
      <c r="C91" s="470">
        <v>567472.75</v>
      </c>
      <c r="D91" s="469">
        <v>12</v>
      </c>
      <c r="E91" s="470">
        <f t="shared" si="96"/>
        <v>6809673</v>
      </c>
      <c r="F91" s="470">
        <v>93501.975</v>
      </c>
      <c r="G91" s="474">
        <v>477573.84</v>
      </c>
      <c r="H91" s="476"/>
      <c r="I91" s="470">
        <f t="shared" si="97"/>
        <v>6238597.185</v>
      </c>
      <c r="J91" s="470">
        <v>200000</v>
      </c>
      <c r="K91" s="470">
        <v>0.2</v>
      </c>
      <c r="L91" s="470">
        <f t="shared" si="98"/>
        <v>1247719.437</v>
      </c>
      <c r="M91" s="470">
        <f t="shared" si="99"/>
        <v>1447719.437</v>
      </c>
      <c r="N91" s="470">
        <f t="shared" si="100"/>
        <v>2018795.252</v>
      </c>
      <c r="O91" s="470">
        <f t="shared" si="101"/>
        <v>4790877.748</v>
      </c>
      <c r="P91" s="470">
        <f t="shared" si="102"/>
        <v>21000</v>
      </c>
      <c r="Q91" s="470">
        <f t="shared" si="103"/>
        <v>33000</v>
      </c>
      <c r="R91" s="470">
        <f t="shared" si="104"/>
        <v>75000</v>
      </c>
      <c r="S91" s="470">
        <f t="shared" si="105"/>
        <v>95000</v>
      </c>
      <c r="T91" s="470">
        <f t="shared" si="106"/>
        <v>336000</v>
      </c>
      <c r="U91" s="470">
        <f t="shared" si="107"/>
        <v>381810.65952</v>
      </c>
      <c r="V91" s="470">
        <f t="shared" si="108"/>
        <v>941810.65952</v>
      </c>
      <c r="W91" s="471">
        <v>12</v>
      </c>
      <c r="X91" s="470">
        <f t="shared" si="109"/>
        <v>78484.2216266667</v>
      </c>
      <c r="Y91" s="476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3"/>
      <c r="AD91" s="473"/>
      <c r="AE91" s="473"/>
    </row>
    <row r="92" ht="15.5" spans="1:31">
      <c r="A92" s="467"/>
      <c r="B92" s="651" t="s">
        <v>235</v>
      </c>
      <c r="C92" s="470">
        <v>542662.666666667</v>
      </c>
      <c r="D92" s="469">
        <v>12</v>
      </c>
      <c r="E92" s="470">
        <f t="shared" si="96"/>
        <v>6511952</v>
      </c>
      <c r="F92" s="470"/>
      <c r="G92" s="474">
        <v>463356.160000001</v>
      </c>
      <c r="H92" s="476"/>
      <c r="I92" s="470">
        <f t="shared" si="97"/>
        <v>6048595.84</v>
      </c>
      <c r="J92" s="470">
        <v>200000</v>
      </c>
      <c r="K92" s="470">
        <v>0.2</v>
      </c>
      <c r="L92" s="470">
        <f t="shared" si="98"/>
        <v>1209719.168</v>
      </c>
      <c r="M92" s="470">
        <f t="shared" si="99"/>
        <v>1409719.168</v>
      </c>
      <c r="N92" s="470">
        <f t="shared" si="100"/>
        <v>1873075.328</v>
      </c>
      <c r="O92" s="470">
        <f t="shared" si="101"/>
        <v>4638876.672</v>
      </c>
      <c r="P92" s="470">
        <f t="shared" si="102"/>
        <v>21000</v>
      </c>
      <c r="Q92" s="470">
        <f t="shared" si="103"/>
        <v>33000</v>
      </c>
      <c r="R92" s="470">
        <f t="shared" si="104"/>
        <v>75000</v>
      </c>
      <c r="S92" s="470">
        <f t="shared" si="105"/>
        <v>95000</v>
      </c>
      <c r="T92" s="470">
        <f t="shared" si="106"/>
        <v>336000</v>
      </c>
      <c r="U92" s="470">
        <f t="shared" si="107"/>
        <v>345330.401280001</v>
      </c>
      <c r="V92" s="470">
        <f t="shared" si="108"/>
        <v>905330.401280001</v>
      </c>
      <c r="W92" s="471">
        <v>12</v>
      </c>
      <c r="X92" s="470">
        <f t="shared" si="109"/>
        <v>75444.2001066667</v>
      </c>
      <c r="Y92" s="476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3"/>
      <c r="AD92" s="473"/>
      <c r="AE92" s="473"/>
    </row>
    <row r="93" ht="15.5" spans="1:31">
      <c r="A93" s="467"/>
      <c r="B93" s="651" t="s">
        <v>236</v>
      </c>
      <c r="C93" s="470">
        <v>450135.833333334</v>
      </c>
      <c r="D93" s="469">
        <v>12</v>
      </c>
      <c r="E93" s="470">
        <f t="shared" si="96"/>
        <v>5401630.00000001</v>
      </c>
      <c r="F93" s="470"/>
      <c r="G93" s="474">
        <v>374530.4</v>
      </c>
      <c r="H93" s="476"/>
      <c r="I93" s="470">
        <f t="shared" si="97"/>
        <v>5027099.60000001</v>
      </c>
      <c r="J93" s="470">
        <v>200000</v>
      </c>
      <c r="K93" s="470">
        <v>0.2</v>
      </c>
      <c r="L93" s="470">
        <f t="shared" si="98"/>
        <v>1005419.92</v>
      </c>
      <c r="M93" s="470">
        <f t="shared" si="99"/>
        <v>1205419.92</v>
      </c>
      <c r="N93" s="470">
        <f t="shared" si="100"/>
        <v>1579950.32</v>
      </c>
      <c r="O93" s="470">
        <f t="shared" si="101"/>
        <v>3821679.68000001</v>
      </c>
      <c r="P93" s="470">
        <f t="shared" si="102"/>
        <v>21000</v>
      </c>
      <c r="Q93" s="470">
        <f t="shared" si="103"/>
        <v>33000</v>
      </c>
      <c r="R93" s="470">
        <f t="shared" si="104"/>
        <v>75000</v>
      </c>
      <c r="S93" s="470">
        <f t="shared" si="105"/>
        <v>95000</v>
      </c>
      <c r="T93" s="470">
        <f t="shared" si="106"/>
        <v>336000</v>
      </c>
      <c r="U93" s="470">
        <f t="shared" si="107"/>
        <v>149203.123200002</v>
      </c>
      <c r="V93" s="470">
        <f t="shared" si="108"/>
        <v>709203.123200002</v>
      </c>
      <c r="W93" s="471">
        <v>12</v>
      </c>
      <c r="X93" s="470">
        <f t="shared" si="109"/>
        <v>59100.2602666668</v>
      </c>
      <c r="Y93" s="476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239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652</v>
      </c>
      <c r="C96" s="470">
        <v>1947106.41666666</v>
      </c>
      <c r="D96" s="469">
        <v>12</v>
      </c>
      <c r="E96" s="470">
        <f t="shared" ref="E96:E102" si="112">C96*D96</f>
        <v>23365276.9999999</v>
      </c>
      <c r="F96" s="470"/>
      <c r="G96" s="474">
        <v>1677222.16</v>
      </c>
      <c r="H96" s="476"/>
      <c r="I96" s="470">
        <f t="shared" ref="I96:I102" si="113">E96-F96-G96-H96</f>
        <v>21688054.8399999</v>
      </c>
      <c r="J96" s="470">
        <v>200000</v>
      </c>
      <c r="K96" s="470">
        <v>0.2</v>
      </c>
      <c r="L96" s="470">
        <f t="shared" ref="L96:L102" si="114">I96*K96</f>
        <v>4337610.96799998</v>
      </c>
      <c r="M96" s="470">
        <f t="shared" ref="M96:M102" si="115">J96+L96</f>
        <v>4537610.96799998</v>
      </c>
      <c r="N96" s="470">
        <f t="shared" ref="N96:N102" si="116">F96+G96+H96+M96</f>
        <v>6214833.12799998</v>
      </c>
      <c r="O96" s="470">
        <f t="shared" ref="O96:O102" si="117">E96-N96</f>
        <v>17150443.8719999</v>
      </c>
      <c r="P96" s="470">
        <f t="shared" ref="P96:P102" si="118">IF(O96&lt;300000,0.07*O96,21000)</f>
        <v>21000</v>
      </c>
      <c r="Q96" s="470">
        <f t="shared" ref="Q96:Q102" si="119">IF((O96-300000)&lt;0,0,IF((O96-300000)&lt;300000,0.11*(O96-300000),33000))</f>
        <v>33000</v>
      </c>
      <c r="R96" s="470">
        <f t="shared" ref="R96:R102" si="120">IF((O96-600000)&lt;0,0,IF((O96-600000)&lt;500000,0.15*(O96-600000),75000))</f>
        <v>75000</v>
      </c>
      <c r="S96" s="470">
        <f t="shared" ref="S96:S102" si="121">IF((O96-1100000)&lt;0,0,IF((O96-1100000)&lt;500000,0.19*(O96-1100000),95000))</f>
        <v>95000</v>
      </c>
      <c r="T96" s="470">
        <f t="shared" ref="T96:T102" si="122">IF((O96-1600000)&lt;0,0,IF((O96-1600000)&lt;1600000,0.21*(O96-1600000),336000))</f>
        <v>336000</v>
      </c>
      <c r="U96" s="470">
        <f t="shared" ref="U96:U98" si="123">24%*(O96-3200000)</f>
        <v>3348106.52927998</v>
      </c>
      <c r="V96" s="470">
        <f t="shared" ref="V96:V102" si="124">P96+Q96+R96+S96+T96+U96</f>
        <v>3908106.52927998</v>
      </c>
      <c r="W96" s="471">
        <v>12</v>
      </c>
      <c r="X96" s="470">
        <f t="shared" ref="X96:X102" si="125">V96/W96</f>
        <v>325675.544106665</v>
      </c>
      <c r="Y96" s="476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242</v>
      </c>
      <c r="C97" s="470">
        <v>1085306.75</v>
      </c>
      <c r="D97" s="469">
        <v>12</v>
      </c>
      <c r="E97" s="470">
        <f t="shared" si="112"/>
        <v>13023681</v>
      </c>
      <c r="F97" s="470">
        <v>166400.85</v>
      </c>
      <c r="G97" s="474">
        <v>869094.48</v>
      </c>
      <c r="H97" s="476"/>
      <c r="I97" s="470">
        <f t="shared" si="113"/>
        <v>11988185.67</v>
      </c>
      <c r="J97" s="470">
        <v>200000</v>
      </c>
      <c r="K97" s="470">
        <v>0.2</v>
      </c>
      <c r="L97" s="470">
        <f t="shared" si="114"/>
        <v>2397637.134</v>
      </c>
      <c r="M97" s="470">
        <f t="shared" si="115"/>
        <v>2597637.134</v>
      </c>
      <c r="N97" s="470">
        <f t="shared" si="116"/>
        <v>3633132.464</v>
      </c>
      <c r="O97" s="470">
        <f t="shared" si="117"/>
        <v>9390548.536</v>
      </c>
      <c r="P97" s="470">
        <f t="shared" si="118"/>
        <v>21000</v>
      </c>
      <c r="Q97" s="470">
        <f t="shared" si="119"/>
        <v>33000</v>
      </c>
      <c r="R97" s="470">
        <f t="shared" si="120"/>
        <v>75000</v>
      </c>
      <c r="S97" s="470">
        <f t="shared" si="121"/>
        <v>95000</v>
      </c>
      <c r="T97" s="470">
        <f t="shared" si="122"/>
        <v>336000</v>
      </c>
      <c r="U97" s="470">
        <f t="shared" si="123"/>
        <v>1485731.64864</v>
      </c>
      <c r="V97" s="470">
        <f t="shared" si="124"/>
        <v>2045731.64864</v>
      </c>
      <c r="W97" s="471">
        <v>12</v>
      </c>
      <c r="X97" s="470">
        <f t="shared" si="125"/>
        <v>170477.637386667</v>
      </c>
      <c r="Y97" s="476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244</v>
      </c>
      <c r="C98" s="470">
        <v>702784.271858333</v>
      </c>
      <c r="D98" s="469">
        <v>12</v>
      </c>
      <c r="E98" s="470">
        <f t="shared" si="112"/>
        <v>8433411.2623</v>
      </c>
      <c r="F98" s="470">
        <v>101319.25</v>
      </c>
      <c r="G98" s="474">
        <v>519697.279999999</v>
      </c>
      <c r="H98" s="476"/>
      <c r="I98" s="470">
        <f t="shared" si="113"/>
        <v>7812394.7323</v>
      </c>
      <c r="J98" s="470">
        <v>200000</v>
      </c>
      <c r="K98" s="470">
        <v>0.2</v>
      </c>
      <c r="L98" s="470">
        <f t="shared" si="114"/>
        <v>1562478.94646</v>
      </c>
      <c r="M98" s="470">
        <f t="shared" si="115"/>
        <v>1762478.94646</v>
      </c>
      <c r="N98" s="470">
        <f t="shared" si="116"/>
        <v>2383495.47646</v>
      </c>
      <c r="O98" s="470">
        <f t="shared" si="117"/>
        <v>6049915.78584</v>
      </c>
      <c r="P98" s="470">
        <f t="shared" si="118"/>
        <v>21000</v>
      </c>
      <c r="Q98" s="470">
        <f t="shared" si="119"/>
        <v>33000</v>
      </c>
      <c r="R98" s="470">
        <f t="shared" si="120"/>
        <v>75000</v>
      </c>
      <c r="S98" s="470">
        <f t="shared" si="121"/>
        <v>95000</v>
      </c>
      <c r="T98" s="470">
        <f t="shared" si="122"/>
        <v>336000</v>
      </c>
      <c r="U98" s="470">
        <f t="shared" si="123"/>
        <v>683979.788601599</v>
      </c>
      <c r="V98" s="470">
        <f t="shared" si="124"/>
        <v>1243979.7886016</v>
      </c>
      <c r="W98" s="471">
        <v>12</v>
      </c>
      <c r="X98" s="470">
        <f t="shared" si="125"/>
        <v>103664.982383467</v>
      </c>
      <c r="Y98" s="476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3"/>
      <c r="AD98" s="473"/>
      <c r="AE98" s="473"/>
    </row>
    <row r="99" ht="15.5" spans="1:31">
      <c r="A99" s="467">
        <v>88</v>
      </c>
      <c r="B99" s="651" t="s">
        <v>246</v>
      </c>
      <c r="C99" s="470">
        <v>701171.449988333</v>
      </c>
      <c r="D99" s="469">
        <v>12</v>
      </c>
      <c r="E99" s="470">
        <f t="shared" si="112"/>
        <v>8414057.39986</v>
      </c>
      <c r="F99" s="470"/>
      <c r="G99" s="474">
        <v>519697.279999999</v>
      </c>
      <c r="H99" s="476"/>
      <c r="I99" s="470">
        <f t="shared" si="113"/>
        <v>7894360.11986</v>
      </c>
      <c r="J99" s="470">
        <v>200000</v>
      </c>
      <c r="K99" s="470">
        <v>0.2</v>
      </c>
      <c r="L99" s="470">
        <f t="shared" si="114"/>
        <v>1578872.023972</v>
      </c>
      <c r="M99" s="470">
        <f t="shared" si="115"/>
        <v>1778872.023972</v>
      </c>
      <c r="N99" s="470">
        <f t="shared" si="116"/>
        <v>2298569.303972</v>
      </c>
      <c r="O99" s="470">
        <f t="shared" si="117"/>
        <v>6115488.095888</v>
      </c>
      <c r="P99" s="470">
        <f t="shared" si="118"/>
        <v>21000</v>
      </c>
      <c r="Q99" s="470">
        <f t="shared" si="119"/>
        <v>33000</v>
      </c>
      <c r="R99" s="470">
        <f t="shared" si="120"/>
        <v>75000</v>
      </c>
      <c r="S99" s="470">
        <f t="shared" si="121"/>
        <v>95000</v>
      </c>
      <c r="T99" s="470">
        <f t="shared" si="122"/>
        <v>336000</v>
      </c>
      <c r="U99" s="470">
        <f t="shared" ref="U99:U102" si="128">0.24*(O99-3200000)</f>
        <v>699717.143013119</v>
      </c>
      <c r="V99" s="470">
        <f t="shared" si="124"/>
        <v>1259717.14301312</v>
      </c>
      <c r="W99" s="471">
        <v>12</v>
      </c>
      <c r="X99" s="470">
        <f t="shared" si="125"/>
        <v>104976.428584427</v>
      </c>
      <c r="Y99" s="476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3"/>
      <c r="AD99" s="473"/>
      <c r="AE99" s="473"/>
    </row>
    <row r="100" ht="15.5" spans="1:31">
      <c r="A100" s="467">
        <v>89</v>
      </c>
      <c r="B100" s="651" t="s">
        <v>249</v>
      </c>
      <c r="C100" s="470">
        <v>455283.864146667</v>
      </c>
      <c r="D100" s="469">
        <v>12</v>
      </c>
      <c r="E100" s="470">
        <f t="shared" si="112"/>
        <v>5463406.36976</v>
      </c>
      <c r="F100" s="470"/>
      <c r="G100" s="474">
        <v>316752.400000001</v>
      </c>
      <c r="H100" s="476"/>
      <c r="I100" s="470">
        <f t="shared" si="113"/>
        <v>5146653.96976</v>
      </c>
      <c r="J100" s="470">
        <v>200000</v>
      </c>
      <c r="K100" s="470">
        <v>0.2</v>
      </c>
      <c r="L100" s="470">
        <f t="shared" si="114"/>
        <v>1029330.793952</v>
      </c>
      <c r="M100" s="470">
        <f t="shared" si="115"/>
        <v>1229330.793952</v>
      </c>
      <c r="N100" s="470">
        <f t="shared" si="116"/>
        <v>1546083.193952</v>
      </c>
      <c r="O100" s="470">
        <f t="shared" si="117"/>
        <v>3917323.175808</v>
      </c>
      <c r="P100" s="470">
        <f t="shared" si="118"/>
        <v>21000</v>
      </c>
      <c r="Q100" s="470">
        <f t="shared" si="119"/>
        <v>33000</v>
      </c>
      <c r="R100" s="470">
        <f t="shared" si="120"/>
        <v>75000</v>
      </c>
      <c r="S100" s="470">
        <f t="shared" si="121"/>
        <v>95000</v>
      </c>
      <c r="T100" s="470">
        <f t="shared" si="122"/>
        <v>336000</v>
      </c>
      <c r="U100" s="470">
        <f t="shared" si="128"/>
        <v>172157.562193921</v>
      </c>
      <c r="V100" s="470">
        <f t="shared" si="124"/>
        <v>732157.562193921</v>
      </c>
      <c r="W100" s="471">
        <v>12</v>
      </c>
      <c r="X100" s="470">
        <f t="shared" si="125"/>
        <v>61013.1301828267</v>
      </c>
      <c r="Y100" s="476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3"/>
      <c r="AD100" s="473"/>
      <c r="AE100" s="473"/>
    </row>
    <row r="101" ht="31" spans="1:31">
      <c r="A101" s="467"/>
      <c r="B101" s="351" t="s">
        <v>252</v>
      </c>
      <c r="C101" s="470">
        <v>466741.530813333</v>
      </c>
      <c r="D101" s="469">
        <v>12</v>
      </c>
      <c r="E101" s="470">
        <f t="shared" si="112"/>
        <v>5600898.36976</v>
      </c>
      <c r="F101" s="470"/>
      <c r="G101" s="474">
        <v>317190.799999999</v>
      </c>
      <c r="H101" s="476"/>
      <c r="I101" s="470">
        <f t="shared" si="113"/>
        <v>5283707.56976</v>
      </c>
      <c r="J101" s="470">
        <v>200000</v>
      </c>
      <c r="K101" s="470">
        <v>0.2</v>
      </c>
      <c r="L101" s="470">
        <f t="shared" si="114"/>
        <v>1056741.513952</v>
      </c>
      <c r="M101" s="470">
        <f t="shared" si="115"/>
        <v>1256741.513952</v>
      </c>
      <c r="N101" s="470">
        <f t="shared" si="116"/>
        <v>1573932.313952</v>
      </c>
      <c r="O101" s="470">
        <f t="shared" si="117"/>
        <v>4026966.055808</v>
      </c>
      <c r="P101" s="470">
        <f t="shared" si="118"/>
        <v>21000</v>
      </c>
      <c r="Q101" s="470">
        <f t="shared" si="119"/>
        <v>33000</v>
      </c>
      <c r="R101" s="470">
        <f t="shared" si="120"/>
        <v>75000</v>
      </c>
      <c r="S101" s="470">
        <f t="shared" si="121"/>
        <v>95000</v>
      </c>
      <c r="T101" s="470">
        <f t="shared" si="122"/>
        <v>336000</v>
      </c>
      <c r="U101" s="470">
        <f t="shared" si="128"/>
        <v>198471.853393919</v>
      </c>
      <c r="V101" s="470">
        <f t="shared" si="124"/>
        <v>758471.853393919</v>
      </c>
      <c r="W101" s="471">
        <v>12</v>
      </c>
      <c r="X101" s="470">
        <f t="shared" si="125"/>
        <v>63205.9877828266</v>
      </c>
      <c r="Y101" s="476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3"/>
      <c r="AD101" s="473"/>
      <c r="AE101" s="473"/>
    </row>
    <row r="102" ht="15.5" spans="1:31">
      <c r="A102" s="467"/>
      <c r="B102" s="351" t="s">
        <v>253</v>
      </c>
      <c r="C102" s="470">
        <v>433486.862111667</v>
      </c>
      <c r="D102" s="469">
        <v>12</v>
      </c>
      <c r="E102" s="470">
        <f t="shared" si="112"/>
        <v>5201842.34534</v>
      </c>
      <c r="G102" s="474">
        <v>296563.840000001</v>
      </c>
      <c r="H102" s="476"/>
      <c r="I102" s="470">
        <f t="shared" si="113"/>
        <v>4905278.50534</v>
      </c>
      <c r="J102" s="470">
        <v>200000</v>
      </c>
      <c r="K102" s="470">
        <v>0.2</v>
      </c>
      <c r="L102" s="470">
        <f t="shared" si="114"/>
        <v>981055.701068001</v>
      </c>
      <c r="M102" s="470">
        <f t="shared" si="115"/>
        <v>1181055.701068</v>
      </c>
      <c r="N102" s="470">
        <f t="shared" si="116"/>
        <v>1477619.541068</v>
      </c>
      <c r="O102" s="470">
        <f t="shared" si="117"/>
        <v>3724222.804272</v>
      </c>
      <c r="P102" s="470">
        <f t="shared" si="118"/>
        <v>21000</v>
      </c>
      <c r="Q102" s="470">
        <f t="shared" si="119"/>
        <v>33000</v>
      </c>
      <c r="R102" s="470">
        <f t="shared" si="120"/>
        <v>75000</v>
      </c>
      <c r="S102" s="470">
        <f t="shared" si="121"/>
        <v>95000</v>
      </c>
      <c r="T102" s="470">
        <f t="shared" si="122"/>
        <v>336000</v>
      </c>
      <c r="U102" s="470">
        <f t="shared" si="128"/>
        <v>125813.473025281</v>
      </c>
      <c r="V102" s="470">
        <f t="shared" si="124"/>
        <v>685813.473025281</v>
      </c>
      <c r="W102" s="471">
        <v>12</v>
      </c>
      <c r="X102" s="470">
        <f t="shared" si="125"/>
        <v>57151.1227521067</v>
      </c>
      <c r="Y102" s="476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257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259</v>
      </c>
      <c r="C105" s="470">
        <v>592662.666666667</v>
      </c>
      <c r="D105" s="469">
        <v>12</v>
      </c>
      <c r="E105" s="470">
        <f t="shared" ref="E105:E107" si="129">C105*D105</f>
        <v>7111952</v>
      </c>
      <c r="F105" s="470"/>
      <c r="G105" s="474">
        <v>463356.160000001</v>
      </c>
      <c r="H105" s="476"/>
      <c r="I105" s="470">
        <f t="shared" ref="I105:I107" si="130">E105-F105-G105-H105</f>
        <v>6648595.84</v>
      </c>
      <c r="J105" s="470">
        <v>200000</v>
      </c>
      <c r="K105" s="470">
        <v>0.2</v>
      </c>
      <c r="L105" s="470">
        <f t="shared" ref="L105:L107" si="131">I105*K105</f>
        <v>1329719.168</v>
      </c>
      <c r="M105" s="470">
        <f t="shared" ref="M105:M107" si="132">J105+L105</f>
        <v>1529719.168</v>
      </c>
      <c r="N105" s="470">
        <f t="shared" ref="N105:N107" si="133">F105+G105+H105+M105</f>
        <v>1993075.328</v>
      </c>
      <c r="O105" s="470">
        <f t="shared" ref="O105:O107" si="134">E105-N105</f>
        <v>5118876.672</v>
      </c>
      <c r="P105" s="470">
        <f t="shared" ref="P105:P107" si="135">IF(O105&lt;300000,0.07*O105,21000)</f>
        <v>21000</v>
      </c>
      <c r="Q105" s="470">
        <f t="shared" ref="Q105:Q107" si="136">IF((O105-300000)&lt;0,0,IF((O105-300000)&lt;300000,0.11*(O105-300000),33000))</f>
        <v>33000</v>
      </c>
      <c r="R105" s="470">
        <f t="shared" ref="R105:R107" si="137">IF((O105-600000)&lt;0,0,IF((O105-600000)&lt;500000,0.15*(O105-600000),75000))</f>
        <v>75000</v>
      </c>
      <c r="S105" s="470">
        <f t="shared" ref="S105:S107" si="138">IF((O105-1100000)&lt;0,0,IF((O105-1100000)&lt;500000,0.19*(O105-1100000),95000))</f>
        <v>95000</v>
      </c>
      <c r="T105" s="470">
        <f t="shared" ref="T105:T107" si="139">IF((O105-1600000)&lt;0,0,IF((O105-1600000)&lt;1600000,0.21*(O105-1600000),336000))</f>
        <v>336000</v>
      </c>
      <c r="U105" s="470">
        <f t="shared" ref="U105:U107" si="140">0.24*(O105-3200000)</f>
        <v>460530.401280001</v>
      </c>
      <c r="V105" s="470">
        <f t="shared" ref="V105:V107" si="141">P105+Q105+R105+S105+T105+U105</f>
        <v>1020530.40128</v>
      </c>
      <c r="W105" s="471">
        <v>12</v>
      </c>
      <c r="X105" s="470">
        <f t="shared" ref="X105:X107" si="142">V105/W105</f>
        <v>85044.2001066667</v>
      </c>
      <c r="Y105" s="476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480</v>
      </c>
      <c r="C106" s="470">
        <v>578828.166666667</v>
      </c>
      <c r="D106" s="469">
        <v>12</v>
      </c>
      <c r="E106" s="470">
        <f t="shared" si="129"/>
        <v>6945938</v>
      </c>
      <c r="F106" s="470"/>
      <c r="G106" s="474">
        <v>450075.040000001</v>
      </c>
      <c r="H106" s="476"/>
      <c r="I106" s="470">
        <f t="shared" si="130"/>
        <v>6495862.96</v>
      </c>
      <c r="J106" s="470">
        <v>200000</v>
      </c>
      <c r="K106" s="470">
        <v>0.2</v>
      </c>
      <c r="L106" s="470">
        <f t="shared" si="131"/>
        <v>1299172.592</v>
      </c>
      <c r="M106" s="470">
        <f t="shared" si="132"/>
        <v>1499172.592</v>
      </c>
      <c r="N106" s="470">
        <f t="shared" si="133"/>
        <v>1949247.632</v>
      </c>
      <c r="O106" s="470">
        <f t="shared" si="134"/>
        <v>4996690.368</v>
      </c>
      <c r="P106" s="470">
        <f t="shared" si="135"/>
        <v>21000</v>
      </c>
      <c r="Q106" s="470">
        <f t="shared" si="136"/>
        <v>33000</v>
      </c>
      <c r="R106" s="470">
        <f t="shared" si="137"/>
        <v>75000</v>
      </c>
      <c r="S106" s="470">
        <f t="shared" si="138"/>
        <v>95000</v>
      </c>
      <c r="T106" s="470">
        <f t="shared" si="139"/>
        <v>336000</v>
      </c>
      <c r="U106" s="470">
        <f t="shared" si="140"/>
        <v>431205.688320001</v>
      </c>
      <c r="V106" s="470">
        <f t="shared" si="141"/>
        <v>991205.688320001</v>
      </c>
      <c r="W106" s="471">
        <v>12</v>
      </c>
      <c r="X106" s="470">
        <f t="shared" si="142"/>
        <v>82600.4740266667</v>
      </c>
      <c r="Y106" s="476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193</v>
      </c>
      <c r="C107" s="479">
        <v>552846.583333334</v>
      </c>
      <c r="D107" s="469">
        <v>12</v>
      </c>
      <c r="E107" s="470">
        <f t="shared" si="129"/>
        <v>6634159.00000001</v>
      </c>
      <c r="F107" s="470">
        <v>90896.2250000001</v>
      </c>
      <c r="G107" s="474">
        <v>463532.72</v>
      </c>
      <c r="H107" s="476"/>
      <c r="I107" s="470">
        <f t="shared" si="130"/>
        <v>6079730.05500001</v>
      </c>
      <c r="J107" s="470">
        <v>200000</v>
      </c>
      <c r="K107" s="470">
        <v>0.2</v>
      </c>
      <c r="L107" s="470">
        <f t="shared" si="131"/>
        <v>1215946.011</v>
      </c>
      <c r="M107" s="470">
        <f t="shared" si="132"/>
        <v>1415946.011</v>
      </c>
      <c r="N107" s="470">
        <f t="shared" si="133"/>
        <v>1970374.956</v>
      </c>
      <c r="O107" s="470">
        <f t="shared" si="134"/>
        <v>4663784.04400001</v>
      </c>
      <c r="P107" s="470">
        <f t="shared" si="135"/>
        <v>21000</v>
      </c>
      <c r="Q107" s="470">
        <f t="shared" si="136"/>
        <v>33000</v>
      </c>
      <c r="R107" s="470">
        <f t="shared" si="137"/>
        <v>75000</v>
      </c>
      <c r="S107" s="470">
        <f t="shared" si="138"/>
        <v>95000</v>
      </c>
      <c r="T107" s="470">
        <f t="shared" si="139"/>
        <v>336000</v>
      </c>
      <c r="U107" s="470">
        <f t="shared" si="140"/>
        <v>351308.170560001</v>
      </c>
      <c r="V107" s="470">
        <f t="shared" si="141"/>
        <v>911308.170560001</v>
      </c>
      <c r="W107" s="471">
        <v>12</v>
      </c>
      <c r="X107" s="470">
        <f t="shared" si="142"/>
        <v>75942.3475466668</v>
      </c>
      <c r="Y107" s="476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696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271</v>
      </c>
      <c r="C110" s="470">
        <v>337890.916666667</v>
      </c>
      <c r="D110" s="469">
        <v>12</v>
      </c>
      <c r="E110" s="470">
        <f t="shared" ref="E110:E124" si="145">C110*D110</f>
        <v>4054691</v>
      </c>
      <c r="F110" s="470"/>
      <c r="G110" s="474">
        <v>276375.280000001</v>
      </c>
      <c r="H110" s="476"/>
      <c r="I110" s="470">
        <f t="shared" ref="I110:I124" si="146">E110-F110-G110-H110</f>
        <v>3778315.72</v>
      </c>
      <c r="J110" s="470">
        <v>200000</v>
      </c>
      <c r="K110" s="470">
        <v>0.2</v>
      </c>
      <c r="L110" s="470">
        <f t="shared" ref="L110:L124" si="147">I110*K110</f>
        <v>755663.144000001</v>
      </c>
      <c r="M110" s="470">
        <f t="shared" ref="M110:M124" si="148">J110+L110</f>
        <v>955663.144000001</v>
      </c>
      <c r="N110" s="470">
        <f t="shared" ref="N110:N124" si="149">F110+G110+H110+M110</f>
        <v>1232038.424</v>
      </c>
      <c r="O110" s="470">
        <f t="shared" ref="O110:O124" si="150">E110-N110</f>
        <v>2822652.576</v>
      </c>
      <c r="P110" s="470">
        <f t="shared" ref="P110:P124" si="151">IF(O110&lt;300000,0.07*O110,21000)</f>
        <v>21000</v>
      </c>
      <c r="Q110" s="470">
        <f t="shared" ref="Q110:Q124" si="152">IF((O110-300000)&lt;0,0,IF((O110-300000)&lt;300000,0.11*(O110-300000),33000))</f>
        <v>33000</v>
      </c>
      <c r="R110" s="470">
        <f t="shared" ref="R110:R124" si="153">IF((O110-600000)&lt;0,0,IF((O110-600000)&lt;500000,0.15*(O110-600000),75000))</f>
        <v>75000</v>
      </c>
      <c r="S110" s="470">
        <f t="shared" ref="S110:S124" si="154">IF((O110-1100000)&lt;0,0,IF((O110-1100000)&lt;500000,0.19*(O110-1100000),95000))</f>
        <v>95000</v>
      </c>
      <c r="T110" s="470">
        <f t="shared" ref="T110:T124" si="155">IF((O110-1600000)&lt;0,0,IF((O110-1600000)&lt;1600000,0.21*(O110-1600000),336000))</f>
        <v>256757.04096</v>
      </c>
      <c r="U110" s="470"/>
      <c r="V110" s="470">
        <f t="shared" ref="V110:V124" si="156">P110+Q110+R110+S110+T110+U110</f>
        <v>480757.04096</v>
      </c>
      <c r="W110" s="471">
        <v>12</v>
      </c>
      <c r="X110" s="470">
        <f t="shared" ref="X110:X124" si="157">V110/W110</f>
        <v>40063.0867466667</v>
      </c>
      <c r="Y110" s="476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276</v>
      </c>
      <c r="C111" s="470">
        <v>337890.916666667</v>
      </c>
      <c r="D111" s="469">
        <v>12</v>
      </c>
      <c r="E111" s="470">
        <f t="shared" si="145"/>
        <v>4054691</v>
      </c>
      <c r="F111" s="470"/>
      <c r="G111" s="474">
        <v>276375.280000001</v>
      </c>
      <c r="H111" s="476"/>
      <c r="I111" s="470">
        <f t="shared" si="146"/>
        <v>3778315.72</v>
      </c>
      <c r="J111" s="470">
        <v>200000</v>
      </c>
      <c r="K111" s="470">
        <v>0.2</v>
      </c>
      <c r="L111" s="470">
        <f t="shared" si="147"/>
        <v>755663.144000001</v>
      </c>
      <c r="M111" s="470">
        <f t="shared" si="148"/>
        <v>955663.144000001</v>
      </c>
      <c r="N111" s="470">
        <f t="shared" si="149"/>
        <v>1232038.424</v>
      </c>
      <c r="O111" s="470">
        <f t="shared" si="150"/>
        <v>2822652.576</v>
      </c>
      <c r="P111" s="470">
        <f t="shared" si="151"/>
        <v>21000</v>
      </c>
      <c r="Q111" s="470">
        <f t="shared" si="152"/>
        <v>33000</v>
      </c>
      <c r="R111" s="470">
        <f t="shared" si="153"/>
        <v>75000</v>
      </c>
      <c r="S111" s="470">
        <f t="shared" si="154"/>
        <v>95000</v>
      </c>
      <c r="T111" s="470">
        <f t="shared" si="155"/>
        <v>256757.04096</v>
      </c>
      <c r="U111" s="470"/>
      <c r="V111" s="470">
        <f t="shared" si="156"/>
        <v>480757.04096</v>
      </c>
      <c r="W111" s="471">
        <v>12</v>
      </c>
      <c r="X111" s="470">
        <f t="shared" si="157"/>
        <v>40063.0867466667</v>
      </c>
      <c r="Y111" s="476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278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279</v>
      </c>
      <c r="C115" s="470">
        <v>1947106.41666666</v>
      </c>
      <c r="D115" s="469">
        <v>12</v>
      </c>
      <c r="E115" s="470">
        <f t="shared" si="145"/>
        <v>23365276.9999999</v>
      </c>
      <c r="F115" s="470">
        <v>326033.124999999</v>
      </c>
      <c r="G115" s="474">
        <v>1677222.16</v>
      </c>
      <c r="H115" s="476"/>
      <c r="I115" s="470">
        <f t="shared" si="146"/>
        <v>21362021.7149999</v>
      </c>
      <c r="J115" s="470">
        <v>200000</v>
      </c>
      <c r="K115" s="470">
        <v>0.2</v>
      </c>
      <c r="L115" s="470">
        <f t="shared" si="147"/>
        <v>4272404.34299998</v>
      </c>
      <c r="M115" s="470">
        <f t="shared" si="148"/>
        <v>4472404.34299998</v>
      </c>
      <c r="N115" s="470">
        <f t="shared" si="149"/>
        <v>6475659.62799998</v>
      </c>
      <c r="O115" s="470">
        <f t="shared" si="150"/>
        <v>16889617.3719999</v>
      </c>
      <c r="P115" s="470">
        <f t="shared" si="151"/>
        <v>21000</v>
      </c>
      <c r="Q115" s="470">
        <f t="shared" si="152"/>
        <v>33000</v>
      </c>
      <c r="R115" s="470">
        <f t="shared" si="153"/>
        <v>75000</v>
      </c>
      <c r="S115" s="470">
        <f t="shared" si="154"/>
        <v>95000</v>
      </c>
      <c r="T115" s="470">
        <f t="shared" si="155"/>
        <v>336000</v>
      </c>
      <c r="U115" s="470">
        <f t="shared" ref="U115:U121" si="160">0.24*(O115-3200000)</f>
        <v>3285508.16927998</v>
      </c>
      <c r="V115" s="470">
        <f t="shared" si="156"/>
        <v>3845508.16927998</v>
      </c>
      <c r="W115" s="471">
        <v>12</v>
      </c>
      <c r="X115" s="470">
        <f t="shared" si="157"/>
        <v>320459.014106665</v>
      </c>
      <c r="Y115" s="476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281</v>
      </c>
      <c r="C116" s="470">
        <v>1095306.75</v>
      </c>
      <c r="D116" s="469">
        <v>12</v>
      </c>
      <c r="E116" s="470">
        <f t="shared" si="145"/>
        <v>13143681</v>
      </c>
      <c r="F116" s="470">
        <v>166400.85</v>
      </c>
      <c r="G116" s="474">
        <v>869094.48</v>
      </c>
      <c r="H116" s="476"/>
      <c r="I116" s="470">
        <f t="shared" si="146"/>
        <v>12108185.67</v>
      </c>
      <c r="J116" s="470">
        <v>200000</v>
      </c>
      <c r="K116" s="470">
        <v>0.2</v>
      </c>
      <c r="L116" s="470">
        <f t="shared" si="147"/>
        <v>2421637.134</v>
      </c>
      <c r="M116" s="470">
        <f t="shared" si="148"/>
        <v>2621637.134</v>
      </c>
      <c r="N116" s="470">
        <f t="shared" si="149"/>
        <v>3657132.464</v>
      </c>
      <c r="O116" s="470">
        <f t="shared" si="150"/>
        <v>9486548.536</v>
      </c>
      <c r="P116" s="470">
        <f t="shared" si="151"/>
        <v>21000</v>
      </c>
      <c r="Q116" s="470">
        <f t="shared" si="152"/>
        <v>33000</v>
      </c>
      <c r="R116" s="470">
        <f t="shared" si="153"/>
        <v>75000</v>
      </c>
      <c r="S116" s="470">
        <f t="shared" si="154"/>
        <v>95000</v>
      </c>
      <c r="T116" s="470">
        <f t="shared" si="155"/>
        <v>336000</v>
      </c>
      <c r="U116" s="470">
        <f t="shared" si="160"/>
        <v>1508771.64864</v>
      </c>
      <c r="V116" s="470">
        <f t="shared" si="156"/>
        <v>2068771.64864</v>
      </c>
      <c r="W116" s="471">
        <v>12</v>
      </c>
      <c r="X116" s="470">
        <f t="shared" si="157"/>
        <v>172397.637386667</v>
      </c>
      <c r="Y116" s="476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3"/>
      <c r="AD116" s="473"/>
      <c r="AE116" s="473"/>
    </row>
    <row r="117" ht="15.5" spans="1:31">
      <c r="A117" s="467"/>
      <c r="B117" s="643" t="s">
        <v>283</v>
      </c>
      <c r="C117" s="470">
        <v>1072711.08333333</v>
      </c>
      <c r="D117" s="469">
        <v>12</v>
      </c>
      <c r="E117" s="470">
        <f t="shared" si="145"/>
        <v>12872533</v>
      </c>
      <c r="F117" s="470">
        <v>157015.95</v>
      </c>
      <c r="G117" s="474">
        <v>818602.639999999</v>
      </c>
      <c r="H117" s="476"/>
      <c r="I117" s="470">
        <f t="shared" si="146"/>
        <v>11896914.41</v>
      </c>
      <c r="J117" s="470">
        <v>200000</v>
      </c>
      <c r="K117" s="470">
        <v>0.2</v>
      </c>
      <c r="L117" s="470">
        <f t="shared" si="147"/>
        <v>2379382.88199999</v>
      </c>
      <c r="M117" s="470">
        <f t="shared" si="148"/>
        <v>2579382.88199999</v>
      </c>
      <c r="N117" s="470">
        <f t="shared" si="149"/>
        <v>3555001.47199999</v>
      </c>
      <c r="O117" s="470">
        <f t="shared" si="150"/>
        <v>9317531.52799997</v>
      </c>
      <c r="P117" s="470">
        <f t="shared" si="151"/>
        <v>21000</v>
      </c>
      <c r="Q117" s="470">
        <f t="shared" si="152"/>
        <v>33000</v>
      </c>
      <c r="R117" s="470">
        <f t="shared" si="153"/>
        <v>75000</v>
      </c>
      <c r="S117" s="470">
        <f t="shared" si="154"/>
        <v>95000</v>
      </c>
      <c r="T117" s="470">
        <f t="shared" si="155"/>
        <v>336000</v>
      </c>
      <c r="U117" s="470">
        <f t="shared" si="160"/>
        <v>1468207.56671999</v>
      </c>
      <c r="V117" s="470">
        <f t="shared" si="156"/>
        <v>2028207.56671999</v>
      </c>
      <c r="W117" s="471">
        <v>12</v>
      </c>
      <c r="X117" s="470">
        <f t="shared" si="157"/>
        <v>169017.297226666</v>
      </c>
      <c r="Y117" s="476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3"/>
      <c r="AD117" s="473"/>
      <c r="AE117" s="473"/>
    </row>
    <row r="118" ht="15.5" spans="1:31">
      <c r="A118" s="467"/>
      <c r="B118" s="651" t="s">
        <v>286</v>
      </c>
      <c r="C118" s="470">
        <v>659657</v>
      </c>
      <c r="D118" s="469">
        <v>12</v>
      </c>
      <c r="E118" s="470">
        <f t="shared" si="145"/>
        <v>7915884</v>
      </c>
      <c r="F118" s="470"/>
      <c r="G118" s="474">
        <v>566070.72</v>
      </c>
      <c r="H118" s="476"/>
      <c r="I118" s="470">
        <f t="shared" si="146"/>
        <v>7349813.28</v>
      </c>
      <c r="J118" s="470">
        <v>200000</v>
      </c>
      <c r="K118" s="470">
        <v>0.2</v>
      </c>
      <c r="L118" s="470">
        <f t="shared" si="147"/>
        <v>1469962.656</v>
      </c>
      <c r="M118" s="470">
        <f t="shared" si="148"/>
        <v>1669962.656</v>
      </c>
      <c r="N118" s="470">
        <f t="shared" si="149"/>
        <v>2236033.376</v>
      </c>
      <c r="O118" s="470">
        <f t="shared" si="150"/>
        <v>5679850.624</v>
      </c>
      <c r="P118" s="470">
        <f t="shared" si="151"/>
        <v>21000</v>
      </c>
      <c r="Q118" s="470">
        <f t="shared" si="152"/>
        <v>33000</v>
      </c>
      <c r="R118" s="470">
        <f t="shared" si="153"/>
        <v>75000</v>
      </c>
      <c r="S118" s="470">
        <f t="shared" si="154"/>
        <v>95000</v>
      </c>
      <c r="T118" s="470">
        <f t="shared" si="155"/>
        <v>336000</v>
      </c>
      <c r="U118" s="470">
        <f t="shared" si="160"/>
        <v>595164.14976</v>
      </c>
      <c r="V118" s="470">
        <f t="shared" si="156"/>
        <v>1155164.14976</v>
      </c>
      <c r="W118" s="471">
        <v>12</v>
      </c>
      <c r="X118" s="470">
        <f t="shared" si="157"/>
        <v>96263.6791466667</v>
      </c>
      <c r="Y118" s="476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3"/>
      <c r="AD118" s="473"/>
      <c r="AE118" s="473"/>
    </row>
    <row r="119" ht="15.5" spans="1:31">
      <c r="A119" s="467">
        <v>101</v>
      </c>
      <c r="B119" s="651" t="s">
        <v>287</v>
      </c>
      <c r="C119" s="470">
        <v>628165.25</v>
      </c>
      <c r="D119" s="469">
        <v>12</v>
      </c>
      <c r="E119" s="470">
        <f t="shared" si="145"/>
        <v>7537983</v>
      </c>
      <c r="F119" s="470">
        <v>104314.775</v>
      </c>
      <c r="G119" s="474">
        <v>535838.64</v>
      </c>
      <c r="H119" s="476"/>
      <c r="I119" s="470">
        <f t="shared" si="146"/>
        <v>6897829.585</v>
      </c>
      <c r="J119" s="470">
        <v>200000</v>
      </c>
      <c r="K119" s="470">
        <v>0.2</v>
      </c>
      <c r="L119" s="470">
        <f t="shared" si="147"/>
        <v>1379565.917</v>
      </c>
      <c r="M119" s="470">
        <f t="shared" si="148"/>
        <v>1579565.917</v>
      </c>
      <c r="N119" s="470">
        <f t="shared" si="149"/>
        <v>2219719.332</v>
      </c>
      <c r="O119" s="470">
        <f t="shared" si="150"/>
        <v>5318263.668</v>
      </c>
      <c r="P119" s="470">
        <f t="shared" si="151"/>
        <v>21000</v>
      </c>
      <c r="Q119" s="470">
        <f t="shared" si="152"/>
        <v>33000</v>
      </c>
      <c r="R119" s="470">
        <f t="shared" si="153"/>
        <v>75000</v>
      </c>
      <c r="S119" s="470">
        <f t="shared" si="154"/>
        <v>95000</v>
      </c>
      <c r="T119" s="470">
        <f t="shared" si="155"/>
        <v>336000</v>
      </c>
      <c r="U119" s="470">
        <f t="shared" si="160"/>
        <v>508383.28032</v>
      </c>
      <c r="V119" s="470">
        <f t="shared" si="156"/>
        <v>1068383.28032</v>
      </c>
      <c r="W119" s="471">
        <v>12</v>
      </c>
      <c r="X119" s="470">
        <f t="shared" si="157"/>
        <v>89031.9400266667</v>
      </c>
      <c r="Y119" s="476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289</v>
      </c>
      <c r="C120" s="470">
        <v>643911.083333334</v>
      </c>
      <c r="D120" s="469">
        <v>12</v>
      </c>
      <c r="E120" s="470">
        <f t="shared" si="145"/>
        <v>7726933.00000001</v>
      </c>
      <c r="F120" s="479">
        <v>107120</v>
      </c>
      <c r="G120" s="474">
        <v>550954.64</v>
      </c>
      <c r="H120" s="476"/>
      <c r="I120" s="470">
        <f t="shared" si="146"/>
        <v>7068858.36000001</v>
      </c>
      <c r="J120" s="470">
        <v>200000</v>
      </c>
      <c r="K120" s="470">
        <v>0.2</v>
      </c>
      <c r="L120" s="470">
        <f t="shared" si="147"/>
        <v>1413771.672</v>
      </c>
      <c r="M120" s="470">
        <f t="shared" si="148"/>
        <v>1613771.672</v>
      </c>
      <c r="N120" s="470">
        <f t="shared" si="149"/>
        <v>2271846.312</v>
      </c>
      <c r="O120" s="470">
        <f t="shared" si="150"/>
        <v>5455086.68800001</v>
      </c>
      <c r="P120" s="470">
        <f t="shared" si="151"/>
        <v>21000</v>
      </c>
      <c r="Q120" s="470">
        <f t="shared" si="152"/>
        <v>33000</v>
      </c>
      <c r="R120" s="470">
        <f t="shared" si="153"/>
        <v>75000</v>
      </c>
      <c r="S120" s="470">
        <f t="shared" si="154"/>
        <v>95000</v>
      </c>
      <c r="T120" s="470">
        <f t="shared" si="155"/>
        <v>336000</v>
      </c>
      <c r="U120" s="470">
        <f t="shared" si="160"/>
        <v>541220.805120001</v>
      </c>
      <c r="V120" s="470">
        <f t="shared" si="156"/>
        <v>1101220.80512</v>
      </c>
      <c r="W120" s="471">
        <v>12</v>
      </c>
      <c r="X120" s="470">
        <f t="shared" si="157"/>
        <v>91768.4004266668</v>
      </c>
      <c r="Y120" s="476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292</v>
      </c>
      <c r="C121" s="470">
        <v>415320.666666667</v>
      </c>
      <c r="D121" s="469">
        <v>12</v>
      </c>
      <c r="E121" s="470">
        <f t="shared" si="145"/>
        <v>4983848</v>
      </c>
      <c r="F121" s="479"/>
      <c r="G121" s="474">
        <v>341107.840000001</v>
      </c>
      <c r="H121" s="476"/>
      <c r="I121" s="470">
        <f t="shared" si="146"/>
        <v>4642740.16</v>
      </c>
      <c r="J121" s="470">
        <v>200000</v>
      </c>
      <c r="K121" s="470">
        <v>0.2</v>
      </c>
      <c r="L121" s="470">
        <f t="shared" si="147"/>
        <v>928548.032000001</v>
      </c>
      <c r="M121" s="470">
        <f t="shared" si="148"/>
        <v>1128548.032</v>
      </c>
      <c r="N121" s="470">
        <f t="shared" si="149"/>
        <v>1469655.872</v>
      </c>
      <c r="O121" s="470">
        <f t="shared" si="150"/>
        <v>3514192.128</v>
      </c>
      <c r="P121" s="470">
        <f t="shared" si="151"/>
        <v>21000</v>
      </c>
      <c r="Q121" s="470">
        <f t="shared" si="152"/>
        <v>33000</v>
      </c>
      <c r="R121" s="470">
        <f t="shared" si="153"/>
        <v>75000</v>
      </c>
      <c r="S121" s="470">
        <f t="shared" si="154"/>
        <v>95000</v>
      </c>
      <c r="T121" s="470">
        <f t="shared" si="155"/>
        <v>336000</v>
      </c>
      <c r="U121" s="470">
        <f t="shared" si="160"/>
        <v>75406.1107200006</v>
      </c>
      <c r="V121" s="470">
        <f t="shared" si="156"/>
        <v>635406.110720001</v>
      </c>
      <c r="W121" s="471">
        <v>12</v>
      </c>
      <c r="X121" s="470">
        <f t="shared" si="157"/>
        <v>52950.5092266667</v>
      </c>
      <c r="Y121" s="476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3"/>
      <c r="AD121" s="473"/>
      <c r="AE121" s="473"/>
    </row>
    <row r="122" ht="15.5" spans="1:31">
      <c r="A122" s="467">
        <v>106</v>
      </c>
      <c r="B122" s="351" t="s">
        <v>294</v>
      </c>
      <c r="C122" s="470">
        <v>351910.75</v>
      </c>
      <c r="D122" s="469">
        <v>12</v>
      </c>
      <c r="E122" s="470">
        <f t="shared" si="145"/>
        <v>4222929</v>
      </c>
      <c r="F122" s="470"/>
      <c r="G122" s="474">
        <v>289834.32</v>
      </c>
      <c r="H122" s="476"/>
      <c r="I122" s="470">
        <f t="shared" si="146"/>
        <v>3933094.68</v>
      </c>
      <c r="J122" s="470">
        <v>200000</v>
      </c>
      <c r="K122" s="470">
        <v>0.2</v>
      </c>
      <c r="L122" s="470">
        <f t="shared" si="147"/>
        <v>786618.936</v>
      </c>
      <c r="M122" s="470">
        <f t="shared" si="148"/>
        <v>986618.936</v>
      </c>
      <c r="N122" s="470">
        <f t="shared" si="149"/>
        <v>1276453.256</v>
      </c>
      <c r="O122" s="470">
        <f t="shared" si="150"/>
        <v>2946475.744</v>
      </c>
      <c r="P122" s="470">
        <f t="shared" si="151"/>
        <v>21000</v>
      </c>
      <c r="Q122" s="470">
        <f t="shared" si="152"/>
        <v>33000</v>
      </c>
      <c r="R122" s="470">
        <f t="shared" si="153"/>
        <v>75000</v>
      </c>
      <c r="S122" s="470">
        <f t="shared" si="154"/>
        <v>95000</v>
      </c>
      <c r="T122" s="470">
        <f t="shared" si="155"/>
        <v>282759.90624</v>
      </c>
      <c r="U122" s="470"/>
      <c r="V122" s="470">
        <f t="shared" si="156"/>
        <v>506759.90624</v>
      </c>
      <c r="W122" s="471">
        <v>12</v>
      </c>
      <c r="X122" s="470">
        <f t="shared" si="157"/>
        <v>42229.9921866667</v>
      </c>
      <c r="Y122" s="476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296</v>
      </c>
      <c r="C123" s="470">
        <v>351910.75</v>
      </c>
      <c r="D123" s="469">
        <v>12</v>
      </c>
      <c r="E123" s="470">
        <f t="shared" si="145"/>
        <v>4222929</v>
      </c>
      <c r="F123" s="470"/>
      <c r="G123" s="474">
        <v>289834.32</v>
      </c>
      <c r="H123" s="476"/>
      <c r="I123" s="470">
        <f t="shared" si="146"/>
        <v>3933094.68</v>
      </c>
      <c r="J123" s="470">
        <v>200000</v>
      </c>
      <c r="K123" s="470">
        <v>0.2</v>
      </c>
      <c r="L123" s="470">
        <f t="shared" si="147"/>
        <v>786618.936</v>
      </c>
      <c r="M123" s="470">
        <f t="shared" si="148"/>
        <v>986618.936</v>
      </c>
      <c r="N123" s="470">
        <f t="shared" si="149"/>
        <v>1276453.256</v>
      </c>
      <c r="O123" s="470">
        <f t="shared" si="150"/>
        <v>2946475.744</v>
      </c>
      <c r="P123" s="470">
        <f t="shared" si="151"/>
        <v>21000</v>
      </c>
      <c r="Q123" s="470">
        <f t="shared" si="152"/>
        <v>33000</v>
      </c>
      <c r="R123" s="470">
        <f t="shared" si="153"/>
        <v>75000</v>
      </c>
      <c r="S123" s="470">
        <f t="shared" si="154"/>
        <v>95000</v>
      </c>
      <c r="T123" s="470">
        <f t="shared" si="155"/>
        <v>282759.90624</v>
      </c>
      <c r="U123" s="470"/>
      <c r="V123" s="470">
        <f t="shared" si="156"/>
        <v>506759.90624</v>
      </c>
      <c r="W123" s="471">
        <v>12</v>
      </c>
      <c r="X123" s="470">
        <f t="shared" si="157"/>
        <v>42229.9921866667</v>
      </c>
      <c r="Y123" s="476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297</v>
      </c>
      <c r="C124" s="470">
        <v>344900.833333334</v>
      </c>
      <c r="D124" s="469">
        <v>12</v>
      </c>
      <c r="E124" s="470">
        <f t="shared" si="145"/>
        <v>4138810.00000001</v>
      </c>
      <c r="F124" s="470"/>
      <c r="G124" s="474">
        <v>283104.8</v>
      </c>
      <c r="H124" s="476"/>
      <c r="I124" s="470">
        <f t="shared" si="146"/>
        <v>3855705.20000001</v>
      </c>
      <c r="J124" s="470">
        <v>200000</v>
      </c>
      <c r="K124" s="470">
        <v>0.2</v>
      </c>
      <c r="L124" s="470">
        <f t="shared" si="147"/>
        <v>771141.040000002</v>
      </c>
      <c r="M124" s="470">
        <f t="shared" si="148"/>
        <v>971141.040000002</v>
      </c>
      <c r="N124" s="470">
        <f t="shared" si="149"/>
        <v>1254245.84</v>
      </c>
      <c r="O124" s="470">
        <f t="shared" si="150"/>
        <v>2884564.16000001</v>
      </c>
      <c r="P124" s="470">
        <f t="shared" si="151"/>
        <v>21000</v>
      </c>
      <c r="Q124" s="470">
        <f t="shared" si="152"/>
        <v>33000</v>
      </c>
      <c r="R124" s="470">
        <f t="shared" si="153"/>
        <v>75000</v>
      </c>
      <c r="S124" s="470">
        <f t="shared" si="154"/>
        <v>95000</v>
      </c>
      <c r="T124" s="470">
        <f t="shared" si="155"/>
        <v>269758.473600001</v>
      </c>
      <c r="U124" s="470"/>
      <c r="V124" s="470">
        <f t="shared" si="156"/>
        <v>493758.473600001</v>
      </c>
      <c r="W124" s="471">
        <v>12</v>
      </c>
      <c r="X124" s="470">
        <f t="shared" si="157"/>
        <v>41146.5394666668</v>
      </c>
      <c r="Y124" s="476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299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300</v>
      </c>
      <c r="C128" s="470">
        <v>1747612</v>
      </c>
      <c r="D128" s="469">
        <v>12</v>
      </c>
      <c r="E128" s="470">
        <f t="shared" ref="E128:E177" si="161">C128*D128</f>
        <v>20971344</v>
      </c>
      <c r="F128" s="470">
        <v>307730.499999999</v>
      </c>
      <c r="G128" s="474">
        <v>1581707.52</v>
      </c>
      <c r="H128" s="476"/>
      <c r="I128" s="470">
        <f t="shared" ref="I128:I177" si="162">E128-F128-G128-H128</f>
        <v>19081905.98</v>
      </c>
      <c r="J128" s="470">
        <v>200000</v>
      </c>
      <c r="K128" s="470">
        <v>0.2</v>
      </c>
      <c r="L128" s="470">
        <f t="shared" ref="L128:L177" si="163">I128*K128</f>
        <v>3816381.196</v>
      </c>
      <c r="M128" s="470">
        <f t="shared" ref="M128:M177" si="164">J128+L128</f>
        <v>4016381.196</v>
      </c>
      <c r="N128" s="470">
        <f t="shared" ref="N128:N187" si="165">F128+G128+H128+M128</f>
        <v>5905819.216</v>
      </c>
      <c r="O128" s="470">
        <f t="shared" ref="O128:O187" si="166">E128-N128</f>
        <v>15065524.784</v>
      </c>
      <c r="P128" s="470">
        <f t="shared" ref="P128:P187" si="167">IF(O128&lt;300000,0.07*O128,21000)</f>
        <v>21000</v>
      </c>
      <c r="Q128" s="470">
        <f t="shared" ref="Q128:Q187" si="168">IF((O128-300000)&lt;0,0,IF((O128-300000)&lt;300000,0.11*(O128-300000),33000))</f>
        <v>33000</v>
      </c>
      <c r="R128" s="470">
        <f t="shared" ref="R128:R187" si="169">IF((O128-600000)&lt;0,0,IF((O128-600000)&lt;500000,0.15*(O128-600000),75000))</f>
        <v>75000</v>
      </c>
      <c r="S128" s="470">
        <f t="shared" ref="S128:S187" si="170">IF((O128-1100000)&lt;0,0,IF((O128-1100000)&lt;500000,0.19*(O128-1100000),95000))</f>
        <v>95000</v>
      </c>
      <c r="T128" s="470">
        <f t="shared" ref="T128:T187" si="171">IF((O128-1600000)&lt;0,0,IF((O128-1600000)&lt;1600000,0.21*(O128-1600000),336000))</f>
        <v>336000</v>
      </c>
      <c r="U128" s="470">
        <f t="shared" ref="U128:U148" si="172">0.24*(O128-3200000)</f>
        <v>2847725.94816</v>
      </c>
      <c r="V128" s="470">
        <f t="shared" ref="V128:V187" si="173">P128+Q128+R128+S128+T128+U128</f>
        <v>3407725.94816</v>
      </c>
      <c r="W128" s="471">
        <v>12</v>
      </c>
      <c r="X128" s="470">
        <f t="shared" ref="X128:X187" si="174">V128/W128</f>
        <v>283977.162346667</v>
      </c>
      <c r="Y128" s="476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302</v>
      </c>
      <c r="C129" s="470">
        <v>1045306.75</v>
      </c>
      <c r="D129" s="469">
        <v>12</v>
      </c>
      <c r="E129" s="470">
        <f t="shared" si="161"/>
        <v>12543681</v>
      </c>
      <c r="F129" s="470">
        <v>166400.85</v>
      </c>
      <c r="G129" s="474">
        <v>869094.48</v>
      </c>
      <c r="H129" s="476"/>
      <c r="I129" s="470">
        <f t="shared" si="162"/>
        <v>11508185.67</v>
      </c>
      <c r="J129" s="470">
        <v>200000</v>
      </c>
      <c r="K129" s="470">
        <v>0.2</v>
      </c>
      <c r="L129" s="470">
        <f t="shared" si="163"/>
        <v>2301637.134</v>
      </c>
      <c r="M129" s="470">
        <f t="shared" si="164"/>
        <v>2501637.134</v>
      </c>
      <c r="N129" s="470">
        <f t="shared" si="165"/>
        <v>3537132.464</v>
      </c>
      <c r="O129" s="470">
        <f t="shared" si="166"/>
        <v>9006548.536</v>
      </c>
      <c r="P129" s="470">
        <f t="shared" si="167"/>
        <v>21000</v>
      </c>
      <c r="Q129" s="470">
        <f t="shared" si="168"/>
        <v>33000</v>
      </c>
      <c r="R129" s="470">
        <f t="shared" si="169"/>
        <v>75000</v>
      </c>
      <c r="S129" s="470">
        <f t="shared" si="170"/>
        <v>95000</v>
      </c>
      <c r="T129" s="470">
        <f t="shared" si="171"/>
        <v>336000</v>
      </c>
      <c r="U129" s="470">
        <f t="shared" si="172"/>
        <v>1393571.64864</v>
      </c>
      <c r="V129" s="470">
        <f t="shared" si="173"/>
        <v>1953571.64864</v>
      </c>
      <c r="W129" s="471">
        <v>12</v>
      </c>
      <c r="X129" s="470">
        <f t="shared" si="174"/>
        <v>162797.637386667</v>
      </c>
      <c r="Y129" s="476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305</v>
      </c>
      <c r="C130" s="470">
        <v>780713.916666666</v>
      </c>
      <c r="D130" s="469">
        <v>12</v>
      </c>
      <c r="E130" s="470">
        <f t="shared" si="161"/>
        <v>9368566.99999999</v>
      </c>
      <c r="F130" s="470">
        <v>129894.325</v>
      </c>
      <c r="G130" s="474">
        <v>672685.36</v>
      </c>
      <c r="H130" s="476"/>
      <c r="I130" s="470">
        <f t="shared" si="162"/>
        <v>8565987.31499999</v>
      </c>
      <c r="J130" s="470">
        <v>200000</v>
      </c>
      <c r="K130" s="470">
        <v>0.2</v>
      </c>
      <c r="L130" s="470">
        <f t="shared" si="163"/>
        <v>1713197.463</v>
      </c>
      <c r="M130" s="470">
        <f t="shared" si="164"/>
        <v>1913197.463</v>
      </c>
      <c r="N130" s="470">
        <f t="shared" si="165"/>
        <v>2715777.148</v>
      </c>
      <c r="O130" s="470">
        <f t="shared" si="166"/>
        <v>6652789.85199999</v>
      </c>
      <c r="P130" s="470">
        <f t="shared" si="167"/>
        <v>21000</v>
      </c>
      <c r="Q130" s="470">
        <f t="shared" si="168"/>
        <v>33000</v>
      </c>
      <c r="R130" s="470">
        <f t="shared" si="169"/>
        <v>75000</v>
      </c>
      <c r="S130" s="470">
        <f t="shared" si="170"/>
        <v>95000</v>
      </c>
      <c r="T130" s="470">
        <f t="shared" si="171"/>
        <v>336000</v>
      </c>
      <c r="U130" s="470">
        <f t="shared" si="172"/>
        <v>828669.564479999</v>
      </c>
      <c r="V130" s="470">
        <f t="shared" si="173"/>
        <v>1388669.56448</v>
      </c>
      <c r="W130" s="471">
        <v>12</v>
      </c>
      <c r="X130" s="470">
        <f t="shared" si="174"/>
        <v>115722.463706667</v>
      </c>
      <c r="Y130" s="476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307</v>
      </c>
      <c r="C131" s="470">
        <v>780713.916666666</v>
      </c>
      <c r="D131" s="469">
        <v>12</v>
      </c>
      <c r="E131" s="470">
        <f t="shared" si="161"/>
        <v>9368566.99999999</v>
      </c>
      <c r="F131" s="470">
        <v>129894.325</v>
      </c>
      <c r="G131" s="474">
        <v>672685.36</v>
      </c>
      <c r="H131" s="476"/>
      <c r="I131" s="470">
        <f t="shared" si="162"/>
        <v>8565987.31499999</v>
      </c>
      <c r="J131" s="470">
        <v>200000</v>
      </c>
      <c r="K131" s="470">
        <v>0.2</v>
      </c>
      <c r="L131" s="470">
        <f t="shared" si="163"/>
        <v>1713197.463</v>
      </c>
      <c r="M131" s="470">
        <f t="shared" si="164"/>
        <v>1913197.463</v>
      </c>
      <c r="N131" s="470">
        <f t="shared" si="165"/>
        <v>2715777.148</v>
      </c>
      <c r="O131" s="470">
        <f t="shared" si="166"/>
        <v>6652789.85199999</v>
      </c>
      <c r="P131" s="470">
        <f t="shared" si="167"/>
        <v>21000</v>
      </c>
      <c r="Q131" s="470">
        <f t="shared" si="168"/>
        <v>33000</v>
      </c>
      <c r="R131" s="470">
        <f t="shared" si="169"/>
        <v>75000</v>
      </c>
      <c r="S131" s="470">
        <f t="shared" si="170"/>
        <v>95000</v>
      </c>
      <c r="T131" s="470">
        <f t="shared" si="171"/>
        <v>336000</v>
      </c>
      <c r="U131" s="470">
        <f t="shared" si="172"/>
        <v>828669.564479999</v>
      </c>
      <c r="V131" s="470">
        <f t="shared" si="173"/>
        <v>1388669.56448</v>
      </c>
      <c r="W131" s="471">
        <v>12</v>
      </c>
      <c r="X131" s="470">
        <f t="shared" si="174"/>
        <v>115722.463706667</v>
      </c>
      <c r="Y131" s="476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309</v>
      </c>
      <c r="C132" s="470">
        <v>780713.916666666</v>
      </c>
      <c r="D132" s="469">
        <v>12</v>
      </c>
      <c r="E132" s="470">
        <f t="shared" si="161"/>
        <v>9368566.99999999</v>
      </c>
      <c r="F132" s="470">
        <v>129894.325</v>
      </c>
      <c r="G132" s="474">
        <v>672685.36</v>
      </c>
      <c r="H132" s="476"/>
      <c r="I132" s="470">
        <f t="shared" si="162"/>
        <v>8565987.31499999</v>
      </c>
      <c r="J132" s="470">
        <v>200000</v>
      </c>
      <c r="K132" s="470">
        <v>0.2</v>
      </c>
      <c r="L132" s="470">
        <f t="shared" si="163"/>
        <v>1713197.463</v>
      </c>
      <c r="M132" s="470">
        <f t="shared" si="164"/>
        <v>1913197.463</v>
      </c>
      <c r="N132" s="470">
        <f t="shared" si="165"/>
        <v>2715777.148</v>
      </c>
      <c r="O132" s="470">
        <f t="shared" si="166"/>
        <v>6652789.85199999</v>
      </c>
      <c r="P132" s="470">
        <f t="shared" si="167"/>
        <v>21000</v>
      </c>
      <c r="Q132" s="470">
        <f t="shared" si="168"/>
        <v>33000</v>
      </c>
      <c r="R132" s="470">
        <f t="shared" si="169"/>
        <v>75000</v>
      </c>
      <c r="S132" s="470">
        <f t="shared" si="170"/>
        <v>95000</v>
      </c>
      <c r="T132" s="470">
        <f t="shared" si="171"/>
        <v>336000</v>
      </c>
      <c r="U132" s="470">
        <f t="shared" si="172"/>
        <v>828669.564479999</v>
      </c>
      <c r="V132" s="470">
        <f t="shared" si="173"/>
        <v>1388669.56448</v>
      </c>
      <c r="W132" s="471">
        <v>12</v>
      </c>
      <c r="X132" s="470">
        <f t="shared" si="174"/>
        <v>115722.463706667</v>
      </c>
      <c r="Y132" s="476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312</v>
      </c>
      <c r="C133" s="470">
        <v>567472.75</v>
      </c>
      <c r="D133" s="469">
        <v>12</v>
      </c>
      <c r="E133" s="470">
        <f t="shared" si="161"/>
        <v>6809673</v>
      </c>
      <c r="F133" s="470"/>
      <c r="G133" s="474">
        <v>477573.84</v>
      </c>
      <c r="H133" s="476"/>
      <c r="I133" s="470">
        <f t="shared" si="162"/>
        <v>6332099.16</v>
      </c>
      <c r="J133" s="470">
        <v>200000</v>
      </c>
      <c r="K133" s="470">
        <v>0.2</v>
      </c>
      <c r="L133" s="470">
        <f t="shared" si="163"/>
        <v>1266419.832</v>
      </c>
      <c r="M133" s="470">
        <f t="shared" si="164"/>
        <v>1466419.832</v>
      </c>
      <c r="N133" s="470">
        <f t="shared" si="165"/>
        <v>1943993.672</v>
      </c>
      <c r="O133" s="470">
        <f t="shared" si="166"/>
        <v>4865679.328</v>
      </c>
      <c r="P133" s="470">
        <f t="shared" si="167"/>
        <v>21000</v>
      </c>
      <c r="Q133" s="470">
        <f t="shared" si="168"/>
        <v>33000</v>
      </c>
      <c r="R133" s="470">
        <f t="shared" si="169"/>
        <v>75000</v>
      </c>
      <c r="S133" s="470">
        <f t="shared" si="170"/>
        <v>95000</v>
      </c>
      <c r="T133" s="470">
        <f t="shared" si="171"/>
        <v>336000</v>
      </c>
      <c r="U133" s="470">
        <f t="shared" si="172"/>
        <v>399763.03872</v>
      </c>
      <c r="V133" s="470">
        <f t="shared" si="173"/>
        <v>959763.03872</v>
      </c>
      <c r="W133" s="471">
        <v>12</v>
      </c>
      <c r="X133" s="470">
        <f t="shared" si="174"/>
        <v>79980.2532266667</v>
      </c>
      <c r="Y133" s="476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313</v>
      </c>
      <c r="C134" s="470">
        <v>602846.583333334</v>
      </c>
      <c r="D134" s="469">
        <v>12</v>
      </c>
      <c r="E134" s="470">
        <f t="shared" si="161"/>
        <v>7234159.00000001</v>
      </c>
      <c r="F134" s="470"/>
      <c r="G134" s="474">
        <v>463532.72</v>
      </c>
      <c r="H134" s="476"/>
      <c r="I134" s="470">
        <f t="shared" si="162"/>
        <v>6770626.28000001</v>
      </c>
      <c r="J134" s="470">
        <v>200000</v>
      </c>
      <c r="K134" s="470">
        <v>0.2</v>
      </c>
      <c r="L134" s="470">
        <f t="shared" si="163"/>
        <v>1354125.256</v>
      </c>
      <c r="M134" s="470">
        <f t="shared" si="164"/>
        <v>1554125.256</v>
      </c>
      <c r="N134" s="470">
        <f t="shared" si="165"/>
        <v>2017657.976</v>
      </c>
      <c r="O134" s="470">
        <f t="shared" si="166"/>
        <v>5216501.02400001</v>
      </c>
      <c r="P134" s="470">
        <f t="shared" si="167"/>
        <v>21000</v>
      </c>
      <c r="Q134" s="470">
        <f t="shared" si="168"/>
        <v>33000</v>
      </c>
      <c r="R134" s="470">
        <f t="shared" si="169"/>
        <v>75000</v>
      </c>
      <c r="S134" s="470">
        <f t="shared" si="170"/>
        <v>95000</v>
      </c>
      <c r="T134" s="470">
        <f t="shared" si="171"/>
        <v>336000</v>
      </c>
      <c r="U134" s="470">
        <f t="shared" si="172"/>
        <v>483960.245760001</v>
      </c>
      <c r="V134" s="470">
        <f t="shared" si="173"/>
        <v>1043960.24576</v>
      </c>
      <c r="W134" s="471">
        <v>12</v>
      </c>
      <c r="X134" s="470">
        <f t="shared" si="174"/>
        <v>86996.6871466668</v>
      </c>
      <c r="Y134" s="476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315</v>
      </c>
      <c r="C135" s="470">
        <v>542662.666666667</v>
      </c>
      <c r="D135" s="469">
        <v>12</v>
      </c>
      <c r="E135" s="470">
        <f t="shared" si="161"/>
        <v>6511952</v>
      </c>
      <c r="F135" s="470"/>
      <c r="G135" s="474">
        <v>463356.160000001</v>
      </c>
      <c r="H135" s="476"/>
      <c r="I135" s="470">
        <f t="shared" si="162"/>
        <v>6048595.84</v>
      </c>
      <c r="J135" s="470">
        <v>200000</v>
      </c>
      <c r="K135" s="470">
        <v>0.2</v>
      </c>
      <c r="L135" s="470">
        <f t="shared" si="163"/>
        <v>1209719.168</v>
      </c>
      <c r="M135" s="470">
        <f t="shared" si="164"/>
        <v>1409719.168</v>
      </c>
      <c r="N135" s="470">
        <f t="shared" si="165"/>
        <v>1873075.328</v>
      </c>
      <c r="O135" s="470">
        <f t="shared" si="166"/>
        <v>4638876.672</v>
      </c>
      <c r="P135" s="470">
        <f t="shared" si="167"/>
        <v>21000</v>
      </c>
      <c r="Q135" s="470">
        <f t="shared" si="168"/>
        <v>33000</v>
      </c>
      <c r="R135" s="470">
        <f t="shared" si="169"/>
        <v>75000</v>
      </c>
      <c r="S135" s="470">
        <f t="shared" si="170"/>
        <v>95000</v>
      </c>
      <c r="T135" s="470">
        <f t="shared" si="171"/>
        <v>336000</v>
      </c>
      <c r="U135" s="470">
        <f t="shared" si="172"/>
        <v>345330.401280001</v>
      </c>
      <c r="V135" s="470">
        <f t="shared" si="173"/>
        <v>905330.401280001</v>
      </c>
      <c r="W135" s="471">
        <v>12</v>
      </c>
      <c r="X135" s="470">
        <f t="shared" si="174"/>
        <v>75444.2001066667</v>
      </c>
      <c r="Y135" s="476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3"/>
      <c r="AD135" s="473"/>
      <c r="AE135" s="473"/>
    </row>
    <row r="136" ht="15.5" spans="1:31">
      <c r="A136" s="467">
        <v>120</v>
      </c>
      <c r="B136" s="651" t="s">
        <v>317</v>
      </c>
      <c r="C136" s="470">
        <v>528828.166666667</v>
      </c>
      <c r="D136" s="469">
        <v>12</v>
      </c>
      <c r="E136" s="470">
        <f t="shared" si="161"/>
        <v>6345938</v>
      </c>
      <c r="F136" s="470">
        <v>88398.8750000001</v>
      </c>
      <c r="G136" s="474">
        <v>450075.040000001</v>
      </c>
      <c r="H136" s="476"/>
      <c r="I136" s="470">
        <f t="shared" si="162"/>
        <v>5807464.085</v>
      </c>
      <c r="J136" s="470">
        <v>200000</v>
      </c>
      <c r="K136" s="470">
        <v>0.2</v>
      </c>
      <c r="L136" s="470">
        <f t="shared" si="163"/>
        <v>1161492.817</v>
      </c>
      <c r="M136" s="470">
        <f t="shared" si="164"/>
        <v>1361492.817</v>
      </c>
      <c r="N136" s="470">
        <f t="shared" si="165"/>
        <v>1899966.732</v>
      </c>
      <c r="O136" s="470">
        <f t="shared" si="166"/>
        <v>4445971.268</v>
      </c>
      <c r="P136" s="470">
        <f t="shared" si="167"/>
        <v>21000</v>
      </c>
      <c r="Q136" s="470">
        <f t="shared" si="168"/>
        <v>33000</v>
      </c>
      <c r="R136" s="470">
        <f t="shared" si="169"/>
        <v>75000</v>
      </c>
      <c r="S136" s="470">
        <f t="shared" si="170"/>
        <v>95000</v>
      </c>
      <c r="T136" s="470">
        <f t="shared" si="171"/>
        <v>336000</v>
      </c>
      <c r="U136" s="470">
        <f t="shared" si="172"/>
        <v>299033.10432</v>
      </c>
      <c r="V136" s="470">
        <f t="shared" si="173"/>
        <v>859033.10432</v>
      </c>
      <c r="W136" s="471">
        <v>12</v>
      </c>
      <c r="X136" s="470">
        <f t="shared" si="174"/>
        <v>71586.0920266667</v>
      </c>
      <c r="Y136" s="476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319</v>
      </c>
      <c r="C137" s="470">
        <v>514993.583333333</v>
      </c>
      <c r="D137" s="469">
        <v>12</v>
      </c>
      <c r="E137" s="470">
        <f t="shared" si="161"/>
        <v>6179923</v>
      </c>
      <c r="F137" s="470"/>
      <c r="G137" s="474">
        <v>436793.839999999</v>
      </c>
      <c r="H137" s="476"/>
      <c r="I137" s="470">
        <f t="shared" si="162"/>
        <v>5743129.16</v>
      </c>
      <c r="J137" s="470">
        <v>200000</v>
      </c>
      <c r="K137" s="470">
        <v>0.2</v>
      </c>
      <c r="L137" s="470">
        <f t="shared" si="163"/>
        <v>1148625.832</v>
      </c>
      <c r="M137" s="470">
        <f t="shared" si="164"/>
        <v>1348625.832</v>
      </c>
      <c r="N137" s="470">
        <f t="shared" si="165"/>
        <v>1785419.672</v>
      </c>
      <c r="O137" s="470">
        <f t="shared" si="166"/>
        <v>4394503.328</v>
      </c>
      <c r="P137" s="470">
        <f t="shared" si="167"/>
        <v>21000</v>
      </c>
      <c r="Q137" s="470">
        <f t="shared" si="168"/>
        <v>33000</v>
      </c>
      <c r="R137" s="470">
        <f t="shared" si="169"/>
        <v>75000</v>
      </c>
      <c r="S137" s="470">
        <f t="shared" si="170"/>
        <v>95000</v>
      </c>
      <c r="T137" s="470">
        <f t="shared" si="171"/>
        <v>336000</v>
      </c>
      <c r="U137" s="470">
        <f t="shared" si="172"/>
        <v>286680.798719999</v>
      </c>
      <c r="V137" s="470">
        <f t="shared" si="173"/>
        <v>846680.798719999</v>
      </c>
      <c r="W137" s="471">
        <v>12</v>
      </c>
      <c r="X137" s="470">
        <f t="shared" si="174"/>
        <v>70556.7332266666</v>
      </c>
      <c r="Y137" s="476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321</v>
      </c>
      <c r="C138" s="470">
        <v>501159</v>
      </c>
      <c r="D138" s="469">
        <v>12</v>
      </c>
      <c r="E138" s="470">
        <f t="shared" si="161"/>
        <v>6013908</v>
      </c>
      <c r="F138" s="470"/>
      <c r="G138" s="474">
        <v>423512.64</v>
      </c>
      <c r="H138" s="476"/>
      <c r="I138" s="470">
        <f t="shared" si="162"/>
        <v>5590395.36</v>
      </c>
      <c r="J138" s="470">
        <v>200000</v>
      </c>
      <c r="K138" s="470">
        <v>0.2</v>
      </c>
      <c r="L138" s="470">
        <f t="shared" si="163"/>
        <v>1118079.072</v>
      </c>
      <c r="M138" s="470">
        <f t="shared" si="164"/>
        <v>1318079.072</v>
      </c>
      <c r="N138" s="470">
        <f t="shared" si="165"/>
        <v>1741591.712</v>
      </c>
      <c r="O138" s="470">
        <f t="shared" si="166"/>
        <v>4272316.288</v>
      </c>
      <c r="P138" s="470">
        <f t="shared" si="167"/>
        <v>21000</v>
      </c>
      <c r="Q138" s="470">
        <f t="shared" si="168"/>
        <v>33000</v>
      </c>
      <c r="R138" s="470">
        <f t="shared" si="169"/>
        <v>75000</v>
      </c>
      <c r="S138" s="470">
        <f t="shared" si="170"/>
        <v>95000</v>
      </c>
      <c r="T138" s="470">
        <f t="shared" si="171"/>
        <v>336000</v>
      </c>
      <c r="U138" s="470">
        <f t="shared" si="172"/>
        <v>257355.90912</v>
      </c>
      <c r="V138" s="470">
        <f t="shared" si="173"/>
        <v>817355.90912</v>
      </c>
      <c r="W138" s="471">
        <v>12</v>
      </c>
      <c r="X138" s="470">
        <f t="shared" si="174"/>
        <v>68112.9924266667</v>
      </c>
      <c r="Y138" s="476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322</v>
      </c>
      <c r="C139" s="470">
        <v>501159</v>
      </c>
      <c r="D139" s="469">
        <v>12</v>
      </c>
      <c r="E139" s="470">
        <f t="shared" si="161"/>
        <v>6013908</v>
      </c>
      <c r="F139" s="470">
        <v>83469.375</v>
      </c>
      <c r="G139" s="474">
        <v>423512.64</v>
      </c>
      <c r="H139" s="476"/>
      <c r="I139" s="470">
        <f t="shared" si="162"/>
        <v>5506925.985</v>
      </c>
      <c r="J139" s="470">
        <v>200000</v>
      </c>
      <c r="K139" s="470">
        <v>0.2</v>
      </c>
      <c r="L139" s="470">
        <f t="shared" si="163"/>
        <v>1101385.197</v>
      </c>
      <c r="M139" s="470">
        <f t="shared" si="164"/>
        <v>1301385.197</v>
      </c>
      <c r="N139" s="470">
        <f t="shared" si="165"/>
        <v>1808367.212</v>
      </c>
      <c r="O139" s="470">
        <f t="shared" si="166"/>
        <v>4205540.788</v>
      </c>
      <c r="P139" s="470">
        <f t="shared" si="167"/>
        <v>21000</v>
      </c>
      <c r="Q139" s="470">
        <f t="shared" si="168"/>
        <v>33000</v>
      </c>
      <c r="R139" s="470">
        <f t="shared" si="169"/>
        <v>75000</v>
      </c>
      <c r="S139" s="470">
        <f t="shared" si="170"/>
        <v>95000</v>
      </c>
      <c r="T139" s="470">
        <f t="shared" si="171"/>
        <v>336000</v>
      </c>
      <c r="U139" s="470">
        <f t="shared" si="172"/>
        <v>241329.78912</v>
      </c>
      <c r="V139" s="470">
        <f t="shared" si="173"/>
        <v>801329.78912</v>
      </c>
      <c r="W139" s="471">
        <v>12</v>
      </c>
      <c r="X139" s="470">
        <f t="shared" si="174"/>
        <v>66777.4824266667</v>
      </c>
      <c r="Y139" s="476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324</v>
      </c>
      <c r="C140" s="470">
        <v>514993.583333333</v>
      </c>
      <c r="D140" s="469">
        <v>12</v>
      </c>
      <c r="E140" s="470">
        <f t="shared" si="161"/>
        <v>6179923</v>
      </c>
      <c r="F140" s="470"/>
      <c r="G140" s="474">
        <v>436793.839999999</v>
      </c>
      <c r="H140" s="476"/>
      <c r="I140" s="470">
        <f t="shared" si="162"/>
        <v>5743129.16</v>
      </c>
      <c r="J140" s="470">
        <v>200000</v>
      </c>
      <c r="K140" s="470">
        <v>0.2</v>
      </c>
      <c r="L140" s="470">
        <f t="shared" si="163"/>
        <v>1148625.832</v>
      </c>
      <c r="M140" s="470">
        <f t="shared" si="164"/>
        <v>1348625.832</v>
      </c>
      <c r="N140" s="470">
        <f t="shared" si="165"/>
        <v>1785419.672</v>
      </c>
      <c r="O140" s="470">
        <f t="shared" si="166"/>
        <v>4394503.328</v>
      </c>
      <c r="P140" s="470">
        <f t="shared" si="167"/>
        <v>21000</v>
      </c>
      <c r="Q140" s="470">
        <f t="shared" si="168"/>
        <v>33000</v>
      </c>
      <c r="R140" s="470">
        <f t="shared" si="169"/>
        <v>75000</v>
      </c>
      <c r="S140" s="470">
        <f t="shared" si="170"/>
        <v>95000</v>
      </c>
      <c r="T140" s="470">
        <f t="shared" si="171"/>
        <v>336000</v>
      </c>
      <c r="U140" s="470">
        <f t="shared" si="172"/>
        <v>286680.798719999</v>
      </c>
      <c r="V140" s="470">
        <f t="shared" si="173"/>
        <v>846680.798719999</v>
      </c>
      <c r="W140" s="471">
        <v>12</v>
      </c>
      <c r="X140" s="470">
        <f t="shared" si="174"/>
        <v>70556.7332266666</v>
      </c>
      <c r="Y140" s="476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325</v>
      </c>
      <c r="C141" s="470">
        <v>450135.833333334</v>
      </c>
      <c r="D141" s="469">
        <v>12</v>
      </c>
      <c r="E141" s="470">
        <f t="shared" si="161"/>
        <v>5401630.00000001</v>
      </c>
      <c r="F141" s="470"/>
      <c r="G141" s="474">
        <v>374530.4</v>
      </c>
      <c r="H141" s="476"/>
      <c r="I141" s="470">
        <f t="shared" si="162"/>
        <v>5027099.60000001</v>
      </c>
      <c r="J141" s="470">
        <v>200000</v>
      </c>
      <c r="K141" s="470">
        <v>0.2</v>
      </c>
      <c r="L141" s="470">
        <f t="shared" si="163"/>
        <v>1005419.92</v>
      </c>
      <c r="M141" s="470">
        <f t="shared" si="164"/>
        <v>1205419.92</v>
      </c>
      <c r="N141" s="470">
        <f t="shared" si="165"/>
        <v>1579950.32</v>
      </c>
      <c r="O141" s="470">
        <f t="shared" si="166"/>
        <v>3821679.68000001</v>
      </c>
      <c r="P141" s="470">
        <f t="shared" si="167"/>
        <v>21000</v>
      </c>
      <c r="Q141" s="470">
        <f t="shared" si="168"/>
        <v>33000</v>
      </c>
      <c r="R141" s="470">
        <f t="shared" si="169"/>
        <v>75000</v>
      </c>
      <c r="S141" s="470">
        <f t="shared" si="170"/>
        <v>95000</v>
      </c>
      <c r="T141" s="470">
        <f t="shared" si="171"/>
        <v>336000</v>
      </c>
      <c r="U141" s="470">
        <f t="shared" si="172"/>
        <v>149203.123200002</v>
      </c>
      <c r="V141" s="470">
        <f t="shared" si="173"/>
        <v>709203.123200002</v>
      </c>
      <c r="W141" s="471">
        <v>12</v>
      </c>
      <c r="X141" s="470">
        <f t="shared" si="174"/>
        <v>59100.2602666668</v>
      </c>
      <c r="Y141" s="476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327</v>
      </c>
      <c r="C142" s="470">
        <v>407016.166666666</v>
      </c>
      <c r="D142" s="469">
        <v>12</v>
      </c>
      <c r="E142" s="470">
        <f t="shared" si="161"/>
        <v>4884193.99999999</v>
      </c>
      <c r="F142" s="470"/>
      <c r="G142" s="474">
        <v>333135.52</v>
      </c>
      <c r="H142" s="476"/>
      <c r="I142" s="470">
        <f t="shared" si="162"/>
        <v>4551058.47999999</v>
      </c>
      <c r="J142" s="470">
        <v>200000</v>
      </c>
      <c r="K142" s="470">
        <v>0.2</v>
      </c>
      <c r="L142" s="470">
        <f t="shared" si="163"/>
        <v>910211.695999998</v>
      </c>
      <c r="M142" s="470">
        <f t="shared" si="164"/>
        <v>1110211.696</v>
      </c>
      <c r="N142" s="470">
        <f t="shared" si="165"/>
        <v>1443347.216</v>
      </c>
      <c r="O142" s="470">
        <f t="shared" si="166"/>
        <v>3440846.78399999</v>
      </c>
      <c r="P142" s="470">
        <f t="shared" si="167"/>
        <v>21000</v>
      </c>
      <c r="Q142" s="470">
        <f t="shared" si="168"/>
        <v>33000</v>
      </c>
      <c r="R142" s="470">
        <f t="shared" si="169"/>
        <v>75000</v>
      </c>
      <c r="S142" s="470">
        <f t="shared" si="170"/>
        <v>95000</v>
      </c>
      <c r="T142" s="470">
        <f t="shared" si="171"/>
        <v>336000</v>
      </c>
      <c r="U142" s="470">
        <f t="shared" si="172"/>
        <v>57803.2281599984</v>
      </c>
      <c r="V142" s="470">
        <f t="shared" si="173"/>
        <v>617803.228159998</v>
      </c>
      <c r="W142" s="471">
        <v>12</v>
      </c>
      <c r="X142" s="470">
        <f t="shared" si="174"/>
        <v>51483.6023466665</v>
      </c>
      <c r="Y142" s="476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3"/>
      <c r="AD142" s="473"/>
      <c r="AE142" s="473"/>
    </row>
    <row r="143" ht="15.5" spans="1:31">
      <c r="A143" s="467">
        <v>127</v>
      </c>
      <c r="B143" s="651" t="s">
        <v>329</v>
      </c>
      <c r="C143" s="470">
        <v>516564.75</v>
      </c>
      <c r="D143" s="469">
        <v>12</v>
      </c>
      <c r="E143" s="470">
        <f t="shared" si="161"/>
        <v>6198777</v>
      </c>
      <c r="F143" s="470"/>
      <c r="G143" s="474">
        <v>438302.16</v>
      </c>
      <c r="H143" s="476"/>
      <c r="I143" s="470">
        <f t="shared" si="162"/>
        <v>5760474.84</v>
      </c>
      <c r="J143" s="470">
        <v>200000</v>
      </c>
      <c r="K143" s="470">
        <v>0.2</v>
      </c>
      <c r="L143" s="470">
        <f t="shared" si="163"/>
        <v>1152094.968</v>
      </c>
      <c r="M143" s="470">
        <f t="shared" si="164"/>
        <v>1352094.968</v>
      </c>
      <c r="N143" s="470">
        <f t="shared" si="165"/>
        <v>1790397.128</v>
      </c>
      <c r="O143" s="470">
        <f t="shared" si="166"/>
        <v>4408379.872</v>
      </c>
      <c r="P143" s="470">
        <f t="shared" si="167"/>
        <v>21000</v>
      </c>
      <c r="Q143" s="470">
        <f t="shared" si="168"/>
        <v>33000</v>
      </c>
      <c r="R143" s="470">
        <f t="shared" si="169"/>
        <v>75000</v>
      </c>
      <c r="S143" s="470">
        <f t="shared" si="170"/>
        <v>95000</v>
      </c>
      <c r="T143" s="470">
        <f t="shared" si="171"/>
        <v>336000</v>
      </c>
      <c r="U143" s="470">
        <f t="shared" si="172"/>
        <v>290011.16928</v>
      </c>
      <c r="V143" s="470">
        <f t="shared" si="173"/>
        <v>850011.16928</v>
      </c>
      <c r="W143" s="471">
        <v>12</v>
      </c>
      <c r="X143" s="470">
        <f t="shared" si="174"/>
        <v>70834.2641066667</v>
      </c>
      <c r="Y143" s="476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3"/>
      <c r="AD143" s="473"/>
      <c r="AE143" s="473"/>
    </row>
    <row r="144" ht="15.5" spans="1:31">
      <c r="A144" s="467">
        <v>128</v>
      </c>
      <c r="B144" s="651" t="s">
        <v>331</v>
      </c>
      <c r="C144" s="470">
        <v>415320.666666667</v>
      </c>
      <c r="D144" s="469">
        <v>12</v>
      </c>
      <c r="E144" s="470">
        <f t="shared" si="161"/>
        <v>4983848</v>
      </c>
      <c r="F144" s="470"/>
      <c r="G144" s="474">
        <v>341107.840000001</v>
      </c>
      <c r="H144" s="476"/>
      <c r="I144" s="470">
        <f t="shared" si="162"/>
        <v>4642740.16</v>
      </c>
      <c r="J144" s="470">
        <v>200000</v>
      </c>
      <c r="K144" s="470">
        <v>0.2</v>
      </c>
      <c r="L144" s="470">
        <f t="shared" si="163"/>
        <v>928548.032000001</v>
      </c>
      <c r="M144" s="470">
        <f t="shared" si="164"/>
        <v>1128548.032</v>
      </c>
      <c r="N144" s="470">
        <f t="shared" si="165"/>
        <v>1469655.872</v>
      </c>
      <c r="O144" s="470">
        <f t="shared" si="166"/>
        <v>3514192.128</v>
      </c>
      <c r="P144" s="470">
        <f t="shared" si="167"/>
        <v>21000</v>
      </c>
      <c r="Q144" s="470">
        <f t="shared" si="168"/>
        <v>33000</v>
      </c>
      <c r="R144" s="470">
        <f t="shared" si="169"/>
        <v>75000</v>
      </c>
      <c r="S144" s="470">
        <f t="shared" si="170"/>
        <v>95000</v>
      </c>
      <c r="T144" s="470">
        <f t="shared" si="171"/>
        <v>336000</v>
      </c>
      <c r="U144" s="470">
        <f t="shared" si="172"/>
        <v>75406.1107200006</v>
      </c>
      <c r="V144" s="470">
        <f t="shared" si="173"/>
        <v>635406.110720001</v>
      </c>
      <c r="W144" s="471">
        <v>12</v>
      </c>
      <c r="X144" s="470">
        <f t="shared" si="174"/>
        <v>52950.5092266667</v>
      </c>
      <c r="Y144" s="476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3"/>
      <c r="AD144" s="473"/>
      <c r="AE144" s="473"/>
    </row>
    <row r="145" ht="15.5" spans="1:31">
      <c r="A145" s="467">
        <v>129</v>
      </c>
      <c r="B145" s="651" t="s">
        <v>333</v>
      </c>
      <c r="C145" s="470">
        <v>516564.75</v>
      </c>
      <c r="D145" s="469">
        <v>12</v>
      </c>
      <c r="E145" s="470">
        <f t="shared" si="161"/>
        <v>6198777</v>
      </c>
      <c r="F145" s="470">
        <v>92670.45</v>
      </c>
      <c r="G145" s="474">
        <v>438302.16</v>
      </c>
      <c r="H145" s="476"/>
      <c r="I145" s="470">
        <f t="shared" si="162"/>
        <v>5667804.39</v>
      </c>
      <c r="J145" s="470">
        <v>200000</v>
      </c>
      <c r="K145" s="470">
        <v>0.2</v>
      </c>
      <c r="L145" s="470">
        <f t="shared" si="163"/>
        <v>1133560.878</v>
      </c>
      <c r="M145" s="470">
        <f t="shared" si="164"/>
        <v>1333560.878</v>
      </c>
      <c r="N145" s="470">
        <f t="shared" si="165"/>
        <v>1864533.488</v>
      </c>
      <c r="O145" s="470">
        <f t="shared" si="166"/>
        <v>4334243.512</v>
      </c>
      <c r="P145" s="470">
        <f t="shared" si="167"/>
        <v>21000</v>
      </c>
      <c r="Q145" s="470">
        <f t="shared" si="168"/>
        <v>33000</v>
      </c>
      <c r="R145" s="470">
        <f t="shared" si="169"/>
        <v>75000</v>
      </c>
      <c r="S145" s="470">
        <f t="shared" si="170"/>
        <v>95000</v>
      </c>
      <c r="T145" s="470">
        <f t="shared" si="171"/>
        <v>336000</v>
      </c>
      <c r="U145" s="470">
        <f t="shared" si="172"/>
        <v>272218.44288</v>
      </c>
      <c r="V145" s="470">
        <f t="shared" si="173"/>
        <v>832218.44288</v>
      </c>
      <c r="W145" s="471">
        <v>12</v>
      </c>
      <c r="X145" s="470">
        <f t="shared" si="174"/>
        <v>69351.5369066667</v>
      </c>
      <c r="Y145" s="476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3"/>
      <c r="AD145" s="473"/>
      <c r="AE145" s="473"/>
    </row>
    <row r="146" ht="15.5" spans="1:31">
      <c r="A146" s="467">
        <v>130</v>
      </c>
      <c r="B146" s="651" t="s">
        <v>334</v>
      </c>
      <c r="C146" s="470">
        <v>415320.666666667</v>
      </c>
      <c r="D146" s="469">
        <v>12</v>
      </c>
      <c r="E146" s="470">
        <f t="shared" si="161"/>
        <v>4983848</v>
      </c>
      <c r="F146" s="470"/>
      <c r="G146" s="474">
        <v>341107.840000001</v>
      </c>
      <c r="H146" s="476"/>
      <c r="I146" s="470">
        <f t="shared" si="162"/>
        <v>4642740.16</v>
      </c>
      <c r="J146" s="470">
        <v>200000</v>
      </c>
      <c r="K146" s="470">
        <v>0.2</v>
      </c>
      <c r="L146" s="470">
        <f t="shared" si="163"/>
        <v>928548.032000001</v>
      </c>
      <c r="M146" s="470">
        <f t="shared" si="164"/>
        <v>1128548.032</v>
      </c>
      <c r="N146" s="470">
        <f t="shared" si="165"/>
        <v>1469655.872</v>
      </c>
      <c r="O146" s="470">
        <f t="shared" si="166"/>
        <v>3514192.128</v>
      </c>
      <c r="P146" s="470">
        <f t="shared" si="167"/>
        <v>21000</v>
      </c>
      <c r="Q146" s="470">
        <f t="shared" si="168"/>
        <v>33000</v>
      </c>
      <c r="R146" s="470">
        <f t="shared" si="169"/>
        <v>75000</v>
      </c>
      <c r="S146" s="470">
        <f t="shared" si="170"/>
        <v>95000</v>
      </c>
      <c r="T146" s="470">
        <f t="shared" si="171"/>
        <v>336000</v>
      </c>
      <c r="U146" s="470">
        <f t="shared" si="172"/>
        <v>75406.1107200006</v>
      </c>
      <c r="V146" s="470">
        <f t="shared" si="173"/>
        <v>635406.110720001</v>
      </c>
      <c r="W146" s="471">
        <v>12</v>
      </c>
      <c r="X146" s="470">
        <f t="shared" si="174"/>
        <v>52950.5092266667</v>
      </c>
      <c r="Y146" s="476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3"/>
      <c r="AD146" s="473"/>
      <c r="AE146" s="473"/>
    </row>
    <row r="147" ht="15.5" spans="1:31">
      <c r="A147" s="467">
        <v>131</v>
      </c>
      <c r="B147" s="351" t="s">
        <v>336</v>
      </c>
      <c r="C147" s="470">
        <v>398711.666666667</v>
      </c>
      <c r="D147" s="469">
        <v>12</v>
      </c>
      <c r="E147" s="470">
        <f t="shared" si="161"/>
        <v>4784540</v>
      </c>
      <c r="F147" s="470"/>
      <c r="G147" s="474">
        <v>325163.200000001</v>
      </c>
      <c r="H147" s="476"/>
      <c r="I147" s="470">
        <f t="shared" si="162"/>
        <v>4459376.8</v>
      </c>
      <c r="J147" s="470">
        <v>200000</v>
      </c>
      <c r="K147" s="470">
        <v>0.2</v>
      </c>
      <c r="L147" s="470">
        <f t="shared" si="163"/>
        <v>891875.360000001</v>
      </c>
      <c r="M147" s="470">
        <f t="shared" si="164"/>
        <v>1091875.36</v>
      </c>
      <c r="N147" s="470">
        <f t="shared" si="165"/>
        <v>1417038.56</v>
      </c>
      <c r="O147" s="470">
        <f t="shared" si="166"/>
        <v>3367501.44</v>
      </c>
      <c r="P147" s="470">
        <f t="shared" si="167"/>
        <v>21000</v>
      </c>
      <c r="Q147" s="470">
        <f t="shared" si="168"/>
        <v>33000</v>
      </c>
      <c r="R147" s="470">
        <f t="shared" si="169"/>
        <v>75000</v>
      </c>
      <c r="S147" s="470">
        <f t="shared" si="170"/>
        <v>95000</v>
      </c>
      <c r="T147" s="470">
        <f t="shared" si="171"/>
        <v>336000</v>
      </c>
      <c r="U147" s="470">
        <f t="shared" si="172"/>
        <v>40200.3456000005</v>
      </c>
      <c r="V147" s="470">
        <f t="shared" si="173"/>
        <v>600200.345600001</v>
      </c>
      <c r="W147" s="471">
        <v>12</v>
      </c>
      <c r="X147" s="470">
        <f t="shared" si="174"/>
        <v>50016.6954666667</v>
      </c>
      <c r="Y147" s="476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338</v>
      </c>
      <c r="C148" s="470">
        <v>398711.666666667</v>
      </c>
      <c r="D148" s="469">
        <v>12</v>
      </c>
      <c r="E148" s="470">
        <f t="shared" si="161"/>
        <v>4784540</v>
      </c>
      <c r="F148" s="470"/>
      <c r="G148" s="474">
        <v>325163.200000001</v>
      </c>
      <c r="H148" s="476"/>
      <c r="I148" s="470">
        <f t="shared" si="162"/>
        <v>4459376.8</v>
      </c>
      <c r="J148" s="470">
        <v>200000</v>
      </c>
      <c r="K148" s="470">
        <v>0.2</v>
      </c>
      <c r="L148" s="470">
        <f t="shared" si="163"/>
        <v>891875.360000001</v>
      </c>
      <c r="M148" s="470">
        <f t="shared" si="164"/>
        <v>1091875.36</v>
      </c>
      <c r="N148" s="470">
        <f t="shared" si="165"/>
        <v>1417038.56</v>
      </c>
      <c r="O148" s="470">
        <f t="shared" si="166"/>
        <v>3367501.44</v>
      </c>
      <c r="P148" s="470">
        <f t="shared" si="167"/>
        <v>21000</v>
      </c>
      <c r="Q148" s="470">
        <f t="shared" si="168"/>
        <v>33000</v>
      </c>
      <c r="R148" s="470">
        <f t="shared" si="169"/>
        <v>75000</v>
      </c>
      <c r="S148" s="470">
        <f t="shared" si="170"/>
        <v>95000</v>
      </c>
      <c r="T148" s="470">
        <f t="shared" si="171"/>
        <v>336000</v>
      </c>
      <c r="U148" s="470">
        <f t="shared" si="172"/>
        <v>40200.3456000005</v>
      </c>
      <c r="V148" s="470">
        <f t="shared" si="173"/>
        <v>600200.345600001</v>
      </c>
      <c r="W148" s="471">
        <v>12</v>
      </c>
      <c r="X148" s="470">
        <f t="shared" si="174"/>
        <v>50016.6954666667</v>
      </c>
      <c r="Y148" s="476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343</v>
      </c>
      <c r="C149" s="470">
        <v>351910.75</v>
      </c>
      <c r="D149" s="469">
        <v>12</v>
      </c>
      <c r="E149" s="470">
        <f t="shared" si="161"/>
        <v>4222929</v>
      </c>
      <c r="F149" s="470"/>
      <c r="G149" s="474">
        <v>289834.32</v>
      </c>
      <c r="H149" s="476"/>
      <c r="I149" s="470">
        <f t="shared" si="162"/>
        <v>3933094.68</v>
      </c>
      <c r="J149" s="470">
        <v>200000</v>
      </c>
      <c r="K149" s="470">
        <v>0.2</v>
      </c>
      <c r="L149" s="470">
        <f t="shared" si="163"/>
        <v>786618.936</v>
      </c>
      <c r="M149" s="470">
        <f t="shared" si="164"/>
        <v>986618.936</v>
      </c>
      <c r="N149" s="470">
        <f t="shared" si="165"/>
        <v>1276453.256</v>
      </c>
      <c r="O149" s="470">
        <f t="shared" si="166"/>
        <v>2946475.744</v>
      </c>
      <c r="P149" s="470">
        <f t="shared" si="167"/>
        <v>21000</v>
      </c>
      <c r="Q149" s="470">
        <f t="shared" si="168"/>
        <v>33000</v>
      </c>
      <c r="R149" s="470">
        <f t="shared" si="169"/>
        <v>75000</v>
      </c>
      <c r="S149" s="470">
        <f t="shared" si="170"/>
        <v>95000</v>
      </c>
      <c r="T149" s="470">
        <f t="shared" si="171"/>
        <v>282759.90624</v>
      </c>
      <c r="U149" s="470"/>
      <c r="V149" s="470">
        <f t="shared" si="173"/>
        <v>506759.90624</v>
      </c>
      <c r="W149" s="471">
        <v>12</v>
      </c>
      <c r="X149" s="470">
        <f t="shared" si="174"/>
        <v>42229.9921866667</v>
      </c>
      <c r="Y149" s="476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345</v>
      </c>
      <c r="C150" s="470">
        <v>351910.75</v>
      </c>
      <c r="D150" s="469">
        <v>12</v>
      </c>
      <c r="E150" s="470">
        <f t="shared" si="161"/>
        <v>4222929</v>
      </c>
      <c r="F150" s="470"/>
      <c r="G150" s="474">
        <v>289834.32</v>
      </c>
      <c r="H150" s="476"/>
      <c r="I150" s="470">
        <f t="shared" si="162"/>
        <v>3933094.68</v>
      </c>
      <c r="J150" s="470">
        <v>200000</v>
      </c>
      <c r="K150" s="470">
        <v>0.2</v>
      </c>
      <c r="L150" s="470">
        <f t="shared" si="163"/>
        <v>786618.936</v>
      </c>
      <c r="M150" s="470">
        <f t="shared" si="164"/>
        <v>986618.936</v>
      </c>
      <c r="N150" s="470">
        <f t="shared" si="165"/>
        <v>1276453.256</v>
      </c>
      <c r="O150" s="470">
        <f t="shared" si="166"/>
        <v>2946475.744</v>
      </c>
      <c r="P150" s="470">
        <f t="shared" si="167"/>
        <v>21000</v>
      </c>
      <c r="Q150" s="470">
        <f t="shared" si="168"/>
        <v>33000</v>
      </c>
      <c r="R150" s="470">
        <f t="shared" si="169"/>
        <v>75000</v>
      </c>
      <c r="S150" s="470">
        <f t="shared" si="170"/>
        <v>95000</v>
      </c>
      <c r="T150" s="470">
        <f t="shared" si="171"/>
        <v>282759.90624</v>
      </c>
      <c r="U150" s="470"/>
      <c r="V150" s="470">
        <f t="shared" si="173"/>
        <v>506759.90624</v>
      </c>
      <c r="W150" s="471">
        <v>12</v>
      </c>
      <c r="X150" s="470">
        <f t="shared" si="174"/>
        <v>42229.9921866667</v>
      </c>
      <c r="Y150" s="476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347</v>
      </c>
      <c r="C151" s="470">
        <v>351910.75</v>
      </c>
      <c r="D151" s="469">
        <v>12</v>
      </c>
      <c r="E151" s="470">
        <f t="shared" si="161"/>
        <v>4222929</v>
      </c>
      <c r="F151" s="470"/>
      <c r="G151" s="474">
        <v>289834.32</v>
      </c>
      <c r="H151" s="476"/>
      <c r="I151" s="470">
        <f t="shared" si="162"/>
        <v>3933094.68</v>
      </c>
      <c r="J151" s="470">
        <v>200000</v>
      </c>
      <c r="K151" s="470">
        <v>0.2</v>
      </c>
      <c r="L151" s="470">
        <f t="shared" si="163"/>
        <v>786618.936</v>
      </c>
      <c r="M151" s="470">
        <f t="shared" si="164"/>
        <v>986618.936</v>
      </c>
      <c r="N151" s="470">
        <f t="shared" si="165"/>
        <v>1276453.256</v>
      </c>
      <c r="O151" s="470">
        <f t="shared" si="166"/>
        <v>2946475.744</v>
      </c>
      <c r="P151" s="470">
        <f t="shared" si="167"/>
        <v>21000</v>
      </c>
      <c r="Q151" s="470">
        <f t="shared" si="168"/>
        <v>33000</v>
      </c>
      <c r="R151" s="470">
        <f t="shared" si="169"/>
        <v>75000</v>
      </c>
      <c r="S151" s="470">
        <f t="shared" si="170"/>
        <v>95000</v>
      </c>
      <c r="T151" s="470">
        <f t="shared" si="171"/>
        <v>282759.90624</v>
      </c>
      <c r="U151" s="470"/>
      <c r="V151" s="470">
        <f t="shared" si="173"/>
        <v>506759.90624</v>
      </c>
      <c r="W151" s="471">
        <v>12</v>
      </c>
      <c r="X151" s="470">
        <f t="shared" si="174"/>
        <v>42229.9921866667</v>
      </c>
      <c r="Y151" s="476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349</v>
      </c>
      <c r="C152" s="470">
        <v>358920.666666667</v>
      </c>
      <c r="D152" s="469">
        <v>12</v>
      </c>
      <c r="E152" s="470">
        <f t="shared" si="161"/>
        <v>4307048</v>
      </c>
      <c r="F152" s="470"/>
      <c r="G152" s="474">
        <v>296563.840000001</v>
      </c>
      <c r="H152" s="476"/>
      <c r="I152" s="470">
        <f t="shared" si="162"/>
        <v>4010484.16</v>
      </c>
      <c r="J152" s="470">
        <v>200000</v>
      </c>
      <c r="K152" s="470">
        <v>0.2</v>
      </c>
      <c r="L152" s="470">
        <f t="shared" si="163"/>
        <v>802096.832000001</v>
      </c>
      <c r="M152" s="470">
        <f t="shared" si="164"/>
        <v>1002096.832</v>
      </c>
      <c r="N152" s="470">
        <f t="shared" si="165"/>
        <v>1298660.672</v>
      </c>
      <c r="O152" s="470">
        <f t="shared" si="166"/>
        <v>3008387.328</v>
      </c>
      <c r="P152" s="470">
        <f t="shared" si="167"/>
        <v>21000</v>
      </c>
      <c r="Q152" s="470">
        <f t="shared" si="168"/>
        <v>33000</v>
      </c>
      <c r="R152" s="470">
        <f t="shared" si="169"/>
        <v>75000</v>
      </c>
      <c r="S152" s="470">
        <f t="shared" si="170"/>
        <v>95000</v>
      </c>
      <c r="T152" s="470">
        <f t="shared" si="171"/>
        <v>295761.33888</v>
      </c>
      <c r="U152" s="470"/>
      <c r="V152" s="470">
        <f t="shared" si="173"/>
        <v>519761.33888</v>
      </c>
      <c r="W152" s="471">
        <v>12</v>
      </c>
      <c r="X152" s="470">
        <f t="shared" si="174"/>
        <v>43313.4449066667</v>
      </c>
      <c r="Y152" s="476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350</v>
      </c>
      <c r="C153" s="470">
        <v>351910.75</v>
      </c>
      <c r="D153" s="469">
        <v>12</v>
      </c>
      <c r="E153" s="470">
        <f t="shared" si="161"/>
        <v>4222929</v>
      </c>
      <c r="F153" s="470"/>
      <c r="G153" s="474">
        <v>289834.32</v>
      </c>
      <c r="H153" s="476"/>
      <c r="I153" s="470">
        <f t="shared" si="162"/>
        <v>3933094.68</v>
      </c>
      <c r="J153" s="470">
        <v>200000</v>
      </c>
      <c r="K153" s="470">
        <v>0.2</v>
      </c>
      <c r="L153" s="470">
        <f t="shared" si="163"/>
        <v>786618.936</v>
      </c>
      <c r="M153" s="470">
        <f t="shared" si="164"/>
        <v>986618.936</v>
      </c>
      <c r="N153" s="470">
        <f t="shared" si="165"/>
        <v>1276453.256</v>
      </c>
      <c r="O153" s="470">
        <f t="shared" si="166"/>
        <v>2946475.744</v>
      </c>
      <c r="P153" s="470">
        <f t="shared" si="167"/>
        <v>21000</v>
      </c>
      <c r="Q153" s="470">
        <f t="shared" si="168"/>
        <v>33000</v>
      </c>
      <c r="R153" s="470">
        <f t="shared" si="169"/>
        <v>75000</v>
      </c>
      <c r="S153" s="470">
        <f t="shared" si="170"/>
        <v>95000</v>
      </c>
      <c r="T153" s="470">
        <f t="shared" si="171"/>
        <v>282759.90624</v>
      </c>
      <c r="U153" s="470"/>
      <c r="V153" s="470">
        <f t="shared" si="173"/>
        <v>506759.90624</v>
      </c>
      <c r="W153" s="471">
        <v>12</v>
      </c>
      <c r="X153" s="470">
        <f t="shared" si="174"/>
        <v>42229.9921866667</v>
      </c>
      <c r="Y153" s="476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351</v>
      </c>
      <c r="C154" s="470">
        <v>344900.833333334</v>
      </c>
      <c r="D154" s="469">
        <v>12</v>
      </c>
      <c r="E154" s="470">
        <f t="shared" si="161"/>
        <v>4138810.00000001</v>
      </c>
      <c r="F154" s="470"/>
      <c r="G154" s="474">
        <v>283104.8</v>
      </c>
      <c r="H154" s="476"/>
      <c r="I154" s="470">
        <f t="shared" si="162"/>
        <v>3855705.20000001</v>
      </c>
      <c r="J154" s="470">
        <v>200000</v>
      </c>
      <c r="K154" s="470">
        <v>0.2</v>
      </c>
      <c r="L154" s="470">
        <f t="shared" si="163"/>
        <v>771141.040000002</v>
      </c>
      <c r="M154" s="470">
        <f t="shared" si="164"/>
        <v>971141.040000002</v>
      </c>
      <c r="N154" s="470">
        <f t="shared" si="165"/>
        <v>1254245.84</v>
      </c>
      <c r="O154" s="470">
        <f t="shared" si="166"/>
        <v>2884564.16000001</v>
      </c>
      <c r="P154" s="470">
        <f t="shared" si="167"/>
        <v>21000</v>
      </c>
      <c r="Q154" s="470">
        <f t="shared" si="168"/>
        <v>33000</v>
      </c>
      <c r="R154" s="470">
        <f t="shared" si="169"/>
        <v>75000</v>
      </c>
      <c r="S154" s="470">
        <f t="shared" si="170"/>
        <v>95000</v>
      </c>
      <c r="T154" s="470">
        <f t="shared" si="171"/>
        <v>269758.473600001</v>
      </c>
      <c r="U154" s="470"/>
      <c r="V154" s="470">
        <f t="shared" si="173"/>
        <v>493758.473600001</v>
      </c>
      <c r="W154" s="471">
        <v>12</v>
      </c>
      <c r="X154" s="470">
        <f t="shared" si="174"/>
        <v>41146.5394666668</v>
      </c>
      <c r="Y154" s="476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3"/>
      <c r="AD154" s="473"/>
      <c r="AE154" s="473"/>
    </row>
    <row r="155" ht="15.5" spans="1:31">
      <c r="A155" s="467">
        <v>139</v>
      </c>
      <c r="B155" s="351" t="s">
        <v>353</v>
      </c>
      <c r="C155" s="470">
        <v>344900.833333334</v>
      </c>
      <c r="D155" s="469">
        <v>12</v>
      </c>
      <c r="E155" s="470">
        <f t="shared" si="161"/>
        <v>4138810.00000001</v>
      </c>
      <c r="F155" s="470"/>
      <c r="G155" s="474">
        <v>283104.8</v>
      </c>
      <c r="H155" s="476"/>
      <c r="I155" s="470">
        <f t="shared" si="162"/>
        <v>3855705.20000001</v>
      </c>
      <c r="J155" s="470">
        <v>200000</v>
      </c>
      <c r="K155" s="470">
        <v>0.2</v>
      </c>
      <c r="L155" s="470">
        <f t="shared" si="163"/>
        <v>771141.040000002</v>
      </c>
      <c r="M155" s="470">
        <f t="shared" si="164"/>
        <v>971141.040000002</v>
      </c>
      <c r="N155" s="470">
        <f t="shared" si="165"/>
        <v>1254245.84</v>
      </c>
      <c r="O155" s="470">
        <f t="shared" si="166"/>
        <v>2884564.16000001</v>
      </c>
      <c r="P155" s="470">
        <f t="shared" si="167"/>
        <v>21000</v>
      </c>
      <c r="Q155" s="470">
        <f t="shared" si="168"/>
        <v>33000</v>
      </c>
      <c r="R155" s="470">
        <f t="shared" si="169"/>
        <v>75000</v>
      </c>
      <c r="S155" s="470">
        <f t="shared" si="170"/>
        <v>95000</v>
      </c>
      <c r="T155" s="470">
        <f t="shared" si="171"/>
        <v>269758.473600001</v>
      </c>
      <c r="U155" s="470"/>
      <c r="V155" s="470">
        <f t="shared" si="173"/>
        <v>493758.473600001</v>
      </c>
      <c r="W155" s="471">
        <v>12</v>
      </c>
      <c r="X155" s="470">
        <f t="shared" si="174"/>
        <v>41146.5394666668</v>
      </c>
      <c r="Y155" s="476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359</v>
      </c>
      <c r="C156" s="470">
        <v>271717.166666666</v>
      </c>
      <c r="D156" s="469">
        <v>12</v>
      </c>
      <c r="E156" s="470">
        <f t="shared" si="161"/>
        <v>3260605.99999999</v>
      </c>
      <c r="F156" s="470">
        <v>47786.5749999999</v>
      </c>
      <c r="G156" s="474">
        <v>228208.48</v>
      </c>
      <c r="H156" s="476"/>
      <c r="I156" s="470">
        <f t="shared" si="162"/>
        <v>2984610.94499999</v>
      </c>
      <c r="J156" s="470">
        <v>200000</v>
      </c>
      <c r="K156" s="470">
        <v>0.2</v>
      </c>
      <c r="L156" s="470">
        <f t="shared" si="163"/>
        <v>596922.188999998</v>
      </c>
      <c r="M156" s="470">
        <f t="shared" si="164"/>
        <v>796922.188999998</v>
      </c>
      <c r="N156" s="470">
        <f t="shared" si="165"/>
        <v>1072917.244</v>
      </c>
      <c r="O156" s="470">
        <f t="shared" si="166"/>
        <v>2187688.75599999</v>
      </c>
      <c r="P156" s="470">
        <f t="shared" si="167"/>
        <v>21000</v>
      </c>
      <c r="Q156" s="470">
        <f t="shared" si="168"/>
        <v>33000</v>
      </c>
      <c r="R156" s="470">
        <f t="shared" si="169"/>
        <v>75000</v>
      </c>
      <c r="S156" s="470">
        <f t="shared" si="170"/>
        <v>95000</v>
      </c>
      <c r="T156" s="470">
        <f t="shared" si="171"/>
        <v>123414.638759999</v>
      </c>
      <c r="U156" s="470"/>
      <c r="V156" s="470">
        <f t="shared" si="173"/>
        <v>347414.638759999</v>
      </c>
      <c r="W156" s="471">
        <v>12</v>
      </c>
      <c r="X156" s="470">
        <f t="shared" si="174"/>
        <v>28951.2198966665</v>
      </c>
      <c r="Y156" s="476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362</v>
      </c>
      <c r="C157" s="470">
        <v>274717.166666666</v>
      </c>
      <c r="D157" s="469">
        <v>12</v>
      </c>
      <c r="E157" s="470">
        <f t="shared" si="161"/>
        <v>3296605.99999999</v>
      </c>
      <c r="F157" s="470"/>
      <c r="G157" s="474">
        <v>228208.48</v>
      </c>
      <c r="H157" s="476"/>
      <c r="I157" s="470">
        <f t="shared" si="162"/>
        <v>3068397.51999999</v>
      </c>
      <c r="J157" s="470">
        <v>200000</v>
      </c>
      <c r="K157" s="470">
        <v>0.2</v>
      </c>
      <c r="L157" s="470">
        <f t="shared" si="163"/>
        <v>613679.503999998</v>
      </c>
      <c r="M157" s="470">
        <f t="shared" si="164"/>
        <v>813679.503999998</v>
      </c>
      <c r="N157" s="470">
        <f t="shared" si="165"/>
        <v>1041887.984</v>
      </c>
      <c r="O157" s="470">
        <f t="shared" si="166"/>
        <v>2254718.01599999</v>
      </c>
      <c r="P157" s="470">
        <f t="shared" si="167"/>
        <v>21000</v>
      </c>
      <c r="Q157" s="470">
        <f t="shared" si="168"/>
        <v>33000</v>
      </c>
      <c r="R157" s="470">
        <f t="shared" si="169"/>
        <v>75000</v>
      </c>
      <c r="S157" s="470">
        <f t="shared" si="170"/>
        <v>95000</v>
      </c>
      <c r="T157" s="470">
        <f t="shared" si="171"/>
        <v>137490.783359999</v>
      </c>
      <c r="U157" s="470"/>
      <c r="V157" s="470">
        <f t="shared" si="173"/>
        <v>361490.783359999</v>
      </c>
      <c r="W157" s="471">
        <v>12</v>
      </c>
      <c r="X157" s="470">
        <f t="shared" si="174"/>
        <v>30124.2319466666</v>
      </c>
      <c r="Y157" s="476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666</v>
      </c>
      <c r="C158" s="470">
        <v>271717.166666666</v>
      </c>
      <c r="D158" s="469">
        <v>12</v>
      </c>
      <c r="E158" s="470">
        <f t="shared" si="161"/>
        <v>3260605.99999999</v>
      </c>
      <c r="F158" s="470"/>
      <c r="G158" s="474">
        <v>228208.48</v>
      </c>
      <c r="H158" s="476"/>
      <c r="I158" s="470">
        <f t="shared" si="162"/>
        <v>3032397.51999999</v>
      </c>
      <c r="J158" s="470">
        <v>200000</v>
      </c>
      <c r="K158" s="470">
        <v>0.2</v>
      </c>
      <c r="L158" s="470">
        <f t="shared" si="163"/>
        <v>606479.503999998</v>
      </c>
      <c r="M158" s="470">
        <f t="shared" si="164"/>
        <v>806479.503999998</v>
      </c>
      <c r="N158" s="470">
        <f t="shared" si="165"/>
        <v>1034687.984</v>
      </c>
      <c r="O158" s="470">
        <f t="shared" si="166"/>
        <v>2225918.01599999</v>
      </c>
      <c r="P158" s="470">
        <f t="shared" si="167"/>
        <v>21000</v>
      </c>
      <c r="Q158" s="470">
        <f t="shared" si="168"/>
        <v>33000</v>
      </c>
      <c r="R158" s="470">
        <f t="shared" si="169"/>
        <v>75000</v>
      </c>
      <c r="S158" s="470">
        <f t="shared" si="170"/>
        <v>95000</v>
      </c>
      <c r="T158" s="470">
        <f t="shared" si="171"/>
        <v>131442.783359999</v>
      </c>
      <c r="U158" s="470"/>
      <c r="V158" s="470">
        <f t="shared" si="173"/>
        <v>355442.783359999</v>
      </c>
      <c r="W158" s="471">
        <v>12</v>
      </c>
      <c r="X158" s="470">
        <f t="shared" si="174"/>
        <v>29620.2319466666</v>
      </c>
      <c r="Y158" s="476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363</v>
      </c>
      <c r="C159" s="470">
        <v>271717.166666666</v>
      </c>
      <c r="D159" s="469">
        <v>12</v>
      </c>
      <c r="E159" s="470">
        <f t="shared" si="161"/>
        <v>3260605.99999999</v>
      </c>
      <c r="F159" s="470">
        <v>47786.5749999999</v>
      </c>
      <c r="G159" s="474">
        <v>228208.48</v>
      </c>
      <c r="H159" s="476"/>
      <c r="I159" s="470">
        <f t="shared" si="162"/>
        <v>2984610.94499999</v>
      </c>
      <c r="J159" s="470">
        <v>200000</v>
      </c>
      <c r="K159" s="470">
        <v>0.2</v>
      </c>
      <c r="L159" s="470">
        <f t="shared" si="163"/>
        <v>596922.188999998</v>
      </c>
      <c r="M159" s="470">
        <f t="shared" si="164"/>
        <v>796922.188999998</v>
      </c>
      <c r="N159" s="470">
        <f t="shared" si="165"/>
        <v>1072917.244</v>
      </c>
      <c r="O159" s="470">
        <f t="shared" si="166"/>
        <v>2187688.75599999</v>
      </c>
      <c r="P159" s="470">
        <f t="shared" si="167"/>
        <v>21000</v>
      </c>
      <c r="Q159" s="470">
        <f t="shared" si="168"/>
        <v>33000</v>
      </c>
      <c r="R159" s="470">
        <f t="shared" si="169"/>
        <v>75000</v>
      </c>
      <c r="S159" s="470">
        <f t="shared" si="170"/>
        <v>95000</v>
      </c>
      <c r="T159" s="470">
        <f t="shared" si="171"/>
        <v>123414.638759999</v>
      </c>
      <c r="U159" s="470"/>
      <c r="V159" s="470">
        <f t="shared" si="173"/>
        <v>347414.638759999</v>
      </c>
      <c r="W159" s="471">
        <v>12</v>
      </c>
      <c r="X159" s="470">
        <f t="shared" si="174"/>
        <v>28951.2198966665</v>
      </c>
      <c r="Y159" s="476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364</v>
      </c>
      <c r="C160" s="470">
        <v>271717.166666666</v>
      </c>
      <c r="D160" s="469">
        <v>12</v>
      </c>
      <c r="E160" s="470">
        <f t="shared" si="161"/>
        <v>3260605.99999999</v>
      </c>
      <c r="F160" s="470"/>
      <c r="G160" s="474">
        <v>228208.48</v>
      </c>
      <c r="H160" s="476"/>
      <c r="I160" s="470">
        <f t="shared" si="162"/>
        <v>3032397.51999999</v>
      </c>
      <c r="J160" s="470">
        <v>200000</v>
      </c>
      <c r="K160" s="470">
        <v>0.2</v>
      </c>
      <c r="L160" s="470">
        <f t="shared" si="163"/>
        <v>606479.503999998</v>
      </c>
      <c r="M160" s="470">
        <f t="shared" si="164"/>
        <v>806479.503999998</v>
      </c>
      <c r="N160" s="470">
        <f t="shared" si="165"/>
        <v>1034687.984</v>
      </c>
      <c r="O160" s="470">
        <f t="shared" si="166"/>
        <v>2225918.01599999</v>
      </c>
      <c r="P160" s="470">
        <f t="shared" si="167"/>
        <v>21000</v>
      </c>
      <c r="Q160" s="470">
        <f t="shared" si="168"/>
        <v>33000</v>
      </c>
      <c r="R160" s="470">
        <f t="shared" si="169"/>
        <v>75000</v>
      </c>
      <c r="S160" s="470">
        <f t="shared" si="170"/>
        <v>95000</v>
      </c>
      <c r="T160" s="470">
        <f t="shared" si="171"/>
        <v>131442.783359999</v>
      </c>
      <c r="U160" s="470"/>
      <c r="V160" s="470">
        <f t="shared" si="173"/>
        <v>355442.783359999</v>
      </c>
      <c r="W160" s="471">
        <v>12</v>
      </c>
      <c r="X160" s="470">
        <f t="shared" si="174"/>
        <v>29620.2319466666</v>
      </c>
      <c r="Y160" s="476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365</v>
      </c>
      <c r="C161" s="470">
        <v>268733.833333334</v>
      </c>
      <c r="D161" s="469">
        <v>12</v>
      </c>
      <c r="E161" s="470">
        <f t="shared" si="161"/>
        <v>3224806.00000001</v>
      </c>
      <c r="F161" s="470"/>
      <c r="G161" s="474">
        <v>222464.48</v>
      </c>
      <c r="H161" s="476"/>
      <c r="I161" s="470">
        <f t="shared" si="162"/>
        <v>3002341.52000001</v>
      </c>
      <c r="J161" s="470">
        <v>200000</v>
      </c>
      <c r="K161" s="470">
        <v>0.2</v>
      </c>
      <c r="L161" s="470">
        <f t="shared" si="163"/>
        <v>600468.304000002</v>
      </c>
      <c r="M161" s="470">
        <f t="shared" si="164"/>
        <v>800468.304000002</v>
      </c>
      <c r="N161" s="470">
        <f t="shared" si="165"/>
        <v>1022932.784</v>
      </c>
      <c r="O161" s="470">
        <f t="shared" si="166"/>
        <v>2201873.21600001</v>
      </c>
      <c r="P161" s="470">
        <f t="shared" si="167"/>
        <v>21000</v>
      </c>
      <c r="Q161" s="470">
        <f t="shared" si="168"/>
        <v>33000</v>
      </c>
      <c r="R161" s="470">
        <f t="shared" si="169"/>
        <v>75000</v>
      </c>
      <c r="S161" s="470">
        <f t="shared" si="170"/>
        <v>95000</v>
      </c>
      <c r="T161" s="470">
        <f t="shared" si="171"/>
        <v>126393.375360001</v>
      </c>
      <c r="U161" s="470"/>
      <c r="V161" s="470">
        <f t="shared" si="173"/>
        <v>350393.375360001</v>
      </c>
      <c r="W161" s="471">
        <v>12</v>
      </c>
      <c r="X161" s="470">
        <f t="shared" si="174"/>
        <v>29199.4479466668</v>
      </c>
      <c r="Y161" s="476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367</v>
      </c>
      <c r="C162" s="470">
        <v>265733.833333334</v>
      </c>
      <c r="D162" s="469">
        <v>12</v>
      </c>
      <c r="E162" s="470">
        <f t="shared" si="161"/>
        <v>3188806.00000001</v>
      </c>
      <c r="F162" s="470"/>
      <c r="G162" s="474">
        <v>222464.48</v>
      </c>
      <c r="H162" s="476"/>
      <c r="I162" s="470">
        <f t="shared" si="162"/>
        <v>2966341.52000001</v>
      </c>
      <c r="J162" s="470">
        <v>200000</v>
      </c>
      <c r="K162" s="470">
        <v>0.2</v>
      </c>
      <c r="L162" s="470">
        <f t="shared" si="163"/>
        <v>593268.304000002</v>
      </c>
      <c r="M162" s="470">
        <f t="shared" si="164"/>
        <v>793268.304000002</v>
      </c>
      <c r="N162" s="470">
        <f t="shared" si="165"/>
        <v>1015732.784</v>
      </c>
      <c r="O162" s="470">
        <f t="shared" si="166"/>
        <v>2173073.21600001</v>
      </c>
      <c r="P162" s="470">
        <f t="shared" si="167"/>
        <v>21000</v>
      </c>
      <c r="Q162" s="470">
        <f t="shared" si="168"/>
        <v>33000</v>
      </c>
      <c r="R162" s="470">
        <f t="shared" si="169"/>
        <v>75000</v>
      </c>
      <c r="S162" s="470">
        <f t="shared" si="170"/>
        <v>95000</v>
      </c>
      <c r="T162" s="470">
        <f t="shared" si="171"/>
        <v>120345.375360001</v>
      </c>
      <c r="U162" s="470"/>
      <c r="V162" s="470">
        <f t="shared" si="173"/>
        <v>344345.375360001</v>
      </c>
      <c r="W162" s="471">
        <v>12</v>
      </c>
      <c r="X162" s="470">
        <f t="shared" si="174"/>
        <v>28695.4479466668</v>
      </c>
      <c r="Y162" s="476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368</v>
      </c>
      <c r="C163" s="470">
        <v>268733.833333334</v>
      </c>
      <c r="D163" s="469">
        <v>12</v>
      </c>
      <c r="E163" s="470">
        <f t="shared" si="161"/>
        <v>3224806.00000001</v>
      </c>
      <c r="F163" s="470"/>
      <c r="G163" s="474">
        <v>222464.48</v>
      </c>
      <c r="H163" s="476"/>
      <c r="I163" s="470">
        <f t="shared" si="162"/>
        <v>3002341.52000001</v>
      </c>
      <c r="J163" s="470">
        <v>200000</v>
      </c>
      <c r="K163" s="470">
        <v>0.2</v>
      </c>
      <c r="L163" s="470">
        <f t="shared" si="163"/>
        <v>600468.304000002</v>
      </c>
      <c r="M163" s="470">
        <f t="shared" si="164"/>
        <v>800468.304000002</v>
      </c>
      <c r="N163" s="470">
        <f t="shared" si="165"/>
        <v>1022932.784</v>
      </c>
      <c r="O163" s="470">
        <f t="shared" si="166"/>
        <v>2201873.21600001</v>
      </c>
      <c r="P163" s="470">
        <f t="shared" si="167"/>
        <v>21000</v>
      </c>
      <c r="Q163" s="470">
        <f t="shared" si="168"/>
        <v>33000</v>
      </c>
      <c r="R163" s="470">
        <f t="shared" si="169"/>
        <v>75000</v>
      </c>
      <c r="S163" s="470">
        <f t="shared" si="170"/>
        <v>95000</v>
      </c>
      <c r="T163" s="470">
        <f t="shared" si="171"/>
        <v>126393.375360001</v>
      </c>
      <c r="U163" s="470"/>
      <c r="V163" s="470">
        <f t="shared" si="173"/>
        <v>350393.375360001</v>
      </c>
      <c r="W163" s="471">
        <v>12</v>
      </c>
      <c r="X163" s="470">
        <f t="shared" si="174"/>
        <v>29199.4479466668</v>
      </c>
      <c r="Y163" s="476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369</v>
      </c>
      <c r="C164" s="470">
        <v>265733.833333334</v>
      </c>
      <c r="D164" s="469">
        <v>12</v>
      </c>
      <c r="E164" s="470">
        <f t="shared" si="161"/>
        <v>3188806.00000001</v>
      </c>
      <c r="F164" s="470"/>
      <c r="G164" s="474">
        <v>222464.48</v>
      </c>
      <c r="H164" s="476"/>
      <c r="I164" s="470">
        <f t="shared" si="162"/>
        <v>2966341.52000001</v>
      </c>
      <c r="J164" s="470">
        <v>200000</v>
      </c>
      <c r="K164" s="470">
        <v>0.2</v>
      </c>
      <c r="L164" s="470">
        <f t="shared" si="163"/>
        <v>593268.304000002</v>
      </c>
      <c r="M164" s="470">
        <f t="shared" si="164"/>
        <v>793268.304000002</v>
      </c>
      <c r="N164" s="470">
        <f t="shared" si="165"/>
        <v>1015732.784</v>
      </c>
      <c r="O164" s="470">
        <f t="shared" si="166"/>
        <v>2173073.21600001</v>
      </c>
      <c r="P164" s="470">
        <f t="shared" si="167"/>
        <v>21000</v>
      </c>
      <c r="Q164" s="470">
        <f t="shared" si="168"/>
        <v>33000</v>
      </c>
      <c r="R164" s="470">
        <f t="shared" si="169"/>
        <v>75000</v>
      </c>
      <c r="S164" s="470">
        <f t="shared" si="170"/>
        <v>95000</v>
      </c>
      <c r="T164" s="470">
        <f t="shared" si="171"/>
        <v>120345.375360001</v>
      </c>
      <c r="U164" s="470"/>
      <c r="V164" s="470">
        <f t="shared" si="173"/>
        <v>344345.375360001</v>
      </c>
      <c r="W164" s="471">
        <v>12</v>
      </c>
      <c r="X164" s="470">
        <f t="shared" si="174"/>
        <v>28695.4479466668</v>
      </c>
      <c r="Y164" s="476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370</v>
      </c>
      <c r="C165" s="470">
        <v>265733.833333334</v>
      </c>
      <c r="D165" s="469">
        <v>12</v>
      </c>
      <c r="E165" s="470">
        <f t="shared" si="161"/>
        <v>3188806.00000001</v>
      </c>
      <c r="F165" s="470"/>
      <c r="G165" s="474">
        <v>222464.48</v>
      </c>
      <c r="H165" s="476"/>
      <c r="I165" s="470">
        <f t="shared" si="162"/>
        <v>2966341.52000001</v>
      </c>
      <c r="J165" s="470">
        <v>200000</v>
      </c>
      <c r="K165" s="470">
        <v>0.2</v>
      </c>
      <c r="L165" s="470">
        <f t="shared" si="163"/>
        <v>593268.304000002</v>
      </c>
      <c r="M165" s="470">
        <f t="shared" si="164"/>
        <v>793268.304000002</v>
      </c>
      <c r="N165" s="470">
        <f t="shared" si="165"/>
        <v>1015732.784</v>
      </c>
      <c r="O165" s="470">
        <f t="shared" si="166"/>
        <v>2173073.21600001</v>
      </c>
      <c r="P165" s="470">
        <f t="shared" si="167"/>
        <v>21000</v>
      </c>
      <c r="Q165" s="470">
        <f t="shared" si="168"/>
        <v>33000</v>
      </c>
      <c r="R165" s="470">
        <f t="shared" si="169"/>
        <v>75000</v>
      </c>
      <c r="S165" s="470">
        <f t="shared" si="170"/>
        <v>95000</v>
      </c>
      <c r="T165" s="470">
        <f t="shared" si="171"/>
        <v>120345.375360001</v>
      </c>
      <c r="U165" s="470"/>
      <c r="V165" s="470">
        <f t="shared" si="173"/>
        <v>344345.375360001</v>
      </c>
      <c r="W165" s="471">
        <v>12</v>
      </c>
      <c r="X165" s="470">
        <f t="shared" si="174"/>
        <v>28695.4479466668</v>
      </c>
      <c r="Y165" s="476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357</v>
      </c>
      <c r="C166" s="470">
        <v>268733.833333334</v>
      </c>
      <c r="D166" s="469">
        <v>12</v>
      </c>
      <c r="E166" s="470">
        <f t="shared" si="161"/>
        <v>3224806.00000001</v>
      </c>
      <c r="F166" s="470"/>
      <c r="G166" s="474">
        <v>222464.48</v>
      </c>
      <c r="H166" s="476"/>
      <c r="I166" s="470">
        <f t="shared" si="162"/>
        <v>3002341.52000001</v>
      </c>
      <c r="J166" s="470">
        <v>200000</v>
      </c>
      <c r="K166" s="470">
        <v>0.2</v>
      </c>
      <c r="L166" s="470">
        <f t="shared" si="163"/>
        <v>600468.304000002</v>
      </c>
      <c r="M166" s="470">
        <f t="shared" si="164"/>
        <v>800468.304000002</v>
      </c>
      <c r="N166" s="470">
        <f t="shared" si="165"/>
        <v>1022932.784</v>
      </c>
      <c r="O166" s="470">
        <f t="shared" si="166"/>
        <v>2201873.21600001</v>
      </c>
      <c r="P166" s="470">
        <f t="shared" si="167"/>
        <v>21000</v>
      </c>
      <c r="Q166" s="470">
        <f t="shared" si="168"/>
        <v>33000</v>
      </c>
      <c r="R166" s="470">
        <f t="shared" si="169"/>
        <v>75000</v>
      </c>
      <c r="S166" s="470">
        <f t="shared" si="170"/>
        <v>95000</v>
      </c>
      <c r="T166" s="470">
        <f t="shared" si="171"/>
        <v>126393.375360001</v>
      </c>
      <c r="U166" s="470"/>
      <c r="V166" s="470">
        <f t="shared" si="173"/>
        <v>350393.375360001</v>
      </c>
      <c r="W166" s="471">
        <v>12</v>
      </c>
      <c r="X166" s="470">
        <f t="shared" si="174"/>
        <v>29199.4479466668</v>
      </c>
      <c r="Y166" s="476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371</v>
      </c>
      <c r="C167" s="470">
        <v>256767.333333333</v>
      </c>
      <c r="D167" s="469">
        <v>12</v>
      </c>
      <c r="E167" s="470">
        <f t="shared" si="161"/>
        <v>3081208</v>
      </c>
      <c r="F167" s="470"/>
      <c r="G167" s="474">
        <v>210976.639999999</v>
      </c>
      <c r="H167" s="476"/>
      <c r="I167" s="470">
        <f t="shared" si="162"/>
        <v>2870231.36</v>
      </c>
      <c r="J167" s="470">
        <v>200000</v>
      </c>
      <c r="K167" s="470">
        <v>0.2</v>
      </c>
      <c r="L167" s="470">
        <f t="shared" si="163"/>
        <v>574046.271999999</v>
      </c>
      <c r="M167" s="470">
        <f t="shared" si="164"/>
        <v>774046.271999999</v>
      </c>
      <c r="N167" s="470">
        <f t="shared" si="165"/>
        <v>985022.911999998</v>
      </c>
      <c r="O167" s="470">
        <f t="shared" si="166"/>
        <v>2096185.088</v>
      </c>
      <c r="P167" s="470">
        <f t="shared" si="167"/>
        <v>21000</v>
      </c>
      <c r="Q167" s="470">
        <f t="shared" si="168"/>
        <v>33000</v>
      </c>
      <c r="R167" s="470">
        <f t="shared" si="169"/>
        <v>75000</v>
      </c>
      <c r="S167" s="470">
        <f t="shared" si="170"/>
        <v>95000</v>
      </c>
      <c r="T167" s="470">
        <f t="shared" si="171"/>
        <v>104198.86848</v>
      </c>
      <c r="U167" s="470"/>
      <c r="V167" s="470">
        <f t="shared" si="173"/>
        <v>328198.868479999</v>
      </c>
      <c r="W167" s="471">
        <v>12</v>
      </c>
      <c r="X167" s="470">
        <f t="shared" si="174"/>
        <v>27349.9057066666</v>
      </c>
      <c r="Y167" s="476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373</v>
      </c>
      <c r="C168" s="470">
        <v>256767.333333333</v>
      </c>
      <c r="D168" s="469">
        <v>12</v>
      </c>
      <c r="E168" s="470">
        <f t="shared" si="161"/>
        <v>3081208</v>
      </c>
      <c r="F168" s="470"/>
      <c r="G168" s="474">
        <v>210976.639999999</v>
      </c>
      <c r="H168" s="476"/>
      <c r="I168" s="470">
        <f t="shared" si="162"/>
        <v>2870231.36</v>
      </c>
      <c r="J168" s="470">
        <v>200000</v>
      </c>
      <c r="K168" s="470">
        <v>0.2</v>
      </c>
      <c r="L168" s="470">
        <f t="shared" si="163"/>
        <v>574046.271999999</v>
      </c>
      <c r="M168" s="470">
        <f t="shared" si="164"/>
        <v>774046.271999999</v>
      </c>
      <c r="N168" s="470">
        <f t="shared" si="165"/>
        <v>985022.911999998</v>
      </c>
      <c r="O168" s="470">
        <f t="shared" si="166"/>
        <v>2096185.088</v>
      </c>
      <c r="P168" s="470">
        <f t="shared" si="167"/>
        <v>21000</v>
      </c>
      <c r="Q168" s="470">
        <f t="shared" si="168"/>
        <v>33000</v>
      </c>
      <c r="R168" s="470">
        <f t="shared" si="169"/>
        <v>75000</v>
      </c>
      <c r="S168" s="470">
        <f t="shared" si="170"/>
        <v>95000</v>
      </c>
      <c r="T168" s="470">
        <f t="shared" si="171"/>
        <v>104198.86848</v>
      </c>
      <c r="U168" s="470"/>
      <c r="V168" s="470">
        <f t="shared" si="173"/>
        <v>328198.868479999</v>
      </c>
      <c r="W168" s="471">
        <v>12</v>
      </c>
      <c r="X168" s="470">
        <f t="shared" si="174"/>
        <v>27349.9057066666</v>
      </c>
      <c r="Y168" s="476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374</v>
      </c>
      <c r="C169" s="470">
        <v>262750.583333333</v>
      </c>
      <c r="D169" s="469">
        <v>12</v>
      </c>
      <c r="E169" s="470">
        <f t="shared" si="161"/>
        <v>3153007</v>
      </c>
      <c r="F169" s="470"/>
      <c r="G169" s="474">
        <v>216720.559999999</v>
      </c>
      <c r="H169" s="476"/>
      <c r="I169" s="470">
        <f t="shared" si="162"/>
        <v>2936286.44</v>
      </c>
      <c r="J169" s="470">
        <v>200000</v>
      </c>
      <c r="K169" s="470">
        <v>0.2</v>
      </c>
      <c r="L169" s="470">
        <f t="shared" si="163"/>
        <v>587257.287999999</v>
      </c>
      <c r="M169" s="470">
        <f t="shared" si="164"/>
        <v>787257.287999999</v>
      </c>
      <c r="N169" s="470">
        <f t="shared" si="165"/>
        <v>1003977.848</v>
      </c>
      <c r="O169" s="470">
        <f t="shared" si="166"/>
        <v>2149029.152</v>
      </c>
      <c r="P169" s="470">
        <f t="shared" si="167"/>
        <v>21000</v>
      </c>
      <c r="Q169" s="470">
        <f t="shared" si="168"/>
        <v>33000</v>
      </c>
      <c r="R169" s="470">
        <f t="shared" si="169"/>
        <v>75000</v>
      </c>
      <c r="S169" s="470">
        <f t="shared" si="170"/>
        <v>95000</v>
      </c>
      <c r="T169" s="470">
        <f t="shared" si="171"/>
        <v>115296.12192</v>
      </c>
      <c r="U169" s="470"/>
      <c r="V169" s="470">
        <f t="shared" si="173"/>
        <v>339296.12192</v>
      </c>
      <c r="W169" s="471">
        <v>12</v>
      </c>
      <c r="X169" s="470">
        <f t="shared" si="174"/>
        <v>28274.6768266666</v>
      </c>
      <c r="Y169" s="476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376</v>
      </c>
      <c r="C170" s="470">
        <v>240784</v>
      </c>
      <c r="D170" s="469">
        <v>12</v>
      </c>
      <c r="E170" s="470">
        <f t="shared" si="161"/>
        <v>2889408</v>
      </c>
      <c r="F170" s="470"/>
      <c r="G170" s="474">
        <v>205232.64</v>
      </c>
      <c r="H170" s="476"/>
      <c r="I170" s="470">
        <f t="shared" si="162"/>
        <v>2684175.36</v>
      </c>
      <c r="J170" s="470">
        <v>200000</v>
      </c>
      <c r="K170" s="470">
        <v>0.2</v>
      </c>
      <c r="L170" s="470">
        <f t="shared" si="163"/>
        <v>536835.072</v>
      </c>
      <c r="M170" s="470">
        <f t="shared" si="164"/>
        <v>736835.072</v>
      </c>
      <c r="N170" s="470">
        <f t="shared" si="165"/>
        <v>942067.712</v>
      </c>
      <c r="O170" s="470">
        <f t="shared" si="166"/>
        <v>1947340.288</v>
      </c>
      <c r="P170" s="470">
        <f t="shared" si="167"/>
        <v>21000</v>
      </c>
      <c r="Q170" s="470">
        <f t="shared" si="168"/>
        <v>33000</v>
      </c>
      <c r="R170" s="470">
        <f t="shared" si="169"/>
        <v>75000</v>
      </c>
      <c r="S170" s="470">
        <f t="shared" si="170"/>
        <v>95000</v>
      </c>
      <c r="T170" s="470">
        <f t="shared" si="171"/>
        <v>72941.46048</v>
      </c>
      <c r="U170" s="470"/>
      <c r="V170" s="470">
        <f t="shared" si="173"/>
        <v>296941.46048</v>
      </c>
      <c r="W170" s="471">
        <v>12</v>
      </c>
      <c r="X170" s="470">
        <f t="shared" si="174"/>
        <v>24745.1217066667</v>
      </c>
      <c r="Y170" s="476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378</v>
      </c>
      <c r="C171" s="470">
        <v>173356.75</v>
      </c>
      <c r="D171" s="469">
        <v>12</v>
      </c>
      <c r="E171" s="470">
        <f t="shared" si="161"/>
        <v>2080281</v>
      </c>
      <c r="F171" s="470"/>
      <c r="G171" s="474">
        <v>140502.48</v>
      </c>
      <c r="H171" s="476"/>
      <c r="I171" s="470">
        <f t="shared" si="162"/>
        <v>1939778.52</v>
      </c>
      <c r="J171" s="470">
        <v>200000</v>
      </c>
      <c r="K171" s="470">
        <v>0.2</v>
      </c>
      <c r="L171" s="470">
        <f t="shared" si="163"/>
        <v>387955.704</v>
      </c>
      <c r="M171" s="470">
        <f t="shared" si="164"/>
        <v>587955.704</v>
      </c>
      <c r="N171" s="470">
        <f t="shared" si="165"/>
        <v>728458.184</v>
      </c>
      <c r="O171" s="470">
        <f t="shared" si="166"/>
        <v>1351822.816</v>
      </c>
      <c r="P171" s="470">
        <f t="shared" si="167"/>
        <v>21000</v>
      </c>
      <c r="Q171" s="470">
        <f t="shared" si="168"/>
        <v>33000</v>
      </c>
      <c r="R171" s="470">
        <f t="shared" si="169"/>
        <v>75000</v>
      </c>
      <c r="S171" s="470">
        <f t="shared" si="170"/>
        <v>47846.33504</v>
      </c>
      <c r="T171" s="470">
        <f t="shared" si="171"/>
        <v>0</v>
      </c>
      <c r="U171" s="470"/>
      <c r="V171" s="470">
        <f t="shared" si="173"/>
        <v>176846.33504</v>
      </c>
      <c r="W171" s="471">
        <v>12</v>
      </c>
      <c r="X171" s="470">
        <f t="shared" si="174"/>
        <v>14737.1945866667</v>
      </c>
      <c r="Y171" s="476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3"/>
      <c r="AD171" s="473"/>
      <c r="AE171" s="473"/>
    </row>
    <row r="172" ht="15.5" spans="1:31">
      <c r="A172" s="467">
        <v>156</v>
      </c>
      <c r="B172" s="651" t="s">
        <v>379</v>
      </c>
      <c r="C172" s="470">
        <v>170356.75</v>
      </c>
      <c r="D172" s="469">
        <v>12</v>
      </c>
      <c r="E172" s="470">
        <f t="shared" si="161"/>
        <v>2044281</v>
      </c>
      <c r="F172" s="470"/>
      <c r="G172" s="474">
        <v>140502.48</v>
      </c>
      <c r="H172" s="476"/>
      <c r="I172" s="470">
        <f t="shared" si="162"/>
        <v>1903778.52</v>
      </c>
      <c r="J172" s="470">
        <v>200000</v>
      </c>
      <c r="K172" s="470">
        <v>0.2</v>
      </c>
      <c r="L172" s="470">
        <f t="shared" si="163"/>
        <v>380755.704</v>
      </c>
      <c r="M172" s="470">
        <f t="shared" si="164"/>
        <v>580755.704</v>
      </c>
      <c r="N172" s="470">
        <f t="shared" si="165"/>
        <v>721258.184</v>
      </c>
      <c r="O172" s="470">
        <f t="shared" si="166"/>
        <v>1323022.816</v>
      </c>
      <c r="P172" s="470">
        <f t="shared" si="167"/>
        <v>21000</v>
      </c>
      <c r="Q172" s="470">
        <f t="shared" si="168"/>
        <v>33000</v>
      </c>
      <c r="R172" s="470">
        <f t="shared" si="169"/>
        <v>75000</v>
      </c>
      <c r="S172" s="470">
        <f t="shared" si="170"/>
        <v>42374.33504</v>
      </c>
      <c r="T172" s="470">
        <f t="shared" si="171"/>
        <v>0</v>
      </c>
      <c r="U172" s="470"/>
      <c r="V172" s="470">
        <f t="shared" si="173"/>
        <v>171374.33504</v>
      </c>
      <c r="W172" s="471">
        <v>12</v>
      </c>
      <c r="X172" s="470">
        <f t="shared" si="174"/>
        <v>14281.1945866667</v>
      </c>
      <c r="Y172" s="476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3"/>
      <c r="AD172" s="473"/>
      <c r="AE172" s="473"/>
    </row>
    <row r="173" ht="15.5" spans="1:31">
      <c r="A173" s="467">
        <v>157</v>
      </c>
      <c r="B173" s="651" t="s">
        <v>380</v>
      </c>
      <c r="C173" s="470">
        <v>173356.75</v>
      </c>
      <c r="D173" s="469">
        <v>12</v>
      </c>
      <c r="E173" s="470">
        <f t="shared" si="161"/>
        <v>2080281</v>
      </c>
      <c r="F173" s="470"/>
      <c r="G173" s="474">
        <v>140502.48</v>
      </c>
      <c r="H173" s="476"/>
      <c r="I173" s="470">
        <f t="shared" si="162"/>
        <v>1939778.52</v>
      </c>
      <c r="J173" s="470">
        <v>200000</v>
      </c>
      <c r="K173" s="470">
        <v>0.2</v>
      </c>
      <c r="L173" s="470">
        <f t="shared" si="163"/>
        <v>387955.704</v>
      </c>
      <c r="M173" s="470">
        <f t="shared" si="164"/>
        <v>587955.704</v>
      </c>
      <c r="N173" s="470">
        <f t="shared" si="165"/>
        <v>728458.184</v>
      </c>
      <c r="O173" s="470">
        <f t="shared" si="166"/>
        <v>1351822.816</v>
      </c>
      <c r="P173" s="470">
        <f t="shared" si="167"/>
        <v>21000</v>
      </c>
      <c r="Q173" s="470">
        <f t="shared" si="168"/>
        <v>33000</v>
      </c>
      <c r="R173" s="470">
        <f t="shared" si="169"/>
        <v>75000</v>
      </c>
      <c r="S173" s="470">
        <f t="shared" si="170"/>
        <v>47846.33504</v>
      </c>
      <c r="T173" s="470">
        <f t="shared" si="171"/>
        <v>0</v>
      </c>
      <c r="U173" s="470"/>
      <c r="V173" s="470">
        <f t="shared" si="173"/>
        <v>176846.33504</v>
      </c>
      <c r="W173" s="471">
        <v>12</v>
      </c>
      <c r="X173" s="470">
        <f t="shared" si="174"/>
        <v>14737.1945866667</v>
      </c>
      <c r="Y173" s="476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3"/>
      <c r="AD173" s="473"/>
      <c r="AE173" s="473"/>
    </row>
    <row r="174" ht="15.5" spans="1:31">
      <c r="A174" s="459"/>
      <c r="B174" s="651" t="s">
        <v>381</v>
      </c>
      <c r="C174" s="483">
        <v>170356.75</v>
      </c>
      <c r="D174" s="469">
        <v>12</v>
      </c>
      <c r="E174" s="470">
        <f t="shared" si="161"/>
        <v>2044281</v>
      </c>
      <c r="F174" s="470"/>
      <c r="G174" s="474">
        <v>140502.48</v>
      </c>
      <c r="H174" s="476"/>
      <c r="I174" s="470">
        <f t="shared" si="162"/>
        <v>1903778.52</v>
      </c>
      <c r="J174" s="470">
        <v>200000</v>
      </c>
      <c r="K174" s="470">
        <v>0.2</v>
      </c>
      <c r="L174" s="470">
        <f t="shared" si="163"/>
        <v>380755.704</v>
      </c>
      <c r="M174" s="470">
        <f t="shared" si="164"/>
        <v>580755.704</v>
      </c>
      <c r="N174" s="470">
        <f t="shared" si="165"/>
        <v>721258.184</v>
      </c>
      <c r="O174" s="470">
        <f t="shared" si="166"/>
        <v>1323022.816</v>
      </c>
      <c r="P174" s="470">
        <f t="shared" si="167"/>
        <v>21000</v>
      </c>
      <c r="Q174" s="470">
        <f t="shared" si="168"/>
        <v>33000</v>
      </c>
      <c r="R174" s="470">
        <f t="shared" si="169"/>
        <v>75000</v>
      </c>
      <c r="S174" s="470">
        <f t="shared" si="170"/>
        <v>42374.33504</v>
      </c>
      <c r="T174" s="470">
        <f t="shared" si="171"/>
        <v>0</v>
      </c>
      <c r="U174" s="470"/>
      <c r="V174" s="470">
        <f t="shared" si="173"/>
        <v>171374.33504</v>
      </c>
      <c r="W174" s="471">
        <v>12</v>
      </c>
      <c r="X174" s="470">
        <f t="shared" si="174"/>
        <v>14281.1945866667</v>
      </c>
      <c r="Y174" s="476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3"/>
      <c r="AD174" s="473"/>
      <c r="AE174" s="473"/>
    </row>
    <row r="175" ht="15.5" spans="1:31">
      <c r="A175" s="459"/>
      <c r="B175" s="651" t="s">
        <v>382</v>
      </c>
      <c r="C175" s="483">
        <v>173356.75</v>
      </c>
      <c r="D175" s="469">
        <v>12</v>
      </c>
      <c r="E175" s="470">
        <f t="shared" si="161"/>
        <v>2080281</v>
      </c>
      <c r="F175" s="470"/>
      <c r="G175" s="474">
        <v>140502.48</v>
      </c>
      <c r="H175" s="476"/>
      <c r="I175" s="470">
        <f t="shared" si="162"/>
        <v>1939778.52</v>
      </c>
      <c r="J175" s="470">
        <v>200000</v>
      </c>
      <c r="K175" s="470">
        <v>0.2</v>
      </c>
      <c r="L175" s="470">
        <f t="shared" si="163"/>
        <v>387955.704</v>
      </c>
      <c r="M175" s="470">
        <f t="shared" si="164"/>
        <v>587955.704</v>
      </c>
      <c r="N175" s="470">
        <f t="shared" si="165"/>
        <v>728458.184</v>
      </c>
      <c r="O175" s="470">
        <f t="shared" si="166"/>
        <v>1351822.816</v>
      </c>
      <c r="P175" s="470">
        <f t="shared" si="167"/>
        <v>21000</v>
      </c>
      <c r="Q175" s="470">
        <f t="shared" si="168"/>
        <v>33000</v>
      </c>
      <c r="R175" s="470">
        <f t="shared" si="169"/>
        <v>75000</v>
      </c>
      <c r="S175" s="470">
        <f t="shared" si="170"/>
        <v>47846.33504</v>
      </c>
      <c r="T175" s="470">
        <f t="shared" si="171"/>
        <v>0</v>
      </c>
      <c r="U175" s="470"/>
      <c r="V175" s="470">
        <f t="shared" si="173"/>
        <v>176846.33504</v>
      </c>
      <c r="W175" s="471">
        <v>12</v>
      </c>
      <c r="X175" s="470">
        <f t="shared" si="174"/>
        <v>14737.1945866667</v>
      </c>
      <c r="Y175" s="476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1:31">
      <c r="B176" s="351" t="s">
        <v>383</v>
      </c>
      <c r="C176" s="807">
        <v>170356.75</v>
      </c>
      <c r="D176" s="469">
        <v>12</v>
      </c>
      <c r="E176" s="470">
        <f t="shared" si="161"/>
        <v>2044281</v>
      </c>
      <c r="G176" s="474">
        <v>140502.48</v>
      </c>
      <c r="I176" s="470">
        <f t="shared" si="162"/>
        <v>1903778.52</v>
      </c>
      <c r="J176" s="470">
        <v>200000</v>
      </c>
      <c r="K176" s="470">
        <v>0.2</v>
      </c>
      <c r="L176" s="470">
        <f t="shared" si="163"/>
        <v>380755.704</v>
      </c>
      <c r="M176" s="470">
        <f t="shared" si="164"/>
        <v>580755.704</v>
      </c>
      <c r="N176" s="470">
        <f t="shared" si="165"/>
        <v>721258.184</v>
      </c>
      <c r="O176" s="470">
        <f t="shared" si="166"/>
        <v>1323022.816</v>
      </c>
      <c r="P176" s="470">
        <f t="shared" si="167"/>
        <v>21000</v>
      </c>
      <c r="Q176" s="470">
        <f t="shared" si="168"/>
        <v>33000</v>
      </c>
      <c r="R176" s="470">
        <f t="shared" si="169"/>
        <v>75000</v>
      </c>
      <c r="S176" s="470">
        <f t="shared" si="170"/>
        <v>42374.33504</v>
      </c>
      <c r="T176" s="470">
        <f t="shared" si="171"/>
        <v>0</v>
      </c>
      <c r="U176" s="470"/>
      <c r="V176" s="470">
        <f t="shared" si="173"/>
        <v>171374.33504</v>
      </c>
      <c r="W176" s="471">
        <v>12</v>
      </c>
      <c r="X176" s="470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385</v>
      </c>
      <c r="C177" s="807">
        <v>173356.75</v>
      </c>
      <c r="D177" s="469">
        <v>12</v>
      </c>
      <c r="E177" s="470">
        <f t="shared" si="161"/>
        <v>2080281</v>
      </c>
      <c r="G177" s="474">
        <v>140502.48</v>
      </c>
      <c r="I177" s="470">
        <f t="shared" si="162"/>
        <v>1939778.52</v>
      </c>
      <c r="J177" s="470">
        <v>200000</v>
      </c>
      <c r="K177" s="470">
        <v>0.2</v>
      </c>
      <c r="L177" s="470">
        <f t="shared" si="163"/>
        <v>387955.704</v>
      </c>
      <c r="M177" s="470">
        <f t="shared" si="164"/>
        <v>587955.704</v>
      </c>
      <c r="N177" s="470">
        <f t="shared" si="165"/>
        <v>728458.184</v>
      </c>
      <c r="O177" s="470">
        <f t="shared" si="166"/>
        <v>1351822.816</v>
      </c>
      <c r="P177" s="470">
        <f t="shared" si="167"/>
        <v>21000</v>
      </c>
      <c r="Q177" s="470">
        <f t="shared" si="168"/>
        <v>33000</v>
      </c>
      <c r="R177" s="470">
        <f t="shared" si="169"/>
        <v>75000</v>
      </c>
      <c r="S177" s="470">
        <f t="shared" si="170"/>
        <v>47846.33504</v>
      </c>
      <c r="T177" s="470">
        <f t="shared" si="171"/>
        <v>0</v>
      </c>
      <c r="U177" s="470"/>
      <c r="V177" s="470">
        <f t="shared" si="173"/>
        <v>176846.33504</v>
      </c>
      <c r="W177" s="471">
        <v>12</v>
      </c>
      <c r="X177" s="470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51" t="s">
        <v>668</v>
      </c>
      <c r="C178" s="807"/>
      <c r="D178" s="469"/>
      <c r="E178" s="470"/>
      <c r="G178" s="474"/>
      <c r="I178" s="470"/>
      <c r="J178" s="470"/>
      <c r="K178" s="470"/>
      <c r="L178" s="470"/>
      <c r="M178" s="470"/>
      <c r="N178" s="470">
        <f t="shared" si="165"/>
        <v>0</v>
      </c>
      <c r="O178" s="470">
        <f t="shared" si="166"/>
        <v>0</v>
      </c>
      <c r="P178" s="470">
        <f t="shared" si="167"/>
        <v>0</v>
      </c>
      <c r="Q178" s="470">
        <f t="shared" si="168"/>
        <v>0</v>
      </c>
      <c r="R178" s="470">
        <f t="shared" si="169"/>
        <v>0</v>
      </c>
      <c r="S178" s="470">
        <f t="shared" si="170"/>
        <v>0</v>
      </c>
      <c r="T178" s="470">
        <f t="shared" si="171"/>
        <v>0</v>
      </c>
      <c r="V178" s="470">
        <f t="shared" si="173"/>
        <v>0</v>
      </c>
      <c r="W178" s="471">
        <v>12</v>
      </c>
      <c r="X178" s="470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51" t="s">
        <v>386</v>
      </c>
      <c r="C179" s="807">
        <v>173356.75</v>
      </c>
      <c r="D179" s="469">
        <v>12</v>
      </c>
      <c r="E179" s="470">
        <f t="shared" ref="E179:E187" si="177">C179*D179</f>
        <v>2080281</v>
      </c>
      <c r="G179" s="474">
        <v>140502.48</v>
      </c>
      <c r="I179" s="470">
        <f t="shared" ref="I179:I187" si="178">E179-F179-G179-H179</f>
        <v>1939778.52</v>
      </c>
      <c r="J179" s="470">
        <v>200000</v>
      </c>
      <c r="K179" s="470">
        <v>0.2</v>
      </c>
      <c r="L179" s="470">
        <f t="shared" ref="L179:L187" si="179">I179*K179</f>
        <v>387955.704</v>
      </c>
      <c r="M179" s="470">
        <f t="shared" ref="M179:M187" si="180">J179+L179</f>
        <v>587955.704</v>
      </c>
      <c r="N179" s="470">
        <f t="shared" si="165"/>
        <v>728458.184</v>
      </c>
      <c r="O179" s="470">
        <f t="shared" si="166"/>
        <v>1351822.816</v>
      </c>
      <c r="P179" s="470">
        <f t="shared" si="167"/>
        <v>21000</v>
      </c>
      <c r="Q179" s="470">
        <f t="shared" si="168"/>
        <v>33000</v>
      </c>
      <c r="R179" s="470">
        <f t="shared" si="169"/>
        <v>75000</v>
      </c>
      <c r="S179" s="470">
        <f t="shared" si="170"/>
        <v>47846.33504</v>
      </c>
      <c r="T179" s="470">
        <f t="shared" si="171"/>
        <v>0</v>
      </c>
      <c r="V179" s="470">
        <f t="shared" si="173"/>
        <v>176846.33504</v>
      </c>
      <c r="W179" s="471">
        <v>12</v>
      </c>
      <c r="X179" s="470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358</v>
      </c>
      <c r="C180" s="807">
        <v>170495.666666667</v>
      </c>
      <c r="D180" s="469">
        <v>12</v>
      </c>
      <c r="E180" s="470">
        <f t="shared" si="177"/>
        <v>2045948</v>
      </c>
      <c r="G180" s="474">
        <v>137755.84</v>
      </c>
      <c r="I180" s="470">
        <f t="shared" si="178"/>
        <v>1908192.16</v>
      </c>
      <c r="J180" s="470">
        <v>200000</v>
      </c>
      <c r="K180" s="470">
        <v>0.2</v>
      </c>
      <c r="L180" s="470">
        <f t="shared" si="179"/>
        <v>381638.432000001</v>
      </c>
      <c r="M180" s="470">
        <f t="shared" si="180"/>
        <v>581638.432000001</v>
      </c>
      <c r="N180" s="470">
        <f t="shared" si="165"/>
        <v>719394.272000001</v>
      </c>
      <c r="O180" s="470">
        <f t="shared" si="166"/>
        <v>1326553.728</v>
      </c>
      <c r="P180" s="470">
        <f t="shared" si="167"/>
        <v>21000</v>
      </c>
      <c r="Q180" s="470">
        <f t="shared" si="168"/>
        <v>33000</v>
      </c>
      <c r="R180" s="470">
        <f t="shared" si="169"/>
        <v>75000</v>
      </c>
      <c r="S180" s="470">
        <f t="shared" si="170"/>
        <v>43045.2083200006</v>
      </c>
      <c r="T180" s="470">
        <f t="shared" si="171"/>
        <v>0</v>
      </c>
      <c r="V180" s="470">
        <f t="shared" si="173"/>
        <v>172045.208320001</v>
      </c>
      <c r="W180" s="471">
        <v>12</v>
      </c>
      <c r="X180" s="470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389</v>
      </c>
      <c r="C181" s="807">
        <v>134014.43</v>
      </c>
      <c r="D181" s="469">
        <v>12</v>
      </c>
      <c r="E181" s="470">
        <f t="shared" si="177"/>
        <v>1608173.16</v>
      </c>
      <c r="G181" s="474">
        <v>132262.56</v>
      </c>
      <c r="I181" s="470">
        <f t="shared" si="178"/>
        <v>1475910.6</v>
      </c>
      <c r="J181" s="470">
        <v>200000</v>
      </c>
      <c r="K181" s="470">
        <v>0.2</v>
      </c>
      <c r="L181" s="470">
        <f t="shared" si="179"/>
        <v>295182.12</v>
      </c>
      <c r="M181" s="470">
        <f t="shared" si="180"/>
        <v>495182.12</v>
      </c>
      <c r="N181" s="470">
        <f t="shared" si="165"/>
        <v>627444.68</v>
      </c>
      <c r="O181" s="470">
        <f t="shared" si="166"/>
        <v>980728.48</v>
      </c>
      <c r="P181" s="470">
        <f t="shared" si="167"/>
        <v>21000</v>
      </c>
      <c r="Q181" s="470">
        <f t="shared" si="168"/>
        <v>33000</v>
      </c>
      <c r="R181" s="470">
        <f t="shared" si="169"/>
        <v>57109.272</v>
      </c>
      <c r="S181" s="470">
        <f t="shared" si="170"/>
        <v>0</v>
      </c>
      <c r="T181" s="470">
        <f t="shared" si="171"/>
        <v>0</v>
      </c>
      <c r="V181" s="470">
        <f t="shared" si="173"/>
        <v>111109.272</v>
      </c>
      <c r="W181" s="471">
        <v>12</v>
      </c>
      <c r="X181" s="470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392</v>
      </c>
      <c r="C182" s="807">
        <v>156912.666666667</v>
      </c>
      <c r="D182" s="469">
        <v>12</v>
      </c>
      <c r="E182" s="470">
        <f t="shared" si="177"/>
        <v>1882952</v>
      </c>
      <c r="G182" s="474">
        <v>129516.16</v>
      </c>
      <c r="I182" s="470">
        <f t="shared" si="178"/>
        <v>1753435.84</v>
      </c>
      <c r="J182" s="470">
        <v>200000</v>
      </c>
      <c r="K182" s="470">
        <v>0.2</v>
      </c>
      <c r="L182" s="470">
        <f t="shared" si="179"/>
        <v>350687.168000001</v>
      </c>
      <c r="M182" s="470">
        <f t="shared" si="180"/>
        <v>550687.168000001</v>
      </c>
      <c r="N182" s="470">
        <f t="shared" si="165"/>
        <v>680203.328000001</v>
      </c>
      <c r="O182" s="470">
        <f t="shared" si="166"/>
        <v>1202748.672</v>
      </c>
      <c r="P182" s="470">
        <f t="shared" si="167"/>
        <v>21000</v>
      </c>
      <c r="Q182" s="470">
        <f t="shared" si="168"/>
        <v>33000</v>
      </c>
      <c r="R182" s="470">
        <f t="shared" si="169"/>
        <v>75000</v>
      </c>
      <c r="S182" s="470">
        <f t="shared" si="170"/>
        <v>19522.2476800006</v>
      </c>
      <c r="T182" s="470">
        <f t="shared" si="171"/>
        <v>0</v>
      </c>
      <c r="V182" s="470">
        <f t="shared" si="173"/>
        <v>148522.247680001</v>
      </c>
      <c r="W182" s="471">
        <v>12</v>
      </c>
      <c r="X182" s="470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396</v>
      </c>
      <c r="C183" s="807">
        <v>148049.416666667</v>
      </c>
      <c r="D183" s="469">
        <v>12</v>
      </c>
      <c r="E183" s="470">
        <f t="shared" si="177"/>
        <v>1776593</v>
      </c>
      <c r="G183" s="474">
        <v>123887.44</v>
      </c>
      <c r="I183" s="470">
        <f t="shared" si="178"/>
        <v>1652705.56</v>
      </c>
      <c r="J183" s="470">
        <v>200000</v>
      </c>
      <c r="K183" s="470">
        <v>0.2</v>
      </c>
      <c r="L183" s="470">
        <f t="shared" si="179"/>
        <v>330541.112000001</v>
      </c>
      <c r="M183" s="470">
        <f t="shared" si="180"/>
        <v>530541.112000001</v>
      </c>
      <c r="N183" s="470">
        <f t="shared" si="165"/>
        <v>654428.552000001</v>
      </c>
      <c r="O183" s="470">
        <f t="shared" si="166"/>
        <v>1122164.448</v>
      </c>
      <c r="P183" s="470">
        <f t="shared" si="167"/>
        <v>21000</v>
      </c>
      <c r="Q183" s="470">
        <f t="shared" si="168"/>
        <v>33000</v>
      </c>
      <c r="R183" s="470">
        <f t="shared" si="169"/>
        <v>75000</v>
      </c>
      <c r="S183" s="470">
        <f t="shared" si="170"/>
        <v>4211.24512000064</v>
      </c>
      <c r="T183" s="470">
        <f t="shared" si="171"/>
        <v>0</v>
      </c>
      <c r="V183" s="470">
        <f t="shared" si="173"/>
        <v>133211.245120001</v>
      </c>
      <c r="W183" s="471">
        <v>12</v>
      </c>
      <c r="X183" s="470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399</v>
      </c>
      <c r="C184" s="807">
        <v>148049.416666667</v>
      </c>
      <c r="D184" s="469">
        <v>12</v>
      </c>
      <c r="E184" s="470">
        <f t="shared" si="177"/>
        <v>1776593</v>
      </c>
      <c r="G184" s="474">
        <v>123887.44</v>
      </c>
      <c r="I184" s="470">
        <f t="shared" si="178"/>
        <v>1652705.56</v>
      </c>
      <c r="J184" s="470">
        <v>200000</v>
      </c>
      <c r="K184" s="470">
        <v>0.2</v>
      </c>
      <c r="L184" s="470">
        <f t="shared" si="179"/>
        <v>330541.112000001</v>
      </c>
      <c r="M184" s="470">
        <f t="shared" si="180"/>
        <v>530541.112000001</v>
      </c>
      <c r="N184" s="470">
        <f t="shared" si="165"/>
        <v>654428.552000001</v>
      </c>
      <c r="O184" s="470">
        <f t="shared" si="166"/>
        <v>1122164.448</v>
      </c>
      <c r="P184" s="470">
        <f t="shared" si="167"/>
        <v>21000</v>
      </c>
      <c r="Q184" s="470">
        <f t="shared" si="168"/>
        <v>33000</v>
      </c>
      <c r="R184" s="470">
        <f t="shared" si="169"/>
        <v>75000</v>
      </c>
      <c r="S184" s="470">
        <f t="shared" si="170"/>
        <v>4211.24512000064</v>
      </c>
      <c r="T184" s="470">
        <f t="shared" si="171"/>
        <v>0</v>
      </c>
      <c r="V184" s="470">
        <f t="shared" si="173"/>
        <v>133211.245120001</v>
      </c>
      <c r="W184" s="471">
        <v>12</v>
      </c>
      <c r="X184" s="470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400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70">
        <v>200000</v>
      </c>
      <c r="K185" s="470">
        <v>0.2</v>
      </c>
      <c r="L185" s="470">
        <f t="shared" si="179"/>
        <v>330541.112000001</v>
      </c>
      <c r="M185" s="470">
        <f t="shared" si="180"/>
        <v>530541.112000001</v>
      </c>
      <c r="N185" s="470">
        <f t="shared" si="165"/>
        <v>654428.552000001</v>
      </c>
      <c r="O185" s="470">
        <f t="shared" si="166"/>
        <v>1122164.448</v>
      </c>
      <c r="P185" s="470">
        <f t="shared" si="167"/>
        <v>21000</v>
      </c>
      <c r="Q185" s="470">
        <f t="shared" si="168"/>
        <v>33000</v>
      </c>
      <c r="R185" s="470">
        <f t="shared" si="169"/>
        <v>75000</v>
      </c>
      <c r="S185" s="470">
        <f t="shared" si="170"/>
        <v>4211.24512000064</v>
      </c>
      <c r="T185" s="470">
        <f t="shared" si="171"/>
        <v>0</v>
      </c>
      <c r="V185" s="470">
        <f t="shared" si="173"/>
        <v>133211.245120001</v>
      </c>
      <c r="W185" s="471">
        <v>12</v>
      </c>
      <c r="X185" s="470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401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70">
        <f t="shared" si="171"/>
        <v>0</v>
      </c>
      <c r="V186" s="486">
        <f t="shared" si="173"/>
        <v>158124.221440001</v>
      </c>
      <c r="W186" s="490">
        <v>12</v>
      </c>
      <c r="X186" s="486">
        <f t="shared" si="174"/>
        <v>13177.0184533334</v>
      </c>
      <c r="Z186" s="932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404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70">
        <f t="shared" si="171"/>
        <v>0</v>
      </c>
      <c r="V187" s="486">
        <f t="shared" si="173"/>
        <v>158124.221440001</v>
      </c>
      <c r="W187" s="490">
        <v>12</v>
      </c>
      <c r="X187" s="486">
        <f t="shared" si="174"/>
        <v>13177.0184533334</v>
      </c>
      <c r="Z187" s="932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 t="shared" ref="X188:AB188" si="182">SUM(X6:X187)</f>
        <v>13659428.762119</v>
      </c>
      <c r="Y188" s="934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8">
      <c r="B189" s="33"/>
      <c r="C189" s="473"/>
      <c r="F189" s="500"/>
      <c r="Z189" s="296"/>
    </row>
    <row r="190" spans="2:28">
      <c r="F190" s="501"/>
      <c r="Z190" s="619"/>
    </row>
    <row r="191" spans="2:28">
      <c r="Z191" s="296"/>
    </row>
    <row r="192" spans="2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683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612</v>
      </c>
      <c r="F4" s="906" t="s">
        <v>589</v>
      </c>
      <c r="G4" s="218" t="s">
        <v>613</v>
      </c>
      <c r="H4" s="218" t="s">
        <v>614</v>
      </c>
      <c r="I4" s="218" t="s">
        <v>615</v>
      </c>
      <c r="J4" s="907" t="s">
        <v>616</v>
      </c>
      <c r="K4" s="907" t="s">
        <v>617</v>
      </c>
      <c r="L4" s="907" t="s">
        <v>618</v>
      </c>
      <c r="M4" s="907" t="s">
        <v>619</v>
      </c>
      <c r="N4" s="907" t="s">
        <v>620</v>
      </c>
      <c r="O4" s="907" t="s">
        <v>598</v>
      </c>
      <c r="P4" s="907" t="s">
        <v>621</v>
      </c>
      <c r="Q4" s="907" t="s">
        <v>622</v>
      </c>
    </row>
    <row r="5" ht="17.25" customHeight="1" spans="1:17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</row>
    <row r="6" ht="17.25" customHeight="1" spans="1:17">
      <c r="A6" s="4"/>
      <c r="B6" s="4"/>
      <c r="C6" s="8"/>
      <c r="D6" s="8"/>
      <c r="E6" s="10" t="s">
        <v>623</v>
      </c>
      <c r="F6" s="909" t="s">
        <v>624</v>
      </c>
      <c r="G6" s="10" t="s">
        <v>625</v>
      </c>
      <c r="H6" s="10" t="s">
        <v>626</v>
      </c>
      <c r="I6" s="910" t="s">
        <v>627</v>
      </c>
      <c r="J6" s="910" t="s">
        <v>628</v>
      </c>
      <c r="K6" s="910" t="s">
        <v>629</v>
      </c>
      <c r="L6" s="910" t="s">
        <v>630</v>
      </c>
      <c r="M6" s="910" t="s">
        <v>631</v>
      </c>
      <c r="N6" s="910" t="s">
        <v>632</v>
      </c>
      <c r="O6" s="910" t="s">
        <v>633</v>
      </c>
      <c r="P6" s="910" t="s">
        <v>634</v>
      </c>
      <c r="Q6" s="910" t="s">
        <v>635</v>
      </c>
    </row>
    <row r="7" customHeight="1" spans="1:17">
      <c r="A7" s="9" t="s">
        <v>22</v>
      </c>
      <c r="B7" s="8" t="s">
        <v>23</v>
      </c>
      <c r="C7" s="8"/>
      <c r="D7" s="8"/>
      <c r="E7" s="10"/>
      <c r="F7" s="909"/>
      <c r="G7" s="10"/>
      <c r="H7" s="10" t="s">
        <v>636</v>
      </c>
      <c r="I7" s="10" t="s">
        <v>637</v>
      </c>
      <c r="J7" s="910" t="s">
        <v>638</v>
      </c>
      <c r="K7" s="910" t="s">
        <v>639</v>
      </c>
      <c r="L7" s="910" t="s">
        <v>640</v>
      </c>
      <c r="M7" s="910"/>
      <c r="N7" s="910" t="s">
        <v>641</v>
      </c>
      <c r="O7" s="910" t="s">
        <v>642</v>
      </c>
      <c r="P7" s="910" t="s">
        <v>642</v>
      </c>
      <c r="Q7" s="910" t="s">
        <v>642</v>
      </c>
    </row>
    <row r="8" customHeight="1" spans="1:1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2"/>
      <c r="K8" s="912"/>
      <c r="L8" s="912">
        <f t="shared" ref="L8:L38" si="2">K8-J8</f>
        <v>0</v>
      </c>
      <c r="M8" s="912"/>
      <c r="N8" s="912"/>
      <c r="O8" s="912">
        <f t="shared" ref="O8:O38" si="3">N8-M8</f>
        <v>0</v>
      </c>
      <c r="P8" s="912">
        <f t="shared" ref="P8:P38" si="4">K8*12</f>
        <v>0</v>
      </c>
      <c r="Q8" s="912">
        <f t="shared" ref="Q8:Q38" si="5">N8*12</f>
        <v>0</v>
      </c>
    </row>
    <row r="9" customHeight="1" spans="1:1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2">
        <v>60989.8533333333</v>
      </c>
      <c r="K9" s="912">
        <f t="shared" ref="K9:K38" si="6">H9*0.08</f>
        <v>72424.54</v>
      </c>
      <c r="L9" s="912">
        <f t="shared" si="2"/>
        <v>11434.6866666667</v>
      </c>
      <c r="M9" s="912"/>
      <c r="N9" s="912"/>
      <c r="O9" s="912">
        <f t="shared" si="3"/>
        <v>0</v>
      </c>
      <c r="P9" s="912">
        <f t="shared" si="4"/>
        <v>869094.48</v>
      </c>
      <c r="Q9" s="912">
        <f t="shared" si="5"/>
        <v>0</v>
      </c>
    </row>
    <row r="10" customHeight="1" spans="1:1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2"/>
      <c r="K10" s="912"/>
      <c r="L10" s="912">
        <f t="shared" si="2"/>
        <v>0</v>
      </c>
      <c r="M10" s="912"/>
      <c r="N10" s="912"/>
      <c r="O10" s="912">
        <f t="shared" si="3"/>
        <v>0</v>
      </c>
      <c r="P10" s="912">
        <f t="shared" si="4"/>
        <v>0</v>
      </c>
      <c r="Q10" s="912">
        <f t="shared" si="5"/>
        <v>0</v>
      </c>
    </row>
    <row r="11" customHeight="1" spans="1:1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2">
        <v>60989.8533333333</v>
      </c>
      <c r="K11" s="912">
        <f t="shared" si="6"/>
        <v>72424.54</v>
      </c>
      <c r="L11" s="912">
        <f t="shared" si="2"/>
        <v>11434.6866666667</v>
      </c>
      <c r="M11" s="912">
        <v>10293.3979166667</v>
      </c>
      <c r="N11" s="912">
        <f t="shared" ref="N11:N13" si="7">0.025*F11</f>
        <v>13866.7375</v>
      </c>
      <c r="O11" s="912">
        <f t="shared" si="3"/>
        <v>3573.3395833333</v>
      </c>
      <c r="P11" s="912">
        <f t="shared" si="4"/>
        <v>869094.48</v>
      </c>
      <c r="Q11" s="912">
        <f t="shared" si="5"/>
        <v>166400.85</v>
      </c>
    </row>
    <row r="12" customHeight="1" spans="1:17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2">
        <v>59136.2866666667</v>
      </c>
      <c r="K12" s="912">
        <f t="shared" si="6"/>
        <v>68216.8866666667</v>
      </c>
      <c r="L12" s="912">
        <f t="shared" si="2"/>
        <v>9080.59999999995</v>
      </c>
      <c r="M12" s="912">
        <v>10293.3979166667</v>
      </c>
      <c r="N12" s="912">
        <f t="shared" si="7"/>
        <v>13084.6625</v>
      </c>
      <c r="O12" s="912">
        <f t="shared" si="3"/>
        <v>2791.2645833333</v>
      </c>
      <c r="P12" s="912">
        <f t="shared" si="4"/>
        <v>818602.64</v>
      </c>
      <c r="Q12" s="912">
        <f t="shared" si="5"/>
        <v>157015.95</v>
      </c>
    </row>
    <row r="13" customHeight="1" spans="1:17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2">
        <v>46569.4466666667</v>
      </c>
      <c r="K13" s="912">
        <f t="shared" si="6"/>
        <v>57807.64</v>
      </c>
      <c r="L13" s="912">
        <f t="shared" si="2"/>
        <v>11238.1933333333</v>
      </c>
      <c r="M13" s="912">
        <v>7859.63125</v>
      </c>
      <c r="N13" s="912">
        <f t="shared" si="7"/>
        <v>11149.8958333333</v>
      </c>
      <c r="O13" s="912">
        <f t="shared" si="3"/>
        <v>3290.26458333333</v>
      </c>
      <c r="P13" s="912">
        <f t="shared" si="4"/>
        <v>693691.68</v>
      </c>
      <c r="Q13" s="912">
        <f t="shared" si="5"/>
        <v>133798.75</v>
      </c>
    </row>
    <row r="14" customHeight="1" spans="1:17">
      <c r="A14" s="10">
        <v>7</v>
      </c>
      <c r="B14" s="11" t="s">
        <v>40</v>
      </c>
      <c r="C14" s="4" t="s">
        <v>643</v>
      </c>
      <c r="D14" s="15" t="s">
        <v>192</v>
      </c>
      <c r="E14" s="85">
        <v>484373.75</v>
      </c>
      <c r="F14" s="911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2">
        <v>38749.9</v>
      </c>
      <c r="K14" s="912">
        <f t="shared" si="6"/>
        <v>47172.56</v>
      </c>
      <c r="L14" s="912">
        <f t="shared" si="2"/>
        <v>8422.66</v>
      </c>
      <c r="M14" s="912"/>
      <c r="N14" s="912"/>
      <c r="O14" s="912">
        <f t="shared" si="3"/>
        <v>0</v>
      </c>
      <c r="P14" s="912">
        <f t="shared" si="4"/>
        <v>566070.72</v>
      </c>
      <c r="Q14" s="912">
        <f t="shared" si="5"/>
        <v>0</v>
      </c>
    </row>
    <row r="15" customHeight="1" spans="1:17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2">
        <v>46569.45</v>
      </c>
      <c r="K15" s="912">
        <f t="shared" si="6"/>
        <v>57807.64</v>
      </c>
      <c r="L15" s="912">
        <f t="shared" si="2"/>
        <v>11238.19</v>
      </c>
      <c r="M15" s="912"/>
      <c r="N15" s="912"/>
      <c r="O15" s="912">
        <f t="shared" si="3"/>
        <v>0</v>
      </c>
      <c r="P15" s="912">
        <f t="shared" si="4"/>
        <v>693691.68</v>
      </c>
      <c r="Q15" s="912">
        <f t="shared" si="5"/>
        <v>0</v>
      </c>
    </row>
    <row r="16" customHeight="1" spans="1:17">
      <c r="A16" s="10">
        <v>9</v>
      </c>
      <c r="B16" s="11" t="s">
        <v>45</v>
      </c>
      <c r="C16" s="4" t="s">
        <v>46</v>
      </c>
      <c r="D16" s="10" t="s">
        <v>214</v>
      </c>
      <c r="E16" s="85">
        <v>456622.25</v>
      </c>
      <c r="F16" s="911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2">
        <v>35419.72</v>
      </c>
      <c r="K16" s="912">
        <f t="shared" si="6"/>
        <v>44653.22</v>
      </c>
      <c r="L16" s="912">
        <f t="shared" si="2"/>
        <v>9233.5</v>
      </c>
      <c r="M16" s="912"/>
      <c r="N16" s="912"/>
      <c r="O16" s="912">
        <f t="shared" si="3"/>
        <v>0</v>
      </c>
      <c r="P16" s="912">
        <f t="shared" si="4"/>
        <v>535838.64</v>
      </c>
      <c r="Q16" s="912">
        <f t="shared" si="5"/>
        <v>0</v>
      </c>
    </row>
    <row r="17" customHeight="1" spans="1:17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2">
        <v>46569.45</v>
      </c>
      <c r="K17" s="912">
        <f t="shared" si="6"/>
        <v>56057.1133333333</v>
      </c>
      <c r="L17" s="912">
        <f t="shared" si="2"/>
        <v>9487.66333333329</v>
      </c>
      <c r="M17" s="912"/>
      <c r="N17" s="912"/>
      <c r="O17" s="912">
        <f t="shared" si="3"/>
        <v>0</v>
      </c>
      <c r="P17" s="912">
        <f t="shared" si="4"/>
        <v>672685.359999999</v>
      </c>
      <c r="Q17" s="912">
        <f t="shared" si="5"/>
        <v>0</v>
      </c>
    </row>
    <row r="18" customHeight="1" spans="1:17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2">
        <v>34313.2733333333</v>
      </c>
      <c r="K18" s="912">
        <f t="shared" si="6"/>
        <v>43308.1066666666</v>
      </c>
      <c r="L18" s="912">
        <f t="shared" si="2"/>
        <v>8994.83333333334</v>
      </c>
      <c r="M18" s="912"/>
      <c r="N18" s="912"/>
      <c r="O18" s="912">
        <f t="shared" si="3"/>
        <v>0</v>
      </c>
      <c r="P18" s="912">
        <f t="shared" si="4"/>
        <v>519697.28</v>
      </c>
      <c r="Q18" s="912">
        <f t="shared" si="5"/>
        <v>0</v>
      </c>
    </row>
    <row r="19" customHeight="1" spans="1:17">
      <c r="A19" s="10">
        <v>12</v>
      </c>
      <c r="B19" s="18" t="s">
        <v>54</v>
      </c>
      <c r="C19" s="4" t="s">
        <v>55</v>
      </c>
      <c r="D19" s="15" t="s">
        <v>644</v>
      </c>
      <c r="E19" s="85">
        <v>428915.916666667</v>
      </c>
      <c r="F19" s="911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2">
        <v>33282.1533333333</v>
      </c>
      <c r="K19" s="912">
        <f t="shared" si="6"/>
        <v>42138.0066666667</v>
      </c>
      <c r="L19" s="912">
        <f t="shared" si="2"/>
        <v>8855.85333333342</v>
      </c>
      <c r="M19" s="912">
        <v>5607.17708333333</v>
      </c>
      <c r="N19" s="912">
        <f t="shared" ref="N19:N22" si="8">0.025*F19</f>
        <v>8226.12291666667</v>
      </c>
      <c r="O19" s="912">
        <f t="shared" si="3"/>
        <v>2618.94583333334</v>
      </c>
      <c r="P19" s="912">
        <f t="shared" si="4"/>
        <v>505656.080000001</v>
      </c>
      <c r="Q19" s="912">
        <f t="shared" si="5"/>
        <v>98713.4750000001</v>
      </c>
    </row>
    <row r="20" customHeight="1" spans="1:17">
      <c r="A20" s="10">
        <v>13</v>
      </c>
      <c r="B20" s="18" t="s">
        <v>57</v>
      </c>
      <c r="C20" s="4" t="s">
        <v>58</v>
      </c>
      <c r="D20" s="15" t="s">
        <v>602</v>
      </c>
      <c r="E20" s="680">
        <v>403138</v>
      </c>
      <c r="F20" s="911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2">
        <v>31219.9133333334</v>
      </c>
      <c r="K20" s="912">
        <f t="shared" si="6"/>
        <v>39797.82</v>
      </c>
      <c r="L20" s="912">
        <f t="shared" si="2"/>
        <v>8577.9066666666</v>
      </c>
      <c r="M20" s="912">
        <v>5967.30625</v>
      </c>
      <c r="N20" s="912">
        <f t="shared" si="8"/>
        <v>7791.83125</v>
      </c>
      <c r="O20" s="912">
        <f t="shared" si="3"/>
        <v>1824.525</v>
      </c>
      <c r="P20" s="912">
        <f t="shared" si="4"/>
        <v>477573.84</v>
      </c>
      <c r="Q20" s="912">
        <f t="shared" si="5"/>
        <v>93501.975</v>
      </c>
    </row>
    <row r="21" customHeight="1" spans="1:17">
      <c r="A21" s="10">
        <v>14</v>
      </c>
      <c r="B21" s="18" t="s">
        <v>60</v>
      </c>
      <c r="C21" s="4" t="s">
        <v>61</v>
      </c>
      <c r="D21" s="15" t="s">
        <v>602</v>
      </c>
      <c r="E21" s="680">
        <v>403138</v>
      </c>
      <c r="F21" s="911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2">
        <v>31219.9133333334</v>
      </c>
      <c r="K21" s="912">
        <f t="shared" si="6"/>
        <v>39797.82</v>
      </c>
      <c r="L21" s="912">
        <f t="shared" si="2"/>
        <v>8577.9066666666</v>
      </c>
      <c r="M21" s="912"/>
      <c r="N21" s="912"/>
      <c r="O21" s="912">
        <f t="shared" si="3"/>
        <v>0</v>
      </c>
      <c r="P21" s="912">
        <f t="shared" si="4"/>
        <v>477573.84</v>
      </c>
      <c r="Q21" s="912">
        <f t="shared" si="5"/>
        <v>0</v>
      </c>
    </row>
    <row r="22" customHeight="1" spans="1:17">
      <c r="A22" s="10">
        <v>15</v>
      </c>
      <c r="B22" s="11" t="s">
        <v>62</v>
      </c>
      <c r="C22" s="12" t="s">
        <v>645</v>
      </c>
      <c r="D22" s="15" t="s">
        <v>261</v>
      </c>
      <c r="E22" s="85">
        <v>402278</v>
      </c>
      <c r="F22" s="911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2">
        <v>31206.92</v>
      </c>
      <c r="K22" s="912">
        <f t="shared" si="6"/>
        <v>39719.7733333333</v>
      </c>
      <c r="L22" s="912">
        <f t="shared" si="2"/>
        <v>8512.85333333334</v>
      </c>
      <c r="M22" s="912">
        <v>5257.5625</v>
      </c>
      <c r="N22" s="912">
        <f t="shared" si="8"/>
        <v>7777.36041666667</v>
      </c>
      <c r="O22" s="912">
        <f t="shared" si="3"/>
        <v>2519.79791666667</v>
      </c>
      <c r="P22" s="912">
        <f t="shared" si="4"/>
        <v>476637.28</v>
      </c>
      <c r="Q22" s="912">
        <f t="shared" si="5"/>
        <v>93328.325</v>
      </c>
    </row>
    <row r="23" ht="18.75" customHeight="1" spans="1:17">
      <c r="A23" s="10">
        <v>16</v>
      </c>
      <c r="B23" s="11" t="s">
        <v>65</v>
      </c>
      <c r="C23" s="12" t="s">
        <v>178</v>
      </c>
      <c r="D23" s="15" t="s">
        <v>173</v>
      </c>
      <c r="E23" s="85">
        <v>390086.5</v>
      </c>
      <c r="F23" s="911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2">
        <v>30231.6133333333</v>
      </c>
      <c r="K23" s="912">
        <f t="shared" si="6"/>
        <v>38613.0133333334</v>
      </c>
      <c r="L23" s="912">
        <f t="shared" si="2"/>
        <v>8381.40000000006</v>
      </c>
      <c r="M23" s="912"/>
      <c r="N23" s="912"/>
      <c r="O23" s="912">
        <f t="shared" si="3"/>
        <v>0</v>
      </c>
      <c r="P23" s="912">
        <f t="shared" si="4"/>
        <v>463356.16</v>
      </c>
      <c r="Q23" s="912">
        <f t="shared" si="5"/>
        <v>0</v>
      </c>
    </row>
    <row r="24" customHeight="1" spans="1:17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2">
        <v>28281</v>
      </c>
      <c r="K24" s="912">
        <f t="shared" si="6"/>
        <v>36399.4866666666</v>
      </c>
      <c r="L24" s="912">
        <f t="shared" si="2"/>
        <v>8118.48666666664</v>
      </c>
      <c r="M24" s="912"/>
      <c r="N24" s="912"/>
      <c r="O24" s="912">
        <f t="shared" si="3"/>
        <v>0</v>
      </c>
      <c r="P24" s="912">
        <f t="shared" si="4"/>
        <v>436793.84</v>
      </c>
      <c r="Q24" s="912">
        <f t="shared" si="5"/>
        <v>0</v>
      </c>
    </row>
    <row r="25" ht="21.6" customHeight="1" spans="1:17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2">
        <v>28281</v>
      </c>
      <c r="K25" s="912">
        <f t="shared" si="6"/>
        <v>36399.4866666666</v>
      </c>
      <c r="L25" s="912">
        <f t="shared" si="2"/>
        <v>8118.48666666664</v>
      </c>
      <c r="M25" s="912"/>
      <c r="N25" s="912"/>
      <c r="O25" s="912">
        <f t="shared" si="3"/>
        <v>0</v>
      </c>
      <c r="P25" s="912">
        <f t="shared" si="4"/>
        <v>436793.84</v>
      </c>
      <c r="Q25" s="912">
        <f t="shared" si="5"/>
        <v>0</v>
      </c>
    </row>
    <row r="26" customHeight="1" spans="1:17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2">
        <v>23442.3733333333</v>
      </c>
      <c r="K26" s="912">
        <f t="shared" si="6"/>
        <v>30491.2533333333</v>
      </c>
      <c r="L26" s="912">
        <f t="shared" si="2"/>
        <v>7048.87999999998</v>
      </c>
      <c r="M26" s="912"/>
      <c r="N26" s="912"/>
      <c r="O26" s="912">
        <f t="shared" si="3"/>
        <v>0</v>
      </c>
      <c r="P26" s="912">
        <f t="shared" si="4"/>
        <v>365895.039999999</v>
      </c>
      <c r="Q26" s="912">
        <f t="shared" si="5"/>
        <v>0</v>
      </c>
    </row>
    <row r="27" customHeight="1" spans="1:17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2">
        <v>23442.3733333334</v>
      </c>
      <c r="K27" s="912">
        <f t="shared" si="6"/>
        <v>30491.2533333333</v>
      </c>
      <c r="L27" s="912">
        <f t="shared" si="2"/>
        <v>7048.87999999988</v>
      </c>
      <c r="M27" s="912"/>
      <c r="N27" s="912"/>
      <c r="O27" s="912">
        <f t="shared" si="3"/>
        <v>0</v>
      </c>
      <c r="P27" s="912">
        <f t="shared" si="4"/>
        <v>365895.039999999</v>
      </c>
      <c r="Q27" s="912">
        <f t="shared" si="5"/>
        <v>0</v>
      </c>
    </row>
    <row r="28" ht="18.75" customHeight="1" spans="1:17">
      <c r="A28" s="10">
        <v>21</v>
      </c>
      <c r="B28" s="4" t="s">
        <v>478</v>
      </c>
      <c r="C28" s="4" t="s">
        <v>94</v>
      </c>
      <c r="D28" s="10" t="s">
        <v>156</v>
      </c>
      <c r="E28" s="85">
        <v>277798</v>
      </c>
      <c r="F28" s="911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2">
        <v>21638.5333333333</v>
      </c>
      <c r="K28" s="912">
        <f t="shared" si="6"/>
        <v>28425.6533333334</v>
      </c>
      <c r="L28" s="912">
        <f t="shared" si="2"/>
        <v>6787.12000000006</v>
      </c>
      <c r="M28" s="912"/>
      <c r="N28" s="912"/>
      <c r="O28" s="912">
        <f t="shared" si="3"/>
        <v>0</v>
      </c>
      <c r="P28" s="912">
        <f t="shared" si="4"/>
        <v>341107.84</v>
      </c>
      <c r="Q28" s="912">
        <f t="shared" si="5"/>
        <v>0</v>
      </c>
    </row>
    <row r="29" ht="18.75" customHeight="1" spans="1:17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2">
        <v>21638.5333333333</v>
      </c>
      <c r="K29" s="912">
        <f t="shared" si="6"/>
        <v>28425.6533333334</v>
      </c>
      <c r="L29" s="912">
        <f t="shared" si="2"/>
        <v>6787.12000000006</v>
      </c>
      <c r="M29" s="912"/>
      <c r="N29" s="912"/>
      <c r="O29" s="912">
        <f t="shared" si="3"/>
        <v>0</v>
      </c>
      <c r="P29" s="912">
        <f t="shared" si="4"/>
        <v>341107.84</v>
      </c>
      <c r="Q29" s="912">
        <f t="shared" si="5"/>
        <v>0</v>
      </c>
    </row>
    <row r="30" customHeight="1" spans="1:17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2">
        <v>21638.5333333333</v>
      </c>
      <c r="K30" s="912">
        <f t="shared" si="6"/>
        <v>28425.6533333334</v>
      </c>
      <c r="L30" s="912">
        <f t="shared" si="2"/>
        <v>6787.12000000006</v>
      </c>
      <c r="M30" s="912"/>
      <c r="N30" s="912"/>
      <c r="O30" s="912">
        <f t="shared" si="3"/>
        <v>0</v>
      </c>
      <c r="P30" s="912">
        <f t="shared" si="4"/>
        <v>341107.84</v>
      </c>
      <c r="Q30" s="912">
        <f t="shared" si="5"/>
        <v>0</v>
      </c>
    </row>
    <row r="31" ht="18.75" customHeight="1" spans="1:17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2">
        <v>21053.2266666667</v>
      </c>
      <c r="K31" s="912">
        <f t="shared" si="6"/>
        <v>27761.2933333333</v>
      </c>
      <c r="L31" s="912">
        <f t="shared" si="2"/>
        <v>6708.06666666658</v>
      </c>
      <c r="M31" s="912"/>
      <c r="N31" s="912"/>
      <c r="O31" s="912">
        <f t="shared" si="3"/>
        <v>0</v>
      </c>
      <c r="P31" s="912">
        <f t="shared" si="4"/>
        <v>333135.519999999</v>
      </c>
      <c r="Q31" s="912">
        <f t="shared" si="5"/>
        <v>0</v>
      </c>
    </row>
    <row r="32" ht="18.75" customHeight="1" spans="1:17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2">
        <v>20467.92</v>
      </c>
      <c r="K32" s="912">
        <f t="shared" si="6"/>
        <v>27096.9333333334</v>
      </c>
      <c r="L32" s="912">
        <f t="shared" si="2"/>
        <v>6629.01333333336</v>
      </c>
      <c r="M32" s="912"/>
      <c r="N32" s="912"/>
      <c r="O32" s="912">
        <f t="shared" si="3"/>
        <v>0</v>
      </c>
      <c r="P32" s="912">
        <f t="shared" si="4"/>
        <v>325163.2</v>
      </c>
      <c r="Q32" s="912">
        <f t="shared" si="5"/>
        <v>0</v>
      </c>
    </row>
    <row r="33" ht="18.75" customHeight="1" spans="1:17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2">
        <v>20467.92</v>
      </c>
      <c r="K33" s="912">
        <f t="shared" si="6"/>
        <v>27096.9333333334</v>
      </c>
      <c r="L33" s="912">
        <f t="shared" si="2"/>
        <v>6629.01333333336</v>
      </c>
      <c r="M33" s="912"/>
      <c r="N33" s="912"/>
      <c r="O33" s="912">
        <f t="shared" si="3"/>
        <v>0</v>
      </c>
      <c r="P33" s="912">
        <f t="shared" si="4"/>
        <v>325163.2</v>
      </c>
      <c r="Q33" s="912">
        <f t="shared" si="5"/>
        <v>0</v>
      </c>
    </row>
    <row r="34" ht="18.75" customHeight="1" spans="1:17">
      <c r="A34" s="10">
        <v>27</v>
      </c>
      <c r="B34" s="18" t="s">
        <v>91</v>
      </c>
      <c r="C34" s="17" t="s">
        <v>646</v>
      </c>
      <c r="D34" s="15" t="s">
        <v>156</v>
      </c>
      <c r="E34" s="85">
        <v>277798</v>
      </c>
      <c r="F34" s="911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2">
        <v>21638.5333333333</v>
      </c>
      <c r="K34" s="912">
        <f t="shared" si="6"/>
        <v>28425.6533333334</v>
      </c>
      <c r="L34" s="912">
        <f t="shared" si="2"/>
        <v>6787.12000000006</v>
      </c>
      <c r="M34" s="912">
        <v>3653.5</v>
      </c>
      <c r="N34" s="912">
        <f>0.025*F34</f>
        <v>5690.39375</v>
      </c>
      <c r="O34" s="912">
        <f t="shared" si="3"/>
        <v>2036.89375</v>
      </c>
      <c r="P34" s="912">
        <f t="shared" si="4"/>
        <v>341107.84</v>
      </c>
      <c r="Q34" s="912">
        <f t="shared" si="5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2">
        <v>20467.92</v>
      </c>
      <c r="K35" s="912">
        <f t="shared" si="6"/>
        <v>27096.9333333334</v>
      </c>
      <c r="L35" s="912">
        <f t="shared" si="2"/>
        <v>6629.01333333336</v>
      </c>
      <c r="M35" s="912"/>
      <c r="N35" s="912"/>
      <c r="O35" s="912">
        <f t="shared" si="3"/>
        <v>0</v>
      </c>
      <c r="P35" s="912">
        <f t="shared" si="4"/>
        <v>325163.2</v>
      </c>
      <c r="Q35" s="912">
        <f t="shared" si="5"/>
        <v>0</v>
      </c>
    </row>
    <row r="36" ht="18.75" customHeight="1" spans="1:17">
      <c r="A36" s="10">
        <v>29</v>
      </c>
      <c r="B36" s="18" t="s">
        <v>95</v>
      </c>
      <c r="C36" s="4" t="s">
        <v>647</v>
      </c>
      <c r="D36" s="10" t="s">
        <v>99</v>
      </c>
      <c r="E36" s="85">
        <v>263165.333333333</v>
      </c>
      <c r="F36" s="911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2">
        <v>20467.92</v>
      </c>
      <c r="K36" s="912">
        <f t="shared" si="6"/>
        <v>27096.9333333334</v>
      </c>
      <c r="L36" s="912">
        <f t="shared" si="2"/>
        <v>6629.01333333336</v>
      </c>
      <c r="M36" s="912"/>
      <c r="N36" s="912"/>
      <c r="O36" s="912">
        <f t="shared" si="3"/>
        <v>0</v>
      </c>
      <c r="P36" s="912">
        <f t="shared" si="4"/>
        <v>325163.2</v>
      </c>
      <c r="Q36" s="912">
        <f t="shared" si="5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2">
        <v>17956.78</v>
      </c>
      <c r="K37" s="912">
        <f t="shared" si="6"/>
        <v>24152.86</v>
      </c>
      <c r="L37" s="912">
        <f t="shared" si="2"/>
        <v>6196.08</v>
      </c>
      <c r="M37" s="912"/>
      <c r="N37" s="912"/>
      <c r="O37" s="912">
        <f t="shared" si="3"/>
        <v>0</v>
      </c>
      <c r="P37" s="912">
        <f t="shared" si="4"/>
        <v>289834.32</v>
      </c>
      <c r="Q37" s="912">
        <f t="shared" si="5"/>
        <v>0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2">
        <v>17463.0066666666</v>
      </c>
      <c r="K38" s="912">
        <f t="shared" si="6"/>
        <v>23592.0666666667</v>
      </c>
      <c r="L38" s="912">
        <f t="shared" si="2"/>
        <v>6129.06000000012</v>
      </c>
      <c r="M38" s="912"/>
      <c r="N38" s="912"/>
      <c r="O38" s="912">
        <f t="shared" si="3"/>
        <v>0</v>
      </c>
      <c r="P38" s="912">
        <f t="shared" si="4"/>
        <v>283104.800000001</v>
      </c>
      <c r="Q38" s="912">
        <f t="shared" si="5"/>
        <v>0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9">SUM(E8:E38)</f>
        <v>14073003.667</v>
      </c>
      <c r="F39" s="913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67587.0041666666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3"/>
      <c r="G40" s="221"/>
      <c r="H40" s="220"/>
      <c r="I40" s="220"/>
      <c r="J40" s="912"/>
      <c r="K40" s="912"/>
      <c r="L40" s="912"/>
      <c r="M40" s="912"/>
      <c r="N40" s="912"/>
      <c r="O40" s="912"/>
      <c r="P40" s="912"/>
      <c r="Q40" s="912"/>
    </row>
    <row r="41" ht="18.75" customHeight="1" spans="1:17">
      <c r="A41" s="10"/>
      <c r="B41" s="20" t="s">
        <v>121</v>
      </c>
      <c r="C41" s="4"/>
      <c r="D41" s="15"/>
      <c r="E41" s="85"/>
      <c r="F41" s="911"/>
      <c r="G41" s="85"/>
      <c r="H41" s="220"/>
      <c r="I41" s="220"/>
      <c r="J41" s="912"/>
      <c r="K41" s="912"/>
      <c r="L41" s="912"/>
      <c r="M41" s="912"/>
      <c r="N41" s="912"/>
      <c r="O41" s="912"/>
      <c r="P41" s="912"/>
      <c r="Q41" s="912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220">
        <v>660329.333333333</v>
      </c>
      <c r="H42" s="914">
        <f t="shared" ref="H42:H45" si="10">F42+G42</f>
        <v>1747106.41666666</v>
      </c>
      <c r="I42" s="220">
        <f t="shared" ref="I42:I45" si="11">H42-E42</f>
        <v>311386.416666663</v>
      </c>
      <c r="J42" s="912">
        <v>114857.6</v>
      </c>
      <c r="K42" s="912">
        <f t="shared" ref="K42:K45" si="12">H42*0.08</f>
        <v>139768.513333333</v>
      </c>
      <c r="L42" s="912">
        <f t="shared" ref="L42:L45" si="13">K42-J42</f>
        <v>24910.913333333</v>
      </c>
      <c r="M42" s="912"/>
      <c r="N42" s="912"/>
      <c r="O42" s="912">
        <f t="shared" ref="O42:O45" si="14">N42-M42</f>
        <v>0</v>
      </c>
      <c r="P42" s="912">
        <f t="shared" ref="P42:P45" si="15">K42*12</f>
        <v>1677222.16</v>
      </c>
      <c r="Q42" s="912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220">
        <v>140266.083333333</v>
      </c>
      <c r="H43" s="914">
        <f t="shared" si="10"/>
        <v>381140.666666666</v>
      </c>
      <c r="I43" s="220">
        <f t="shared" si="11"/>
        <v>80175.083333333</v>
      </c>
      <c r="J43" s="912">
        <v>23442.3733333333</v>
      </c>
      <c r="K43" s="912">
        <f t="shared" si="12"/>
        <v>30491.2533333333</v>
      </c>
      <c r="L43" s="912">
        <f t="shared" si="13"/>
        <v>7048.87999999998</v>
      </c>
      <c r="M43" s="912"/>
      <c r="N43" s="912"/>
      <c r="O43" s="912">
        <f t="shared" si="14"/>
        <v>0</v>
      </c>
      <c r="P43" s="912">
        <f t="shared" si="15"/>
        <v>365895.039999999</v>
      </c>
      <c r="Q43" s="912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220">
        <v>143964.666666667</v>
      </c>
      <c r="H44" s="914">
        <f t="shared" si="10"/>
        <v>390135.833333334</v>
      </c>
      <c r="I44" s="220">
        <f t="shared" si="11"/>
        <v>81234.333333334</v>
      </c>
      <c r="J44" s="912">
        <v>24077.2466666667</v>
      </c>
      <c r="K44" s="912">
        <f t="shared" si="12"/>
        <v>31210.8666666667</v>
      </c>
      <c r="L44" s="912">
        <f t="shared" si="13"/>
        <v>7133.62000000002</v>
      </c>
      <c r="M44" s="912"/>
      <c r="N44" s="912"/>
      <c r="O44" s="912">
        <f t="shared" si="14"/>
        <v>0</v>
      </c>
      <c r="P44" s="912">
        <f t="shared" si="15"/>
        <v>374530.400000001</v>
      </c>
      <c r="Q44" s="912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220">
        <v>120978.25</v>
      </c>
      <c r="H45" s="914">
        <f t="shared" si="10"/>
        <v>338711.666666667</v>
      </c>
      <c r="I45" s="220">
        <f t="shared" si="11"/>
        <v>75546.333333334</v>
      </c>
      <c r="J45" s="912">
        <v>20467.92</v>
      </c>
      <c r="K45" s="912">
        <f t="shared" si="12"/>
        <v>27096.9333333334</v>
      </c>
      <c r="L45" s="912">
        <f t="shared" si="13"/>
        <v>6629.01333333336</v>
      </c>
      <c r="M45" s="912"/>
      <c r="N45" s="912"/>
      <c r="O45" s="912">
        <f t="shared" si="14"/>
        <v>0</v>
      </c>
      <c r="P45" s="912">
        <f t="shared" si="15"/>
        <v>325163.2</v>
      </c>
      <c r="Q45" s="912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3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3"/>
      <c r="G47" s="221"/>
      <c r="H47" s="220"/>
      <c r="I47" s="220"/>
      <c r="J47" s="912"/>
      <c r="K47" s="912"/>
      <c r="L47" s="912"/>
      <c r="M47" s="912"/>
      <c r="N47" s="912"/>
      <c r="O47" s="912"/>
      <c r="P47" s="912"/>
      <c r="Q47" s="912"/>
    </row>
    <row r="48" customHeight="1" spans="1:17">
      <c r="A48" s="10"/>
      <c r="B48" s="23" t="s">
        <v>137</v>
      </c>
      <c r="C48" s="5"/>
      <c r="D48" s="24"/>
      <c r="E48" s="221"/>
      <c r="F48" s="913"/>
      <c r="G48" s="221"/>
      <c r="H48" s="220"/>
      <c r="I48" s="220"/>
      <c r="J48" s="912"/>
      <c r="K48" s="912"/>
      <c r="L48" s="912"/>
      <c r="M48" s="912"/>
      <c r="N48" s="912"/>
      <c r="O48" s="912"/>
      <c r="P48" s="912"/>
      <c r="Q48" s="912"/>
    </row>
    <row r="49" customHeight="1" spans="1:17">
      <c r="A49" s="10">
        <v>1</v>
      </c>
      <c r="B49" s="11" t="s">
        <v>138</v>
      </c>
      <c r="C49" s="4" t="s">
        <v>648</v>
      </c>
      <c r="D49" s="10" t="s">
        <v>36</v>
      </c>
      <c r="E49" s="85">
        <v>762373.166666667</v>
      </c>
      <c r="F49" s="911">
        <v>554669.5</v>
      </c>
      <c r="G49" s="220">
        <v>350637.25</v>
      </c>
      <c r="H49" s="914">
        <f t="shared" ref="H49:H56" si="17">F49+G49</f>
        <v>905306.75</v>
      </c>
      <c r="I49" s="220">
        <f t="shared" ref="I49:I56" si="18">H49-E49</f>
        <v>142933.583333333</v>
      </c>
      <c r="J49" s="912">
        <v>59136.2866666667</v>
      </c>
      <c r="K49" s="912">
        <f t="shared" ref="K49:K56" si="19">H49*0.08</f>
        <v>72424.54</v>
      </c>
      <c r="L49" s="912">
        <f t="shared" ref="L49:L56" si="20">K49-J49</f>
        <v>13288.2533333333</v>
      </c>
      <c r="M49" s="912"/>
      <c r="N49" s="912"/>
      <c r="O49" s="912">
        <f t="shared" ref="O49:O56" si="21">N49-M49</f>
        <v>0</v>
      </c>
      <c r="P49" s="912">
        <f t="shared" ref="P49:P56" si="22">K49*12</f>
        <v>869094.48</v>
      </c>
      <c r="Q49" s="912"/>
    </row>
    <row r="50" customHeight="1" spans="1:17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220">
        <v>285466.5</v>
      </c>
      <c r="H50" s="914">
        <f t="shared" si="17"/>
        <v>744477</v>
      </c>
      <c r="I50" s="220">
        <f t="shared" si="18"/>
        <v>123801.416666667</v>
      </c>
      <c r="J50" s="912">
        <v>49654.0466666667</v>
      </c>
      <c r="K50" s="912">
        <f t="shared" si="19"/>
        <v>59558.16</v>
      </c>
      <c r="L50" s="912">
        <f t="shared" si="20"/>
        <v>9904.11333333331</v>
      </c>
      <c r="M50" s="912"/>
      <c r="N50" s="912"/>
      <c r="O50" s="912">
        <f t="shared" si="21"/>
        <v>0</v>
      </c>
      <c r="P50" s="912">
        <f t="shared" si="22"/>
        <v>714697.92</v>
      </c>
      <c r="Q50" s="912"/>
    </row>
    <row r="51" customHeight="1" spans="1:17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220">
        <v>285466.5</v>
      </c>
      <c r="H51" s="914">
        <f t="shared" si="17"/>
        <v>744477</v>
      </c>
      <c r="I51" s="220">
        <f t="shared" si="18"/>
        <v>123801.416666667</v>
      </c>
      <c r="J51" s="912">
        <v>49654.0466666667</v>
      </c>
      <c r="K51" s="912">
        <f t="shared" si="19"/>
        <v>59558.16</v>
      </c>
      <c r="L51" s="912">
        <f t="shared" si="20"/>
        <v>9904.11333333331</v>
      </c>
      <c r="M51" s="912">
        <v>8380.22708333333</v>
      </c>
      <c r="N51" s="912">
        <f>0.025*F51</f>
        <v>11475.2625</v>
      </c>
      <c r="O51" s="912">
        <f t="shared" si="21"/>
        <v>3095.03541666667</v>
      </c>
      <c r="P51" s="912">
        <f t="shared" si="22"/>
        <v>714697.92</v>
      </c>
      <c r="Q51" s="912">
        <f>N51*12</f>
        <v>137703.15</v>
      </c>
    </row>
    <row r="52" customHeight="1" spans="1:17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220">
        <v>276599.666666667</v>
      </c>
      <c r="H52" s="914">
        <f t="shared" si="17"/>
        <v>722595.5</v>
      </c>
      <c r="I52" s="220">
        <f t="shared" si="18"/>
        <v>121198.666666667</v>
      </c>
      <c r="J52" s="912">
        <v>46569.4466666667</v>
      </c>
      <c r="K52" s="912">
        <f t="shared" si="19"/>
        <v>57807.64</v>
      </c>
      <c r="L52" s="912">
        <f t="shared" si="20"/>
        <v>11238.1933333333</v>
      </c>
      <c r="M52" s="912"/>
      <c r="N52" s="912"/>
      <c r="O52" s="912">
        <f t="shared" si="21"/>
        <v>0</v>
      </c>
      <c r="P52" s="912">
        <f t="shared" si="22"/>
        <v>693691.68</v>
      </c>
      <c r="Q52" s="912"/>
    </row>
    <row r="53" customHeight="1" spans="1:17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220">
        <v>267732.833333333</v>
      </c>
      <c r="H53" s="914">
        <f t="shared" si="17"/>
        <v>700713.916666666</v>
      </c>
      <c r="I53" s="220">
        <f t="shared" si="18"/>
        <v>118595.833333333</v>
      </c>
      <c r="J53" s="912">
        <v>46569.45</v>
      </c>
      <c r="K53" s="912">
        <f t="shared" si="19"/>
        <v>56057.1133333333</v>
      </c>
      <c r="L53" s="912">
        <f t="shared" si="20"/>
        <v>9487.66333333329</v>
      </c>
      <c r="M53" s="912"/>
      <c r="N53" s="912"/>
      <c r="O53" s="912">
        <f t="shared" si="21"/>
        <v>0</v>
      </c>
      <c r="P53" s="912">
        <f t="shared" si="22"/>
        <v>672685.359999999</v>
      </c>
      <c r="Q53" s="912"/>
    </row>
    <row r="54" customHeight="1" spans="1:17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220">
        <v>143964.666666667</v>
      </c>
      <c r="H54" s="914">
        <f t="shared" si="17"/>
        <v>390135.833333334</v>
      </c>
      <c r="I54" s="220">
        <f t="shared" si="18"/>
        <v>81234.333333334</v>
      </c>
      <c r="J54" s="912">
        <v>24077.2466666667</v>
      </c>
      <c r="K54" s="912">
        <f t="shared" si="19"/>
        <v>31210.8666666667</v>
      </c>
      <c r="L54" s="912">
        <f t="shared" si="20"/>
        <v>7133.62000000002</v>
      </c>
      <c r="M54" s="912"/>
      <c r="N54" s="912"/>
      <c r="O54" s="912">
        <f t="shared" si="21"/>
        <v>0</v>
      </c>
      <c r="P54" s="912">
        <f t="shared" si="22"/>
        <v>374530.400000001</v>
      </c>
      <c r="Q54" s="912"/>
    </row>
    <row r="55" customHeight="1" spans="1:17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220">
        <v>124341.583333333</v>
      </c>
      <c r="H55" s="914">
        <f t="shared" si="17"/>
        <v>347016.166666666</v>
      </c>
      <c r="I55" s="220">
        <f t="shared" si="18"/>
        <v>76534.499999999</v>
      </c>
      <c r="J55" s="912">
        <v>21053.2266666667</v>
      </c>
      <c r="K55" s="912">
        <f t="shared" si="19"/>
        <v>27761.2933333333</v>
      </c>
      <c r="L55" s="912">
        <f t="shared" si="20"/>
        <v>6708.06666666658</v>
      </c>
      <c r="M55" s="912"/>
      <c r="N55" s="912"/>
      <c r="O55" s="912">
        <f t="shared" si="21"/>
        <v>0</v>
      </c>
      <c r="P55" s="912">
        <f t="shared" si="22"/>
        <v>333135.519999999</v>
      </c>
      <c r="Q55" s="912"/>
    </row>
    <row r="56" customHeight="1" spans="1:17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220">
        <v>124341.583333333</v>
      </c>
      <c r="H56" s="914">
        <f t="shared" si="17"/>
        <v>347016.166666666</v>
      </c>
      <c r="I56" s="220">
        <f t="shared" si="18"/>
        <v>76534.499999999</v>
      </c>
      <c r="J56" s="912">
        <v>21053.2266666667</v>
      </c>
      <c r="K56" s="912">
        <f t="shared" si="19"/>
        <v>27761.2933333333</v>
      </c>
      <c r="L56" s="912">
        <f t="shared" si="20"/>
        <v>6708.06666666658</v>
      </c>
      <c r="M56" s="912"/>
      <c r="N56" s="912"/>
      <c r="O56" s="912">
        <f t="shared" si="21"/>
        <v>0</v>
      </c>
      <c r="P56" s="912">
        <f t="shared" si="22"/>
        <v>333135.519999999</v>
      </c>
      <c r="Q56" s="912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23">SUM(E49:E56)</f>
        <v>4037104.08333333</v>
      </c>
      <c r="F57" s="915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56"/>
      <c r="F58" s="916"/>
      <c r="G58" s="156"/>
      <c r="H58" s="220"/>
      <c r="I58" s="220"/>
      <c r="J58" s="912"/>
      <c r="K58" s="912"/>
      <c r="L58" s="912"/>
      <c r="M58" s="912"/>
      <c r="N58" s="912"/>
      <c r="O58" s="912"/>
      <c r="P58" s="912"/>
      <c r="Q58" s="912"/>
    </row>
    <row r="59" customHeight="1" spans="1:17">
      <c r="A59" s="10"/>
      <c r="B59" s="20" t="s">
        <v>159</v>
      </c>
      <c r="C59" s="21"/>
      <c r="D59" s="21"/>
      <c r="E59" s="156"/>
      <c r="F59" s="916"/>
      <c r="G59" s="156"/>
      <c r="H59" s="220"/>
      <c r="I59" s="220"/>
      <c r="J59" s="912"/>
      <c r="K59" s="912"/>
      <c r="L59" s="912"/>
      <c r="M59" s="912"/>
      <c r="N59" s="912"/>
      <c r="O59" s="912"/>
      <c r="P59" s="912"/>
      <c r="Q59" s="912"/>
    </row>
    <row r="60" customHeight="1" spans="1:17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220">
        <v>660329.333333333</v>
      </c>
      <c r="H60" s="914">
        <f t="shared" ref="H60:H71" si="24">F60+G60</f>
        <v>1747106.41666666</v>
      </c>
      <c r="I60" s="220">
        <f t="shared" ref="I60:I71" si="25">H60-E60</f>
        <v>311386.416666663</v>
      </c>
      <c r="J60" s="912">
        <v>114857.6</v>
      </c>
      <c r="K60" s="912">
        <f t="shared" ref="K60:K71" si="26">H60*0.08</f>
        <v>139768.513333333</v>
      </c>
      <c r="L60" s="912">
        <f t="shared" ref="L60:L71" si="27">K60-J60</f>
        <v>24910.913333333</v>
      </c>
      <c r="M60" s="912"/>
      <c r="N60" s="912"/>
      <c r="O60" s="912">
        <f t="shared" ref="O60:O71" si="28">N60-M60</f>
        <v>0</v>
      </c>
      <c r="P60" s="912">
        <f t="shared" ref="P60:P71" si="29">K60*12</f>
        <v>1677222.16</v>
      </c>
      <c r="Q60" s="912"/>
    </row>
    <row r="61" customHeight="1" spans="1:17">
      <c r="A61" s="10">
        <v>2</v>
      </c>
      <c r="B61" s="11" t="s">
        <v>162</v>
      </c>
      <c r="C61" s="12" t="s">
        <v>485</v>
      </c>
      <c r="D61" s="15" t="s">
        <v>486</v>
      </c>
      <c r="E61" s="85">
        <v>620675.583333333</v>
      </c>
      <c r="F61" s="911">
        <v>459010.5</v>
      </c>
      <c r="G61" s="220">
        <v>285466.5</v>
      </c>
      <c r="H61" s="914">
        <f t="shared" si="24"/>
        <v>744477</v>
      </c>
      <c r="I61" s="220">
        <f t="shared" si="25"/>
        <v>123801.416666667</v>
      </c>
      <c r="J61" s="912">
        <v>49654.0466666667</v>
      </c>
      <c r="K61" s="912">
        <f t="shared" si="26"/>
        <v>59558.16</v>
      </c>
      <c r="L61" s="912">
        <f t="shared" si="27"/>
        <v>9904.11333333331</v>
      </c>
      <c r="M61" s="912"/>
      <c r="N61" s="912"/>
      <c r="O61" s="912">
        <f t="shared" si="28"/>
        <v>0</v>
      </c>
      <c r="P61" s="912">
        <f t="shared" si="29"/>
        <v>714697.92</v>
      </c>
      <c r="Q61" s="912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30">SUM(E60:E61)</f>
        <v>2056395.58333333</v>
      </c>
      <c r="F62" s="915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56"/>
      <c r="F63" s="916"/>
      <c r="G63" s="156"/>
      <c r="H63" s="220"/>
      <c r="I63" s="220"/>
      <c r="J63" s="912"/>
      <c r="K63" s="912"/>
      <c r="L63" s="912"/>
      <c r="M63" s="912"/>
      <c r="N63" s="912"/>
      <c r="O63" s="912"/>
      <c r="P63" s="912"/>
      <c r="Q63" s="912"/>
    </row>
    <row r="64" customHeight="1" spans="1:17">
      <c r="A64" s="10"/>
      <c r="B64" s="20" t="s">
        <v>164</v>
      </c>
      <c r="C64" s="21"/>
      <c r="D64" s="21"/>
      <c r="E64" s="156"/>
      <c r="F64" s="916"/>
      <c r="G64" s="156"/>
      <c r="H64" s="220"/>
      <c r="I64" s="220"/>
      <c r="J64" s="912"/>
      <c r="K64" s="912"/>
      <c r="L64" s="912"/>
      <c r="M64" s="912"/>
      <c r="N64" s="912"/>
      <c r="O64" s="912"/>
      <c r="P64" s="912"/>
      <c r="Q64" s="912"/>
    </row>
    <row r="65" customHeight="1" spans="1:17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2">
        <v>60989.8533333333</v>
      </c>
      <c r="K65" s="912">
        <f t="shared" si="26"/>
        <v>72424.54</v>
      </c>
      <c r="L65" s="912">
        <f t="shared" si="27"/>
        <v>11434.6866666667</v>
      </c>
      <c r="M65" s="912">
        <v>10293.3979166667</v>
      </c>
      <c r="N65" s="912">
        <f>0.025*F65</f>
        <v>13866.7375</v>
      </c>
      <c r="O65" s="912">
        <f t="shared" si="28"/>
        <v>3573.3395833333</v>
      </c>
      <c r="P65" s="912">
        <f t="shared" si="29"/>
        <v>869094.48</v>
      </c>
      <c r="Q65" s="912">
        <f>N65*12</f>
        <v>166400.85</v>
      </c>
    </row>
    <row r="66" customHeight="1" spans="1:17">
      <c r="A66" s="10">
        <v>2</v>
      </c>
      <c r="B66" s="11" t="s">
        <v>167</v>
      </c>
      <c r="C66" s="4" t="s">
        <v>52</v>
      </c>
      <c r="D66" s="10" t="s">
        <v>214</v>
      </c>
      <c r="E66" s="85">
        <v>456622.25</v>
      </c>
      <c r="F66" s="911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2">
        <v>35419.72</v>
      </c>
      <c r="K66" s="912">
        <f t="shared" si="26"/>
        <v>44653.22</v>
      </c>
      <c r="L66" s="912">
        <f t="shared" si="27"/>
        <v>9233.5</v>
      </c>
      <c r="M66" s="912"/>
      <c r="N66" s="912"/>
      <c r="O66" s="912">
        <f t="shared" si="28"/>
        <v>0</v>
      </c>
      <c r="P66" s="912">
        <f t="shared" si="29"/>
        <v>535838.64</v>
      </c>
      <c r="Q66" s="912"/>
    </row>
    <row r="67" customHeight="1" spans="1:17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2">
        <v>29256.3066666667</v>
      </c>
      <c r="K67" s="912">
        <f t="shared" si="26"/>
        <v>37506.2533333334</v>
      </c>
      <c r="L67" s="912">
        <f t="shared" si="27"/>
        <v>8249.94666666666</v>
      </c>
      <c r="M67" s="912"/>
      <c r="N67" s="912"/>
      <c r="O67" s="912">
        <f t="shared" si="28"/>
        <v>0</v>
      </c>
      <c r="P67" s="912">
        <f t="shared" si="29"/>
        <v>450075.04</v>
      </c>
      <c r="Q67" s="912"/>
    </row>
    <row r="68" customHeight="1" spans="1:17">
      <c r="A68" s="10">
        <v>4</v>
      </c>
      <c r="B68" s="11" t="s">
        <v>172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2">
        <v>29256.3066666667</v>
      </c>
      <c r="K68" s="912">
        <f t="shared" si="26"/>
        <v>37506.2533333334</v>
      </c>
      <c r="L68" s="912">
        <f t="shared" si="27"/>
        <v>8249.94666666666</v>
      </c>
      <c r="M68" s="912"/>
      <c r="N68" s="912"/>
      <c r="O68" s="912">
        <f t="shared" si="28"/>
        <v>0</v>
      </c>
      <c r="P68" s="912">
        <f t="shared" si="29"/>
        <v>450075.04</v>
      </c>
      <c r="Q68" s="912"/>
    </row>
    <row r="69" customHeight="1" spans="1:17">
      <c r="A69" s="10">
        <v>5</v>
      </c>
      <c r="B69" s="11" t="s">
        <v>174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2">
        <v>29256.3066666667</v>
      </c>
      <c r="K69" s="912">
        <f t="shared" si="26"/>
        <v>37506.2533333334</v>
      </c>
      <c r="L69" s="912">
        <f t="shared" si="27"/>
        <v>8249.94666666666</v>
      </c>
      <c r="M69" s="912"/>
      <c r="N69" s="912"/>
      <c r="O69" s="912">
        <f t="shared" si="28"/>
        <v>0</v>
      </c>
      <c r="P69" s="912">
        <f t="shared" si="29"/>
        <v>450075.04</v>
      </c>
      <c r="Q69" s="912"/>
    </row>
    <row r="70" customHeight="1" spans="1:17">
      <c r="A70" s="10">
        <v>6</v>
      </c>
      <c r="B70" s="11" t="s">
        <v>175</v>
      </c>
      <c r="C70" s="4" t="s">
        <v>649</v>
      </c>
      <c r="D70" s="10" t="s">
        <v>173</v>
      </c>
      <c r="E70" s="457">
        <v>390086.5</v>
      </c>
      <c r="F70" s="911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2">
        <v>30231.6133333333</v>
      </c>
      <c r="K70" s="912">
        <f t="shared" si="26"/>
        <v>38613.0133333334</v>
      </c>
      <c r="L70" s="912">
        <f t="shared" si="27"/>
        <v>8381.40000000006</v>
      </c>
      <c r="M70" s="912"/>
      <c r="N70" s="912"/>
      <c r="O70" s="912">
        <f t="shared" si="28"/>
        <v>0</v>
      </c>
      <c r="P70" s="912">
        <f t="shared" si="29"/>
        <v>463356.16</v>
      </c>
      <c r="Q70" s="912"/>
    </row>
    <row r="71" ht="21.6" customHeight="1" spans="1:17">
      <c r="A71" s="10">
        <v>7</v>
      </c>
      <c r="B71" s="11" t="s">
        <v>179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2">
        <v>24077.2466666667</v>
      </c>
      <c r="K71" s="912">
        <f t="shared" si="26"/>
        <v>31210.8666666667</v>
      </c>
      <c r="L71" s="912">
        <f t="shared" si="27"/>
        <v>7133.62000000002</v>
      </c>
      <c r="M71" s="912"/>
      <c r="N71" s="912"/>
      <c r="O71" s="912">
        <f t="shared" si="28"/>
        <v>0</v>
      </c>
      <c r="P71" s="912">
        <f t="shared" si="29"/>
        <v>374530.400000001</v>
      </c>
      <c r="Q71" s="912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31">SUM(E65:E71)</f>
        <v>3051668.91666667</v>
      </c>
      <c r="F72" s="915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56"/>
      <c r="F73" s="916"/>
      <c r="G73" s="156"/>
      <c r="H73" s="220"/>
      <c r="I73" s="220"/>
      <c r="J73" s="912"/>
      <c r="K73" s="912"/>
      <c r="L73" s="912"/>
      <c r="M73" s="912"/>
      <c r="N73" s="912"/>
      <c r="O73" s="912"/>
      <c r="P73" s="912"/>
      <c r="Q73" s="912"/>
    </row>
    <row r="74" customHeight="1" spans="1:17">
      <c r="A74" s="10"/>
      <c r="B74" s="20" t="s">
        <v>183</v>
      </c>
      <c r="C74" s="21"/>
      <c r="D74" s="21"/>
      <c r="E74" s="156"/>
      <c r="F74" s="916"/>
      <c r="G74" s="156"/>
      <c r="H74" s="220"/>
      <c r="I74" s="220"/>
      <c r="J74" s="912"/>
      <c r="K74" s="912"/>
      <c r="L74" s="912"/>
      <c r="M74" s="912"/>
      <c r="N74" s="912"/>
      <c r="O74" s="912"/>
      <c r="P74" s="912"/>
      <c r="Q74" s="912"/>
    </row>
    <row r="75" customHeight="1" spans="1:17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911">
        <v>1086777.08333333</v>
      </c>
      <c r="G75" s="220">
        <v>660329.333333333</v>
      </c>
      <c r="H75" s="914">
        <f t="shared" ref="H75:H80" si="32">F75+G75</f>
        <v>1747106.41666666</v>
      </c>
      <c r="I75" s="220">
        <f t="shared" ref="I75:I80" si="33">H75-E75</f>
        <v>311386.416666663</v>
      </c>
      <c r="J75" s="912">
        <v>114857.6</v>
      </c>
      <c r="K75" s="912">
        <f t="shared" ref="K75:K80" si="34">H75*0.08</f>
        <v>139768.513333333</v>
      </c>
      <c r="L75" s="912">
        <f t="shared" ref="L75:L80" si="35">K75-J75</f>
        <v>24910.913333333</v>
      </c>
      <c r="M75" s="912"/>
      <c r="N75" s="912"/>
      <c r="O75" s="912">
        <f t="shared" ref="O75:O80" si="36">N75-M75</f>
        <v>0</v>
      </c>
      <c r="P75" s="912">
        <f t="shared" ref="P75:P80" si="37">K75*12</f>
        <v>1677222.16</v>
      </c>
      <c r="Q75" s="912"/>
    </row>
    <row r="76" customHeight="1" spans="1:17">
      <c r="A76" s="10">
        <v>2</v>
      </c>
      <c r="B76" s="11" t="s">
        <v>188</v>
      </c>
      <c r="C76" s="4" t="s">
        <v>189</v>
      </c>
      <c r="D76" s="10" t="s">
        <v>42</v>
      </c>
      <c r="E76" s="85">
        <v>582118.083333333</v>
      </c>
      <c r="F76" s="911">
        <v>445995.833333333</v>
      </c>
      <c r="G76" s="220">
        <v>276599.666666667</v>
      </c>
      <c r="H76" s="914">
        <f t="shared" si="32"/>
        <v>722595.5</v>
      </c>
      <c r="I76" s="220">
        <f t="shared" si="33"/>
        <v>140477.416666667</v>
      </c>
      <c r="J76" s="912">
        <v>46569.4466666667</v>
      </c>
      <c r="K76" s="912">
        <f t="shared" si="34"/>
        <v>57807.64</v>
      </c>
      <c r="L76" s="912">
        <f t="shared" si="35"/>
        <v>11238.1933333333</v>
      </c>
      <c r="M76" s="912"/>
      <c r="N76" s="912"/>
      <c r="O76" s="912">
        <f t="shared" si="36"/>
        <v>0</v>
      </c>
      <c r="P76" s="912">
        <f t="shared" si="37"/>
        <v>693691.68</v>
      </c>
      <c r="Q76" s="912"/>
    </row>
    <row r="77" customHeight="1" spans="1:17">
      <c r="A77" s="10">
        <v>3</v>
      </c>
      <c r="B77" s="11" t="s">
        <v>190</v>
      </c>
      <c r="C77" s="4" t="s">
        <v>191</v>
      </c>
      <c r="D77" s="15" t="s">
        <v>47</v>
      </c>
      <c r="E77" s="85">
        <v>470498</v>
      </c>
      <c r="F77" s="911">
        <v>357066.666666667</v>
      </c>
      <c r="G77" s="220">
        <v>216844.416666667</v>
      </c>
      <c r="H77" s="914">
        <f t="shared" si="32"/>
        <v>573911.083333334</v>
      </c>
      <c r="I77" s="220">
        <f t="shared" si="33"/>
        <v>103413.083333334</v>
      </c>
      <c r="J77" s="912">
        <v>36529.78</v>
      </c>
      <c r="K77" s="912">
        <f t="shared" si="34"/>
        <v>45912.8866666667</v>
      </c>
      <c r="L77" s="912">
        <f t="shared" si="35"/>
        <v>9383.10666666672</v>
      </c>
      <c r="M77" s="912">
        <v>6154.32291666667</v>
      </c>
      <c r="N77" s="912">
        <f>0.025*F77</f>
        <v>8926.66666666668</v>
      </c>
      <c r="O77" s="912">
        <f t="shared" si="36"/>
        <v>2772.34375000001</v>
      </c>
      <c r="P77" s="912">
        <f t="shared" si="37"/>
        <v>550954.640000001</v>
      </c>
      <c r="Q77" s="912">
        <f>N77*12</f>
        <v>107120</v>
      </c>
    </row>
    <row r="78" customHeight="1" spans="1:17">
      <c r="A78" s="10">
        <v>4</v>
      </c>
      <c r="B78" s="11" t="s">
        <v>197</v>
      </c>
      <c r="C78" s="4" t="s">
        <v>198</v>
      </c>
      <c r="D78" s="10" t="s">
        <v>131</v>
      </c>
      <c r="E78" s="85">
        <v>365703.833333333</v>
      </c>
      <c r="F78" s="911">
        <v>286447.083333333</v>
      </c>
      <c r="G78" s="220">
        <v>168546.5</v>
      </c>
      <c r="H78" s="914">
        <f t="shared" si="32"/>
        <v>454993.583333333</v>
      </c>
      <c r="I78" s="220">
        <f t="shared" si="33"/>
        <v>89289.75</v>
      </c>
      <c r="J78" s="912">
        <v>28281</v>
      </c>
      <c r="K78" s="912">
        <f t="shared" si="34"/>
        <v>36399.4866666666</v>
      </c>
      <c r="L78" s="912">
        <f t="shared" si="35"/>
        <v>8118.48666666664</v>
      </c>
      <c r="M78" s="912"/>
      <c r="N78" s="912"/>
      <c r="O78" s="912">
        <f t="shared" si="36"/>
        <v>0</v>
      </c>
      <c r="P78" s="912">
        <f t="shared" si="37"/>
        <v>436793.84</v>
      </c>
      <c r="Q78" s="912"/>
    </row>
    <row r="79" customHeight="1" spans="1:17">
      <c r="A79" s="10">
        <v>5</v>
      </c>
      <c r="B79" s="11" t="s">
        <v>201</v>
      </c>
      <c r="C79" s="4" t="s">
        <v>182</v>
      </c>
      <c r="D79" s="10" t="s">
        <v>99</v>
      </c>
      <c r="E79" s="85">
        <v>263165.333333333</v>
      </c>
      <c r="F79" s="911">
        <v>222674.583333333</v>
      </c>
      <c r="G79" s="220">
        <v>124341.583333333</v>
      </c>
      <c r="H79" s="914">
        <f t="shared" si="32"/>
        <v>347016.166666666</v>
      </c>
      <c r="I79" s="220">
        <f t="shared" si="33"/>
        <v>83850.833333333</v>
      </c>
      <c r="J79" s="912">
        <v>21053.2266666667</v>
      </c>
      <c r="K79" s="912">
        <f t="shared" si="34"/>
        <v>27761.2933333333</v>
      </c>
      <c r="L79" s="912">
        <f t="shared" si="35"/>
        <v>6708.06666666658</v>
      </c>
      <c r="M79" s="912"/>
      <c r="N79" s="912"/>
      <c r="O79" s="912">
        <f t="shared" si="36"/>
        <v>0</v>
      </c>
      <c r="P79" s="912">
        <f t="shared" si="37"/>
        <v>333135.519999999</v>
      </c>
      <c r="Q79" s="912"/>
    </row>
    <row r="80" customHeight="1" spans="1:17">
      <c r="A80" s="10">
        <v>6</v>
      </c>
      <c r="B80" s="11" t="s">
        <v>203</v>
      </c>
      <c r="C80" s="4" t="s">
        <v>204</v>
      </c>
      <c r="D80" s="10" t="s">
        <v>108</v>
      </c>
      <c r="E80" s="85">
        <v>230631.916666667</v>
      </c>
      <c r="F80" s="911">
        <v>196364.416666667</v>
      </c>
      <c r="G80" s="220">
        <v>105546.333333333</v>
      </c>
      <c r="H80" s="914">
        <f t="shared" si="32"/>
        <v>301910.75</v>
      </c>
      <c r="I80" s="220">
        <f t="shared" si="33"/>
        <v>71278.833333333</v>
      </c>
      <c r="J80" s="912">
        <v>17956.78</v>
      </c>
      <c r="K80" s="912">
        <f t="shared" si="34"/>
        <v>24152.86</v>
      </c>
      <c r="L80" s="912">
        <f t="shared" si="35"/>
        <v>6196.08</v>
      </c>
      <c r="M80" s="912"/>
      <c r="N80" s="912"/>
      <c r="O80" s="912">
        <f t="shared" si="36"/>
        <v>0</v>
      </c>
      <c r="P80" s="912">
        <f t="shared" si="37"/>
        <v>289834.32</v>
      </c>
      <c r="Q80" s="912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38">SUM(E75:E80)</f>
        <v>3347837.16666667</v>
      </c>
      <c r="F81" s="915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56"/>
      <c r="F82" s="916"/>
      <c r="G82" s="156"/>
      <c r="H82" s="220"/>
      <c r="I82" s="220"/>
      <c r="J82" s="912"/>
      <c r="K82" s="912"/>
      <c r="L82" s="912"/>
      <c r="M82" s="912"/>
      <c r="N82" s="912"/>
      <c r="O82" s="912"/>
      <c r="P82" s="912"/>
      <c r="Q82" s="912"/>
    </row>
    <row r="83" customHeight="1" spans="1:17">
      <c r="A83" s="10"/>
      <c r="B83" s="20" t="s">
        <v>205</v>
      </c>
      <c r="C83" s="25"/>
      <c r="D83" s="21"/>
      <c r="E83" s="156"/>
      <c r="F83" s="916"/>
      <c r="G83" s="156"/>
      <c r="H83" s="220"/>
      <c r="I83" s="220"/>
      <c r="J83" s="912"/>
      <c r="K83" s="912"/>
      <c r="L83" s="912"/>
      <c r="M83" s="912"/>
      <c r="N83" s="912"/>
      <c r="O83" s="912"/>
      <c r="P83" s="912"/>
      <c r="Q83" s="912"/>
    </row>
    <row r="84" customHeight="1" spans="1:17">
      <c r="A84" s="10">
        <v>1</v>
      </c>
      <c r="B84" s="11" t="s">
        <v>206</v>
      </c>
      <c r="C84" s="4" t="s">
        <v>145</v>
      </c>
      <c r="D84" s="10" t="s">
        <v>304</v>
      </c>
      <c r="E84" s="85">
        <f>'[3]Annual &amp; Monthly'!$H$44</f>
        <v>1352042.66666667</v>
      </c>
      <c r="F84" s="911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295569.333333333</v>
      </c>
      <c r="J84" s="912">
        <v>114857.6</v>
      </c>
      <c r="K84" s="912">
        <f t="shared" ref="K84:K93" si="41">H84*0.08</f>
        <v>131808.96</v>
      </c>
      <c r="L84" s="912">
        <f t="shared" ref="L84:L93" si="42">K84-J84</f>
        <v>16951.3599999998</v>
      </c>
      <c r="M84" s="912">
        <v>18254.975</v>
      </c>
      <c r="N84" s="912">
        <f>0.025*F84</f>
        <v>25644.2083333333</v>
      </c>
      <c r="O84" s="912">
        <f t="shared" ref="O84:O93" si="43">N84-M84</f>
        <v>7389.23333333325</v>
      </c>
      <c r="P84" s="912">
        <f t="shared" ref="P84:P93" si="44">12*K84</f>
        <v>1581707.52</v>
      </c>
      <c r="Q84" s="912">
        <f>N84*12</f>
        <v>307730.499999999</v>
      </c>
    </row>
    <row r="85" customHeight="1" spans="1:17">
      <c r="A85" s="10">
        <v>2</v>
      </c>
      <c r="B85" s="11" t="s">
        <v>208</v>
      </c>
      <c r="C85" s="4" t="s">
        <v>209</v>
      </c>
      <c r="D85" s="10" t="s">
        <v>143</v>
      </c>
      <c r="E85" s="85">
        <v>716034</v>
      </c>
      <c r="F85" s="911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2">
        <v>59136.2866666667</v>
      </c>
      <c r="K85" s="912">
        <f t="shared" si="41"/>
        <v>68216.8866666666</v>
      </c>
      <c r="L85" s="912">
        <f t="shared" si="42"/>
        <v>9080.59999999994</v>
      </c>
      <c r="M85" s="912"/>
      <c r="N85" s="912"/>
      <c r="O85" s="912">
        <f t="shared" si="43"/>
        <v>0</v>
      </c>
      <c r="P85" s="912">
        <f t="shared" si="44"/>
        <v>818602.64</v>
      </c>
      <c r="Q85" s="912"/>
    </row>
    <row r="86" customHeight="1" spans="1:17">
      <c r="A86" s="10">
        <v>3</v>
      </c>
      <c r="B86" s="11" t="s">
        <v>479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2">
        <v>46569.4466666667</v>
      </c>
      <c r="K86" s="912">
        <f t="shared" si="41"/>
        <v>57807.64</v>
      </c>
      <c r="L86" s="912">
        <f t="shared" si="42"/>
        <v>11238.1933333333</v>
      </c>
      <c r="M86" s="912"/>
      <c r="N86" s="912"/>
      <c r="O86" s="912">
        <f t="shared" si="43"/>
        <v>0</v>
      </c>
      <c r="P86" s="912">
        <f t="shared" si="44"/>
        <v>693691.68</v>
      </c>
      <c r="Q86" s="912"/>
    </row>
    <row r="87" ht="21.6" customHeight="1" spans="1:17">
      <c r="A87" s="10">
        <v>4</v>
      </c>
      <c r="B87" s="11" t="s">
        <v>211</v>
      </c>
      <c r="C87" s="4" t="s">
        <v>52</v>
      </c>
      <c r="D87" s="15" t="s">
        <v>214</v>
      </c>
      <c r="E87" s="85">
        <v>456622.25</v>
      </c>
      <c r="F87" s="911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2">
        <v>35344.3933333333</v>
      </c>
      <c r="K87" s="912">
        <f t="shared" si="41"/>
        <v>52255.6666666666</v>
      </c>
      <c r="L87" s="912">
        <f t="shared" si="42"/>
        <v>16911.2733333333</v>
      </c>
      <c r="M87" s="912"/>
      <c r="N87" s="912"/>
      <c r="O87" s="912">
        <f t="shared" si="43"/>
        <v>0</v>
      </c>
      <c r="P87" s="912">
        <f t="shared" si="44"/>
        <v>627068</v>
      </c>
      <c r="Q87" s="912"/>
    </row>
    <row r="88" ht="21.6" customHeight="1" spans="1:17">
      <c r="A88" s="10">
        <v>5</v>
      </c>
      <c r="B88" s="11" t="s">
        <v>212</v>
      </c>
      <c r="C88" s="4" t="s">
        <v>52</v>
      </c>
      <c r="D88" s="15" t="s">
        <v>214</v>
      </c>
      <c r="E88" s="85">
        <v>456622.25</v>
      </c>
      <c r="F88" s="911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2">
        <v>35419.72</v>
      </c>
      <c r="K88" s="912">
        <f t="shared" si="41"/>
        <v>52255.6666666666</v>
      </c>
      <c r="L88" s="912">
        <f t="shared" si="42"/>
        <v>16835.9466666666</v>
      </c>
      <c r="M88" s="912"/>
      <c r="N88" s="912"/>
      <c r="O88" s="912">
        <f t="shared" si="43"/>
        <v>0</v>
      </c>
      <c r="P88" s="912">
        <f t="shared" si="44"/>
        <v>627068</v>
      </c>
      <c r="Q88" s="912"/>
    </row>
    <row r="89" ht="21.6" customHeight="1" spans="1:17">
      <c r="A89" s="10">
        <v>6</v>
      </c>
      <c r="B89" s="11" t="s">
        <v>213</v>
      </c>
      <c r="C89" s="12" t="s">
        <v>52</v>
      </c>
      <c r="D89" s="15" t="s">
        <v>53</v>
      </c>
      <c r="E89" s="85">
        <v>442746.5</v>
      </c>
      <c r="F89" s="911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2">
        <v>34309.66</v>
      </c>
      <c r="K89" s="912">
        <f t="shared" si="41"/>
        <v>50634</v>
      </c>
      <c r="L89" s="912">
        <f t="shared" si="42"/>
        <v>16324.34</v>
      </c>
      <c r="M89" s="912"/>
      <c r="N89" s="912"/>
      <c r="O89" s="912">
        <f t="shared" si="43"/>
        <v>0</v>
      </c>
      <c r="P89" s="912">
        <f t="shared" si="44"/>
        <v>607608</v>
      </c>
      <c r="Q89" s="912"/>
    </row>
    <row r="90" ht="21.6" customHeight="1" spans="1:17">
      <c r="A90" s="10">
        <v>7</v>
      </c>
      <c r="B90" s="11" t="s">
        <v>215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2">
        <v>29256.3066666667</v>
      </c>
      <c r="K90" s="912">
        <f t="shared" si="41"/>
        <v>37506.2533333334</v>
      </c>
      <c r="L90" s="912">
        <f t="shared" si="42"/>
        <v>8249.94666666666</v>
      </c>
      <c r="M90" s="912"/>
      <c r="N90" s="912"/>
      <c r="O90" s="912">
        <f t="shared" si="43"/>
        <v>0</v>
      </c>
      <c r="P90" s="912">
        <f t="shared" si="44"/>
        <v>450075.04</v>
      </c>
      <c r="Q90" s="912"/>
    </row>
    <row r="91" ht="21.6" customHeight="1" spans="1:17">
      <c r="A91" s="10">
        <v>8</v>
      </c>
      <c r="B91" s="11" t="s">
        <v>216</v>
      </c>
      <c r="C91" s="17" t="s">
        <v>217</v>
      </c>
      <c r="D91" s="15" t="s">
        <v>64</v>
      </c>
      <c r="E91" s="85">
        <v>403137.916666667</v>
      </c>
      <c r="F91" s="911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2">
        <v>31219.9133333333</v>
      </c>
      <c r="K91" s="912">
        <f t="shared" si="41"/>
        <v>39797.82</v>
      </c>
      <c r="L91" s="912">
        <f t="shared" si="42"/>
        <v>8577.9066666667</v>
      </c>
      <c r="M91" s="912">
        <v>5259.74375</v>
      </c>
      <c r="N91" s="912">
        <f>0.025*F91</f>
        <v>7791.83125</v>
      </c>
      <c r="O91" s="912">
        <f t="shared" si="43"/>
        <v>2532.0875</v>
      </c>
      <c r="P91" s="912">
        <f t="shared" si="44"/>
        <v>477573.84</v>
      </c>
      <c r="Q91" s="912">
        <f>N91*12</f>
        <v>93501.975</v>
      </c>
    </row>
    <row r="92" ht="21.6" customHeight="1" spans="1:17">
      <c r="A92" s="10">
        <v>9</v>
      </c>
      <c r="B92" s="11" t="s">
        <v>220</v>
      </c>
      <c r="C92" s="4" t="s">
        <v>221</v>
      </c>
      <c r="D92" s="10" t="s">
        <v>78</v>
      </c>
      <c r="E92" s="220">
        <v>308901.5</v>
      </c>
      <c r="F92" s="911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2">
        <v>24077.2466666667</v>
      </c>
      <c r="K92" s="912">
        <f t="shared" si="41"/>
        <v>31210.8666666667</v>
      </c>
      <c r="L92" s="912">
        <f t="shared" si="42"/>
        <v>7133.62000000002</v>
      </c>
      <c r="M92" s="912"/>
      <c r="N92" s="912"/>
      <c r="O92" s="912">
        <f t="shared" si="43"/>
        <v>0</v>
      </c>
      <c r="P92" s="912">
        <f t="shared" si="44"/>
        <v>374530.400000001</v>
      </c>
      <c r="Q92" s="912"/>
    </row>
    <row r="93" ht="21.6" customHeight="1" spans="1:17">
      <c r="A93" s="10">
        <v>10</v>
      </c>
      <c r="B93" s="11" t="s">
        <v>224</v>
      </c>
      <c r="C93" s="17" t="s">
        <v>505</v>
      </c>
      <c r="D93" s="15" t="s">
        <v>105</v>
      </c>
      <c r="E93" s="220">
        <v>236804.083333333</v>
      </c>
      <c r="F93" s="911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2">
        <v>18450.5533333333</v>
      </c>
      <c r="K93" s="912">
        <f t="shared" si="41"/>
        <v>24713.6533333334</v>
      </c>
      <c r="L93" s="912">
        <f t="shared" si="42"/>
        <v>6263.10000000006</v>
      </c>
      <c r="M93" s="912"/>
      <c r="N93" s="912"/>
      <c r="O93" s="912">
        <f t="shared" si="43"/>
        <v>0</v>
      </c>
      <c r="P93" s="912">
        <f t="shared" si="44"/>
        <v>296563.84</v>
      </c>
      <c r="Q93" s="912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45">SUM(E84:E93)</f>
        <v>5352203.16666667</v>
      </c>
      <c r="F94" s="915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56"/>
      <c r="F95" s="916"/>
      <c r="G95" s="156"/>
      <c r="H95" s="220"/>
      <c r="I95" s="220"/>
      <c r="J95" s="912"/>
      <c r="K95" s="912"/>
      <c r="L95" s="912"/>
      <c r="M95" s="912"/>
      <c r="N95" s="912"/>
      <c r="O95" s="912"/>
      <c r="P95" s="912"/>
      <c r="Q95" s="912"/>
    </row>
    <row r="96" customHeight="1" spans="1:17">
      <c r="A96" s="10"/>
      <c r="B96" s="20" t="s">
        <v>226</v>
      </c>
      <c r="C96" s="21"/>
      <c r="D96" s="21"/>
      <c r="E96" s="156"/>
      <c r="F96" s="916"/>
      <c r="G96" s="156"/>
      <c r="H96" s="220"/>
      <c r="I96" s="220"/>
      <c r="J96" s="912"/>
      <c r="K96" s="912"/>
      <c r="L96" s="912"/>
      <c r="M96" s="912"/>
      <c r="N96" s="912"/>
      <c r="O96" s="912"/>
      <c r="P96" s="912"/>
      <c r="Q96" s="912"/>
    </row>
    <row r="97" customHeight="1" spans="1:17">
      <c r="A97" s="10">
        <v>1</v>
      </c>
      <c r="B97" s="14" t="s">
        <v>227</v>
      </c>
      <c r="C97" s="4" t="s">
        <v>650</v>
      </c>
      <c r="D97" s="16" t="s">
        <v>140</v>
      </c>
      <c r="E97" s="85">
        <v>1393881.33333333</v>
      </c>
      <c r="F97" s="911">
        <v>1056272.83333333</v>
      </c>
      <c r="G97" s="220">
        <v>641086.5</v>
      </c>
      <c r="H97" s="914">
        <f t="shared" ref="H97:H101" si="46">F97+G97</f>
        <v>1697359.33333333</v>
      </c>
      <c r="I97" s="220">
        <f t="shared" ref="I97:I101" si="47">H97-E97</f>
        <v>303478</v>
      </c>
      <c r="J97" s="912">
        <v>114857.6</v>
      </c>
      <c r="K97" s="912">
        <f t="shared" ref="K97:K101" si="48">H97*0.08</f>
        <v>135788.746666666</v>
      </c>
      <c r="L97" s="912">
        <f t="shared" ref="L97:L101" si="49">K97-J97</f>
        <v>20931.1466666664</v>
      </c>
      <c r="M97" s="912">
        <v>18254.975</v>
      </c>
      <c r="N97" s="912">
        <f>0.025*F97</f>
        <v>26406.8208333333</v>
      </c>
      <c r="O97" s="912">
        <f t="shared" ref="O97:O101" si="50">N97-M97</f>
        <v>8151.84583333325</v>
      </c>
      <c r="P97" s="912">
        <f t="shared" ref="P97:P101" si="51">12*K97</f>
        <v>1629464.96</v>
      </c>
      <c r="Q97" s="912">
        <f t="shared" ref="Q97:Q101" si="52">N97*12</f>
        <v>316881.849999999</v>
      </c>
    </row>
    <row r="98" customHeight="1" spans="1:17">
      <c r="A98" s="10">
        <v>2</v>
      </c>
      <c r="B98" s="11" t="s">
        <v>229</v>
      </c>
      <c r="C98" s="4" t="s">
        <v>230</v>
      </c>
      <c r="D98" s="15" t="s">
        <v>47</v>
      </c>
      <c r="E98" s="85">
        <v>470498</v>
      </c>
      <c r="F98" s="911">
        <v>357066.666666667</v>
      </c>
      <c r="G98" s="220">
        <v>216844.416666667</v>
      </c>
      <c r="H98" s="914">
        <f t="shared" si="46"/>
        <v>573911.083333334</v>
      </c>
      <c r="I98" s="220">
        <f t="shared" si="47"/>
        <v>103413.083333334</v>
      </c>
      <c r="J98" s="912">
        <v>36529.78</v>
      </c>
      <c r="K98" s="912">
        <f t="shared" si="48"/>
        <v>45912.8866666667</v>
      </c>
      <c r="L98" s="912">
        <f t="shared" si="49"/>
        <v>9383.10666666672</v>
      </c>
      <c r="M98" s="912"/>
      <c r="N98" s="912"/>
      <c r="O98" s="912">
        <f t="shared" si="50"/>
        <v>0</v>
      </c>
      <c r="P98" s="912">
        <f t="shared" si="51"/>
        <v>550954.640000001</v>
      </c>
      <c r="Q98" s="912">
        <f t="shared" si="52"/>
        <v>0</v>
      </c>
    </row>
    <row r="99" customHeight="1" spans="1:17">
      <c r="A99" s="10">
        <v>3</v>
      </c>
      <c r="B99" s="11" t="s">
        <v>231</v>
      </c>
      <c r="C99" s="12" t="s">
        <v>232</v>
      </c>
      <c r="D99" s="15" t="s">
        <v>64</v>
      </c>
      <c r="E99" s="85">
        <v>403137.916666667</v>
      </c>
      <c r="F99" s="911">
        <v>311673.25</v>
      </c>
      <c r="G99" s="220">
        <v>185799.5</v>
      </c>
      <c r="H99" s="914">
        <f t="shared" si="46"/>
        <v>497472.75</v>
      </c>
      <c r="I99" s="220">
        <f t="shared" si="47"/>
        <v>94334.833333333</v>
      </c>
      <c r="J99" s="912">
        <v>31219.91</v>
      </c>
      <c r="K99" s="912">
        <f t="shared" si="48"/>
        <v>39797.82</v>
      </c>
      <c r="L99" s="912">
        <f t="shared" si="49"/>
        <v>8577.91</v>
      </c>
      <c r="M99" s="912">
        <v>5967.30625</v>
      </c>
      <c r="N99" s="912">
        <f>0.025*F99</f>
        <v>7791.83125</v>
      </c>
      <c r="O99" s="912">
        <f t="shared" si="50"/>
        <v>1824.525</v>
      </c>
      <c r="P99" s="912">
        <f t="shared" si="51"/>
        <v>477573.84</v>
      </c>
      <c r="Q99" s="912">
        <f t="shared" si="52"/>
        <v>93501.975</v>
      </c>
    </row>
    <row r="100" customHeight="1" spans="1:17">
      <c r="A100" s="10">
        <v>4</v>
      </c>
      <c r="B100" s="11" t="s">
        <v>235</v>
      </c>
      <c r="C100" s="4" t="s">
        <v>651</v>
      </c>
      <c r="D100" s="15" t="s">
        <v>173</v>
      </c>
      <c r="E100" s="85">
        <v>390086.5</v>
      </c>
      <c r="F100" s="911">
        <v>302878.666666667</v>
      </c>
      <c r="G100" s="220">
        <v>179784</v>
      </c>
      <c r="H100" s="914">
        <f t="shared" si="46"/>
        <v>482662.666666667</v>
      </c>
      <c r="I100" s="220">
        <f t="shared" si="47"/>
        <v>92576.166666667</v>
      </c>
      <c r="J100" s="912">
        <v>30231.6133333333</v>
      </c>
      <c r="K100" s="912">
        <f t="shared" si="48"/>
        <v>38613.0133333334</v>
      </c>
      <c r="L100" s="912">
        <f t="shared" si="49"/>
        <v>8381.40000000006</v>
      </c>
      <c r="M100" s="912"/>
      <c r="N100" s="912"/>
      <c r="O100" s="912">
        <f t="shared" si="50"/>
        <v>0</v>
      </c>
      <c r="P100" s="912">
        <f t="shared" si="51"/>
        <v>463356.16</v>
      </c>
      <c r="Q100" s="912">
        <f t="shared" si="52"/>
        <v>0</v>
      </c>
    </row>
    <row r="101" customHeight="1" spans="1:17">
      <c r="A101" s="10">
        <v>5</v>
      </c>
      <c r="B101" s="11" t="s">
        <v>236</v>
      </c>
      <c r="C101" s="4" t="s">
        <v>200</v>
      </c>
      <c r="D101" s="15" t="s">
        <v>78</v>
      </c>
      <c r="E101" s="220">
        <v>308901.5</v>
      </c>
      <c r="F101" s="911">
        <v>246171.166666667</v>
      </c>
      <c r="G101" s="220">
        <v>143964.666666667</v>
      </c>
      <c r="H101" s="914">
        <f t="shared" si="46"/>
        <v>390135.833333334</v>
      </c>
      <c r="I101" s="220">
        <f t="shared" si="47"/>
        <v>81234.333333334</v>
      </c>
      <c r="J101" s="912">
        <v>24077.2466666667</v>
      </c>
      <c r="K101" s="912">
        <f t="shared" si="48"/>
        <v>31210.8666666667</v>
      </c>
      <c r="L101" s="912">
        <f t="shared" si="49"/>
        <v>7133.62000000002</v>
      </c>
      <c r="M101" s="912"/>
      <c r="N101" s="912"/>
      <c r="O101" s="912">
        <f t="shared" si="50"/>
        <v>0</v>
      </c>
      <c r="P101" s="912">
        <f t="shared" si="51"/>
        <v>374530.400000001</v>
      </c>
      <c r="Q101" s="912">
        <f t="shared" si="52"/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53">SUM(E97:E101)</f>
        <v>2966505.25</v>
      </c>
      <c r="F102" s="915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56"/>
      <c r="F103" s="916"/>
      <c r="G103" s="156"/>
      <c r="H103" s="220"/>
      <c r="I103" s="220"/>
      <c r="J103" s="912"/>
      <c r="K103" s="912"/>
      <c r="L103" s="912"/>
      <c r="M103" s="912"/>
      <c r="N103" s="912"/>
      <c r="O103" s="912"/>
      <c r="P103" s="912"/>
      <c r="Q103" s="912"/>
    </row>
    <row r="104" customHeight="1" spans="1:17">
      <c r="A104" s="4"/>
      <c r="B104" s="20" t="s">
        <v>239</v>
      </c>
      <c r="C104" s="4"/>
      <c r="D104" s="4"/>
      <c r="E104" s="4"/>
      <c r="F104" s="917"/>
      <c r="G104" s="4"/>
      <c r="H104" s="220"/>
      <c r="I104" s="220"/>
      <c r="J104" s="912"/>
      <c r="K104" s="912"/>
      <c r="L104" s="912"/>
      <c r="M104" s="912"/>
      <c r="N104" s="912"/>
      <c r="O104" s="912"/>
      <c r="P104" s="912"/>
      <c r="Q104" s="912"/>
    </row>
    <row r="105" customHeight="1" spans="1:17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911">
        <v>1086777.08333333</v>
      </c>
      <c r="G105" s="220">
        <v>660329.333333333</v>
      </c>
      <c r="H105" s="914">
        <f t="shared" ref="H105:H111" si="54">F105+G105</f>
        <v>1747106.41666666</v>
      </c>
      <c r="I105" s="220">
        <f t="shared" ref="I105:I111" si="55">H105-E105</f>
        <v>311386.416666663</v>
      </c>
      <c r="J105" s="912">
        <v>114857.6</v>
      </c>
      <c r="K105" s="912">
        <f t="shared" ref="K105:K111" si="56">H105*0.08</f>
        <v>139768.513333333</v>
      </c>
      <c r="L105" s="912">
        <f t="shared" ref="L105:L111" si="57">K105-J105</f>
        <v>24910.913333333</v>
      </c>
      <c r="M105" s="912">
        <v>0</v>
      </c>
      <c r="N105" s="912"/>
      <c r="O105" s="912">
        <f t="shared" ref="O105:O111" si="58">N105-M105</f>
        <v>0</v>
      </c>
      <c r="P105" s="912">
        <f t="shared" ref="P105:P111" si="59">K105*12</f>
        <v>1677222.16</v>
      </c>
      <c r="Q105" s="912"/>
    </row>
    <row r="106" customHeight="1" spans="1:17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911">
        <v>554669.5</v>
      </c>
      <c r="G106" s="220">
        <v>350637.25</v>
      </c>
      <c r="H106" s="914">
        <f t="shared" si="54"/>
        <v>905306.75</v>
      </c>
      <c r="I106" s="220">
        <f t="shared" si="55"/>
        <v>142933.583333333</v>
      </c>
      <c r="J106" s="912">
        <v>60989.8533333333</v>
      </c>
      <c r="K106" s="912">
        <f t="shared" si="56"/>
        <v>72424.54</v>
      </c>
      <c r="L106" s="912">
        <f t="shared" si="57"/>
        <v>11434.6866666667</v>
      </c>
      <c r="M106" s="912">
        <v>10293.3979166667</v>
      </c>
      <c r="N106" s="912">
        <f>0.025*F106</f>
        <v>13866.7375</v>
      </c>
      <c r="O106" s="912">
        <f t="shared" si="58"/>
        <v>3573.3395833333</v>
      </c>
      <c r="P106" s="912">
        <f t="shared" si="59"/>
        <v>869094.48</v>
      </c>
      <c r="Q106" s="912">
        <f>N106*12</f>
        <v>166400.85</v>
      </c>
    </row>
    <row r="107" customHeight="1" spans="1:17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911">
        <v>337730.833333333</v>
      </c>
      <c r="G107" s="220">
        <v>203620.5</v>
      </c>
      <c r="H107" s="914">
        <f t="shared" si="54"/>
        <v>541351.333333333</v>
      </c>
      <c r="I107" s="220">
        <f t="shared" si="55"/>
        <v>99546.416666666</v>
      </c>
      <c r="J107" s="912">
        <v>35344.3933333333</v>
      </c>
      <c r="K107" s="912">
        <f t="shared" si="56"/>
        <v>43308.1066666666</v>
      </c>
      <c r="L107" s="912">
        <f t="shared" si="57"/>
        <v>7963.71333333335</v>
      </c>
      <c r="M107" s="912">
        <v>5954.61041666667</v>
      </c>
      <c r="N107" s="912">
        <f>0.025*F107</f>
        <v>8443.27083333333</v>
      </c>
      <c r="O107" s="912">
        <f t="shared" si="58"/>
        <v>2488.66041666666</v>
      </c>
      <c r="P107" s="912">
        <f t="shared" si="59"/>
        <v>519697.28</v>
      </c>
      <c r="Q107" s="912">
        <f>N107*12</f>
        <v>101319.25</v>
      </c>
    </row>
    <row r="108" customHeight="1" spans="1:17">
      <c r="A108" s="4">
        <v>4</v>
      </c>
      <c r="B108" s="11" t="s">
        <v>246</v>
      </c>
      <c r="C108" s="4" t="s">
        <v>653</v>
      </c>
      <c r="D108" s="10" t="s">
        <v>56</v>
      </c>
      <c r="E108" s="85">
        <v>441804.916666667</v>
      </c>
      <c r="F108" s="911">
        <v>337730.833333333</v>
      </c>
      <c r="G108" s="220">
        <v>203620.5</v>
      </c>
      <c r="H108" s="914">
        <f t="shared" si="54"/>
        <v>541351.333333333</v>
      </c>
      <c r="I108" s="220">
        <f t="shared" si="55"/>
        <v>99546.416666666</v>
      </c>
      <c r="J108" s="912">
        <v>35344.3933333333</v>
      </c>
      <c r="K108" s="912">
        <f t="shared" si="56"/>
        <v>43308.1066666666</v>
      </c>
      <c r="L108" s="912">
        <f t="shared" si="57"/>
        <v>7963.71333333335</v>
      </c>
      <c r="M108" s="912"/>
      <c r="N108" s="912"/>
      <c r="O108" s="912">
        <f t="shared" si="58"/>
        <v>0</v>
      </c>
      <c r="P108" s="912">
        <f t="shared" si="59"/>
        <v>519697.28</v>
      </c>
      <c r="Q108" s="912"/>
    </row>
    <row r="109" customHeight="1" spans="1:17">
      <c r="A109" s="4">
        <v>5</v>
      </c>
      <c r="B109" s="11" t="s">
        <v>249</v>
      </c>
      <c r="C109" s="4" t="s">
        <v>250</v>
      </c>
      <c r="D109" s="15" t="s">
        <v>603</v>
      </c>
      <c r="E109" s="220">
        <v>255320.583333333</v>
      </c>
      <c r="F109" s="911">
        <v>213104.416666667</v>
      </c>
      <c r="G109" s="220">
        <v>116846</v>
      </c>
      <c r="H109" s="914">
        <f t="shared" si="54"/>
        <v>329950.416666667</v>
      </c>
      <c r="I109" s="220">
        <f t="shared" si="55"/>
        <v>74629.833333334</v>
      </c>
      <c r="J109" s="912">
        <v>19931.8733333333</v>
      </c>
      <c r="K109" s="912">
        <f t="shared" si="56"/>
        <v>26396.0333333334</v>
      </c>
      <c r="L109" s="912">
        <f t="shared" si="57"/>
        <v>6464.16000000006</v>
      </c>
      <c r="M109" s="912"/>
      <c r="N109" s="912"/>
      <c r="O109" s="912">
        <f t="shared" si="58"/>
        <v>0</v>
      </c>
      <c r="P109" s="912">
        <f t="shared" si="59"/>
        <v>316752.4</v>
      </c>
      <c r="Q109" s="912"/>
    </row>
    <row r="110" customHeight="1" spans="1:17">
      <c r="A110" s="4">
        <v>6</v>
      </c>
      <c r="B110" s="18" t="s">
        <v>252</v>
      </c>
      <c r="C110" s="4" t="s">
        <v>250</v>
      </c>
      <c r="D110" s="10" t="s">
        <v>225</v>
      </c>
      <c r="E110" s="220">
        <v>255849</v>
      </c>
      <c r="F110" s="911">
        <v>212792.166666667</v>
      </c>
      <c r="G110" s="220">
        <v>117614.916666667</v>
      </c>
      <c r="H110" s="914">
        <f t="shared" si="54"/>
        <v>330407.083333334</v>
      </c>
      <c r="I110" s="220">
        <f t="shared" si="55"/>
        <v>74558.083333334</v>
      </c>
      <c r="J110" s="912">
        <v>21053.2266666667</v>
      </c>
      <c r="K110" s="912">
        <f t="shared" si="56"/>
        <v>26432.5666666667</v>
      </c>
      <c r="L110" s="912">
        <f t="shared" si="57"/>
        <v>5379.34000000002</v>
      </c>
      <c r="M110" s="912"/>
      <c r="N110" s="912"/>
      <c r="O110" s="912">
        <f t="shared" si="58"/>
        <v>0</v>
      </c>
      <c r="P110" s="912">
        <f t="shared" si="59"/>
        <v>317190.800000001</v>
      </c>
      <c r="Q110" s="912"/>
    </row>
    <row r="111" customHeight="1" spans="1:17">
      <c r="A111" s="4">
        <v>7</v>
      </c>
      <c r="B111" s="18" t="s">
        <v>253</v>
      </c>
      <c r="C111" s="4" t="s">
        <v>250</v>
      </c>
      <c r="D111" s="15" t="s">
        <v>105</v>
      </c>
      <c r="E111" s="220">
        <v>236804.083333333</v>
      </c>
      <c r="F111" s="911">
        <v>200549.416666667</v>
      </c>
      <c r="G111" s="220">
        <v>108371.25</v>
      </c>
      <c r="H111" s="914">
        <f t="shared" si="54"/>
        <v>308920.666666667</v>
      </c>
      <c r="I111" s="220">
        <f t="shared" si="55"/>
        <v>72116.583333334</v>
      </c>
      <c r="J111" s="912">
        <v>18450.5533333333</v>
      </c>
      <c r="K111" s="912">
        <f t="shared" si="56"/>
        <v>24713.6533333334</v>
      </c>
      <c r="L111" s="912">
        <f t="shared" si="57"/>
        <v>6263.10000000006</v>
      </c>
      <c r="M111" s="912"/>
      <c r="N111" s="912"/>
      <c r="O111" s="912">
        <f t="shared" si="58"/>
        <v>0</v>
      </c>
      <c r="P111" s="912">
        <f t="shared" si="59"/>
        <v>296563.84</v>
      </c>
      <c r="Q111" s="912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21"/>
      <c r="I113" s="220"/>
      <c r="J113" s="912"/>
      <c r="K113" s="912"/>
      <c r="L113" s="912"/>
      <c r="M113" s="912"/>
      <c r="N113" s="912"/>
      <c r="O113" s="912"/>
      <c r="P113" s="912"/>
      <c r="Q113" s="912"/>
    </row>
    <row r="114" customHeight="1" spans="1:17">
      <c r="A114" s="10"/>
      <c r="B114" s="20" t="s">
        <v>257</v>
      </c>
      <c r="C114" s="21"/>
      <c r="D114" s="21"/>
      <c r="E114" s="156"/>
      <c r="F114" s="916"/>
      <c r="G114" s="156"/>
      <c r="H114" s="220"/>
      <c r="I114" s="220"/>
      <c r="J114" s="912"/>
      <c r="K114" s="912"/>
      <c r="L114" s="912"/>
      <c r="M114" s="912"/>
      <c r="N114" s="912"/>
      <c r="O114" s="912"/>
      <c r="P114" s="912"/>
      <c r="Q114" s="912"/>
    </row>
    <row r="115" ht="18.75" customHeight="1" spans="1:17">
      <c r="A115" s="10">
        <v>1</v>
      </c>
      <c r="B115" s="11" t="s">
        <v>259</v>
      </c>
      <c r="C115" s="4" t="s">
        <v>260</v>
      </c>
      <c r="D115" s="15" t="s">
        <v>173</v>
      </c>
      <c r="E115" s="85">
        <v>390086.5</v>
      </c>
      <c r="F115" s="911">
        <v>302878.666666667</v>
      </c>
      <c r="G115" s="220">
        <v>179784</v>
      </c>
      <c r="H115" s="914">
        <f t="shared" ref="H115:H117" si="61">F115+G115</f>
        <v>482662.666666667</v>
      </c>
      <c r="I115" s="220">
        <f t="shared" ref="I115:I117" si="62">H115-E115</f>
        <v>92576.166666667</v>
      </c>
      <c r="J115" s="912">
        <v>30231.6133333333</v>
      </c>
      <c r="K115" s="912">
        <f t="shared" ref="K115:K117" si="63">H115*0.08</f>
        <v>38613.0133333334</v>
      </c>
      <c r="L115" s="912">
        <f t="shared" ref="L115:L117" si="64">K115-J115</f>
        <v>8381.40000000006</v>
      </c>
      <c r="M115" s="912"/>
      <c r="N115" s="912"/>
      <c r="O115" s="912">
        <f t="shared" ref="O115:O117" si="65">N115-M115</f>
        <v>0</v>
      </c>
      <c r="P115" s="912">
        <f t="shared" ref="P115:P117" si="66">12*K115</f>
        <v>463356.16</v>
      </c>
      <c r="Q115" s="912"/>
    </row>
    <row r="116" ht="18.75" customHeight="1" spans="1:17">
      <c r="A116" s="10">
        <v>2</v>
      </c>
      <c r="B116" s="11" t="s">
        <v>480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220">
        <v>174165.25</v>
      </c>
      <c r="H116" s="914">
        <f t="shared" si="61"/>
        <v>468828.166666667</v>
      </c>
      <c r="I116" s="220">
        <f t="shared" si="62"/>
        <v>90933</v>
      </c>
      <c r="J116" s="912">
        <v>30231.6133333333</v>
      </c>
      <c r="K116" s="912">
        <f t="shared" si="63"/>
        <v>37506.2533333334</v>
      </c>
      <c r="L116" s="912">
        <f t="shared" si="64"/>
        <v>7274.64000000006</v>
      </c>
      <c r="M116" s="912"/>
      <c r="N116" s="912"/>
      <c r="O116" s="912">
        <f t="shared" si="65"/>
        <v>0</v>
      </c>
      <c r="P116" s="912">
        <f t="shared" si="66"/>
        <v>450075.04</v>
      </c>
      <c r="Q116" s="912"/>
    </row>
    <row r="117" customHeight="1" spans="1:17">
      <c r="A117" s="10">
        <v>3</v>
      </c>
      <c r="B117" s="11" t="s">
        <v>193</v>
      </c>
      <c r="C117" s="12" t="s">
        <v>194</v>
      </c>
      <c r="D117" s="15" t="s">
        <v>67</v>
      </c>
      <c r="E117" s="85">
        <v>390248.916666667</v>
      </c>
      <c r="F117" s="911">
        <v>302987.416666667</v>
      </c>
      <c r="G117" s="220">
        <v>179859.166666667</v>
      </c>
      <c r="H117" s="914">
        <f t="shared" si="61"/>
        <v>482846.583333334</v>
      </c>
      <c r="I117" s="220">
        <f t="shared" si="62"/>
        <v>92597.666666667</v>
      </c>
      <c r="J117" s="912">
        <v>31219.91</v>
      </c>
      <c r="K117" s="912">
        <f t="shared" si="63"/>
        <v>38627.7266666667</v>
      </c>
      <c r="L117" s="912">
        <f t="shared" si="64"/>
        <v>7407.81666666672</v>
      </c>
      <c r="M117" s="912">
        <v>5967.30625</v>
      </c>
      <c r="N117" s="912">
        <f>0.025*F117</f>
        <v>7574.68541666667</v>
      </c>
      <c r="O117" s="912">
        <f t="shared" si="65"/>
        <v>1607.37916666667</v>
      </c>
      <c r="P117" s="912">
        <f t="shared" si="66"/>
        <v>463532.720000001</v>
      </c>
      <c r="Q117" s="912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67">SUM(E115:E117)</f>
        <v>1158230.58333333</v>
      </c>
      <c r="F118" s="915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5"/>
      <c r="G119" s="93"/>
      <c r="H119" s="93"/>
      <c r="I119" s="220"/>
      <c r="J119" s="912"/>
      <c r="K119" s="912"/>
      <c r="L119" s="912"/>
      <c r="M119" s="912"/>
      <c r="N119" s="912"/>
      <c r="O119" s="912"/>
      <c r="P119" s="912"/>
      <c r="Q119" s="912"/>
    </row>
    <row r="120" ht="24.75" customHeight="1" spans="1:17">
      <c r="A120" s="10"/>
      <c r="B120" s="20" t="s">
        <v>268</v>
      </c>
      <c r="C120" s="21"/>
      <c r="D120" s="21"/>
      <c r="E120" s="156"/>
      <c r="F120" s="916"/>
      <c r="G120" s="156"/>
      <c r="H120" s="220"/>
      <c r="I120" s="220"/>
      <c r="J120" s="912"/>
      <c r="K120" s="912"/>
      <c r="L120" s="912"/>
      <c r="M120" s="912"/>
      <c r="N120" s="912"/>
      <c r="O120" s="912"/>
      <c r="P120" s="912"/>
      <c r="Q120" s="912"/>
    </row>
    <row r="121" ht="24.75" customHeight="1" spans="1:17">
      <c r="A121" s="10">
        <v>2</v>
      </c>
      <c r="B121" s="11" t="s">
        <v>271</v>
      </c>
      <c r="C121" s="4" t="s">
        <v>272</v>
      </c>
      <c r="D121" s="10" t="s">
        <v>275</v>
      </c>
      <c r="E121" s="85">
        <v>218287.583333333</v>
      </c>
      <c r="F121" s="911">
        <v>187994.416666667</v>
      </c>
      <c r="G121" s="220">
        <v>99896.5</v>
      </c>
      <c r="H121" s="914">
        <f t="shared" ref="H121:H135" si="68">F121+G121</f>
        <v>287890.916666667</v>
      </c>
      <c r="I121" s="220">
        <f t="shared" ref="I121:I135" si="69">H121-E121</f>
        <v>69603.333333334</v>
      </c>
      <c r="J121" s="912">
        <v>17463.0066666666</v>
      </c>
      <c r="K121" s="912">
        <f t="shared" ref="K121:K135" si="70">H121*0.08</f>
        <v>23031.2733333334</v>
      </c>
      <c r="L121" s="912">
        <f t="shared" ref="L121:L135" si="71">K121-J121</f>
        <v>5568.26666666676</v>
      </c>
      <c r="M121" s="912"/>
      <c r="N121" s="912"/>
      <c r="O121" s="912">
        <f t="shared" ref="O121:O135" si="72">N121-M121</f>
        <v>0</v>
      </c>
      <c r="P121" s="912">
        <f t="shared" ref="P121:P135" si="73">12*K121</f>
        <v>276375.28</v>
      </c>
      <c r="Q121" s="912"/>
    </row>
    <row r="122" ht="24.75" customHeight="1" spans="1:17">
      <c r="A122" s="10">
        <v>3</v>
      </c>
      <c r="B122" s="11" t="s">
        <v>276</v>
      </c>
      <c r="C122" s="4" t="s">
        <v>277</v>
      </c>
      <c r="D122" s="10" t="s">
        <v>275</v>
      </c>
      <c r="E122" s="85">
        <v>218287.583333333</v>
      </c>
      <c r="F122" s="911">
        <v>187994.416666667</v>
      </c>
      <c r="G122" s="220">
        <v>99896.5</v>
      </c>
      <c r="H122" s="914">
        <f t="shared" si="68"/>
        <v>287890.916666667</v>
      </c>
      <c r="I122" s="220">
        <f t="shared" si="69"/>
        <v>69603.333333334</v>
      </c>
      <c r="J122" s="912">
        <v>17463.0066666666</v>
      </c>
      <c r="K122" s="912">
        <f t="shared" si="70"/>
        <v>23031.2733333334</v>
      </c>
      <c r="L122" s="912">
        <f t="shared" si="71"/>
        <v>5568.26666666676</v>
      </c>
      <c r="M122" s="912"/>
      <c r="N122" s="912"/>
      <c r="O122" s="912">
        <f t="shared" si="72"/>
        <v>0</v>
      </c>
      <c r="P122" s="912">
        <f t="shared" si="73"/>
        <v>276375.28</v>
      </c>
      <c r="Q122" s="912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74">SUM(E121:E122)</f>
        <v>436575.166666666</v>
      </c>
      <c r="F123" s="915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5"/>
      <c r="G124" s="93"/>
      <c r="H124" s="93"/>
      <c r="I124" s="220"/>
      <c r="J124" s="912"/>
      <c r="K124" s="912"/>
      <c r="L124" s="912"/>
      <c r="M124" s="912"/>
      <c r="N124" s="912"/>
      <c r="O124" s="912"/>
      <c r="P124" s="912"/>
      <c r="Q124" s="912"/>
    </row>
    <row r="125" customHeight="1" spans="1:17">
      <c r="A125" s="4"/>
      <c r="B125" s="20" t="s">
        <v>278</v>
      </c>
      <c r="C125" s="21"/>
      <c r="D125" s="21"/>
      <c r="E125" s="156"/>
      <c r="F125" s="916"/>
      <c r="G125" s="156"/>
      <c r="H125" s="220"/>
      <c r="I125" s="220"/>
      <c r="J125" s="912"/>
      <c r="K125" s="912"/>
      <c r="L125" s="912"/>
      <c r="M125" s="912"/>
      <c r="N125" s="912"/>
      <c r="O125" s="912"/>
      <c r="P125" s="912"/>
      <c r="Q125" s="912"/>
    </row>
    <row r="126" customHeight="1" spans="1:17">
      <c r="A126" s="4">
        <v>1</v>
      </c>
      <c r="B126" s="11" t="s">
        <v>279</v>
      </c>
      <c r="C126" s="12" t="s">
        <v>280</v>
      </c>
      <c r="D126" s="15" t="s">
        <v>124</v>
      </c>
      <c r="E126" s="85">
        <v>1435720</v>
      </c>
      <c r="F126" s="911">
        <v>1086777.08333333</v>
      </c>
      <c r="G126" s="220">
        <v>660329.333333333</v>
      </c>
      <c r="H126" s="914">
        <f t="shared" si="68"/>
        <v>1747106.41666666</v>
      </c>
      <c r="I126" s="220">
        <f t="shared" si="69"/>
        <v>311386.416666663</v>
      </c>
      <c r="J126" s="912">
        <v>114857.6</v>
      </c>
      <c r="K126" s="912">
        <f t="shared" si="70"/>
        <v>139768.513333333</v>
      </c>
      <c r="L126" s="912">
        <f t="shared" si="71"/>
        <v>24910.913333333</v>
      </c>
      <c r="M126" s="912">
        <v>19384.7666666667</v>
      </c>
      <c r="N126" s="912">
        <f t="shared" ref="N126:N128" si="75">0.025*F126</f>
        <v>27169.4270833333</v>
      </c>
      <c r="O126" s="912">
        <f t="shared" si="72"/>
        <v>7784.66041666655</v>
      </c>
      <c r="P126" s="912">
        <f t="shared" si="73"/>
        <v>1677222.16</v>
      </c>
      <c r="Q126" s="912">
        <f t="shared" ref="Q126:Q135" si="76">N126*12</f>
        <v>326033.124999999</v>
      </c>
    </row>
    <row r="127" customHeight="1" spans="1:17">
      <c r="A127" s="4">
        <v>2</v>
      </c>
      <c r="B127" s="11" t="s">
        <v>281</v>
      </c>
      <c r="C127" s="12" t="s">
        <v>654</v>
      </c>
      <c r="D127" s="15" t="s">
        <v>36</v>
      </c>
      <c r="E127" s="85">
        <v>762373.166666667</v>
      </c>
      <c r="F127" s="911">
        <v>554669.5</v>
      </c>
      <c r="G127" s="220">
        <v>350637.25</v>
      </c>
      <c r="H127" s="914">
        <f t="shared" si="68"/>
        <v>905306.75</v>
      </c>
      <c r="I127" s="220">
        <f t="shared" si="69"/>
        <v>142933.583333333</v>
      </c>
      <c r="J127" s="912">
        <v>59136.2866666667</v>
      </c>
      <c r="K127" s="912">
        <f t="shared" si="70"/>
        <v>72424.54</v>
      </c>
      <c r="L127" s="912">
        <f t="shared" si="71"/>
        <v>13288.2533333333</v>
      </c>
      <c r="M127" s="912">
        <v>9980.56666666667</v>
      </c>
      <c r="N127" s="912">
        <f t="shared" si="75"/>
        <v>13866.7375</v>
      </c>
      <c r="O127" s="912">
        <f t="shared" si="72"/>
        <v>3886.17083333333</v>
      </c>
      <c r="P127" s="912">
        <f t="shared" si="73"/>
        <v>869094.48</v>
      </c>
      <c r="Q127" s="912">
        <f t="shared" si="76"/>
        <v>166400.85</v>
      </c>
    </row>
    <row r="128" customHeight="1" spans="1:17">
      <c r="A128" s="4">
        <v>3</v>
      </c>
      <c r="B128" s="14" t="s">
        <v>283</v>
      </c>
      <c r="C128" s="12" t="s">
        <v>655</v>
      </c>
      <c r="D128" s="15" t="s">
        <v>143</v>
      </c>
      <c r="E128" s="85">
        <v>716034</v>
      </c>
      <c r="F128" s="911">
        <v>523386.5</v>
      </c>
      <c r="G128" s="220">
        <v>329324.583333333</v>
      </c>
      <c r="H128" s="914">
        <f t="shared" si="68"/>
        <v>852711.083333333</v>
      </c>
      <c r="I128" s="220">
        <f t="shared" si="69"/>
        <v>136677.083333333</v>
      </c>
      <c r="J128" s="912">
        <v>59136.2866666667</v>
      </c>
      <c r="K128" s="912">
        <f t="shared" si="70"/>
        <v>68216.8866666666</v>
      </c>
      <c r="L128" s="912">
        <f t="shared" si="71"/>
        <v>9080.59999999994</v>
      </c>
      <c r="M128" s="912">
        <v>9980.56666666667</v>
      </c>
      <c r="N128" s="912">
        <f t="shared" si="75"/>
        <v>13084.6625</v>
      </c>
      <c r="O128" s="912">
        <f t="shared" si="72"/>
        <v>3104.09583333333</v>
      </c>
      <c r="P128" s="912">
        <f t="shared" si="73"/>
        <v>818602.64</v>
      </c>
      <c r="Q128" s="912">
        <f t="shared" si="76"/>
        <v>157015.95</v>
      </c>
    </row>
    <row r="129" customHeight="1" spans="1:17">
      <c r="A129" s="4">
        <v>4</v>
      </c>
      <c r="B129" s="11" t="s">
        <v>286</v>
      </c>
      <c r="C129" s="12" t="s">
        <v>288</v>
      </c>
      <c r="D129" s="15" t="s">
        <v>192</v>
      </c>
      <c r="E129" s="85">
        <v>484373.75</v>
      </c>
      <c r="F129" s="911">
        <v>366417.5</v>
      </c>
      <c r="G129" s="220">
        <v>223239.5</v>
      </c>
      <c r="H129" s="914">
        <f t="shared" si="68"/>
        <v>589657</v>
      </c>
      <c r="I129" s="220">
        <f t="shared" si="69"/>
        <v>105283.25</v>
      </c>
      <c r="J129" s="912">
        <v>37639.84</v>
      </c>
      <c r="K129" s="912">
        <f t="shared" si="70"/>
        <v>47172.56</v>
      </c>
      <c r="L129" s="912">
        <f t="shared" si="71"/>
        <v>9532.72</v>
      </c>
      <c r="M129" s="912">
        <v>0</v>
      </c>
      <c r="N129" s="912"/>
      <c r="O129" s="912">
        <f t="shared" si="72"/>
        <v>0</v>
      </c>
      <c r="P129" s="912">
        <f t="shared" si="73"/>
        <v>566070.72</v>
      </c>
      <c r="Q129" s="912">
        <f t="shared" si="76"/>
        <v>0</v>
      </c>
    </row>
    <row r="130" customHeight="1" spans="1:17">
      <c r="A130" s="4">
        <v>5</v>
      </c>
      <c r="B130" s="11" t="s">
        <v>287</v>
      </c>
      <c r="C130" s="12" t="s">
        <v>656</v>
      </c>
      <c r="D130" s="15" t="s">
        <v>214</v>
      </c>
      <c r="E130" s="85">
        <v>456622.25</v>
      </c>
      <c r="F130" s="911">
        <v>347715.916666667</v>
      </c>
      <c r="G130" s="220">
        <v>210449.333333333</v>
      </c>
      <c r="H130" s="914">
        <f t="shared" si="68"/>
        <v>558165.25</v>
      </c>
      <c r="I130" s="220">
        <f t="shared" si="69"/>
        <v>101543</v>
      </c>
      <c r="J130" s="912">
        <v>35419.72</v>
      </c>
      <c r="K130" s="912">
        <f t="shared" si="70"/>
        <v>44653.22</v>
      </c>
      <c r="L130" s="912">
        <f t="shared" si="71"/>
        <v>9233.5</v>
      </c>
      <c r="M130" s="912">
        <v>5967.30625</v>
      </c>
      <c r="N130" s="912">
        <f>0.025*F130</f>
        <v>8692.89791666667</v>
      </c>
      <c r="O130" s="912">
        <f t="shared" si="72"/>
        <v>2725.59166666667</v>
      </c>
      <c r="P130" s="912">
        <f t="shared" si="73"/>
        <v>535838.64</v>
      </c>
      <c r="Q130" s="912">
        <f t="shared" si="76"/>
        <v>104314.775</v>
      </c>
    </row>
    <row r="131" customHeight="1" spans="1:17">
      <c r="A131" s="4">
        <v>6</v>
      </c>
      <c r="B131" s="11" t="s">
        <v>289</v>
      </c>
      <c r="C131" s="12" t="s">
        <v>288</v>
      </c>
      <c r="D131" s="15" t="s">
        <v>47</v>
      </c>
      <c r="E131" s="85">
        <v>470498</v>
      </c>
      <c r="F131" s="911">
        <v>357066.666666667</v>
      </c>
      <c r="G131" s="220">
        <v>216844.416666667</v>
      </c>
      <c r="H131" s="914">
        <f t="shared" si="68"/>
        <v>573911.083333334</v>
      </c>
      <c r="I131" s="220">
        <f t="shared" si="69"/>
        <v>103413.083333334</v>
      </c>
      <c r="J131" s="912">
        <v>36529.78</v>
      </c>
      <c r="K131" s="912">
        <f t="shared" si="70"/>
        <v>45912.8866666667</v>
      </c>
      <c r="L131" s="912">
        <f t="shared" si="71"/>
        <v>9383.10666666672</v>
      </c>
      <c r="M131" s="912">
        <v>6154.32291666667</v>
      </c>
      <c r="N131" s="912">
        <f>0.025*F131</f>
        <v>8926.66666666668</v>
      </c>
      <c r="O131" s="912">
        <f t="shared" si="72"/>
        <v>2772.34375000001</v>
      </c>
      <c r="P131" s="912">
        <f t="shared" si="73"/>
        <v>550954.640000001</v>
      </c>
      <c r="Q131" s="912">
        <f t="shared" si="76"/>
        <v>107120</v>
      </c>
    </row>
    <row r="132" customHeight="1" spans="1:17">
      <c r="A132" s="4">
        <v>7</v>
      </c>
      <c r="B132" s="11" t="s">
        <v>292</v>
      </c>
      <c r="C132" s="12" t="s">
        <v>657</v>
      </c>
      <c r="D132" s="10" t="s">
        <v>156</v>
      </c>
      <c r="E132" s="85">
        <v>277798</v>
      </c>
      <c r="F132" s="911">
        <v>227615.75</v>
      </c>
      <c r="G132" s="220">
        <v>127704.916666667</v>
      </c>
      <c r="H132" s="914">
        <f t="shared" si="68"/>
        <v>355320.666666667</v>
      </c>
      <c r="I132" s="220">
        <f t="shared" si="69"/>
        <v>77522.666666667</v>
      </c>
      <c r="J132" s="912">
        <v>21638.5333333333</v>
      </c>
      <c r="K132" s="912">
        <f t="shared" si="70"/>
        <v>28425.6533333334</v>
      </c>
      <c r="L132" s="912">
        <f t="shared" si="71"/>
        <v>6787.12000000006</v>
      </c>
      <c r="M132" s="912"/>
      <c r="N132" s="912"/>
      <c r="O132" s="912">
        <f t="shared" si="72"/>
        <v>0</v>
      </c>
      <c r="P132" s="912">
        <f t="shared" si="73"/>
        <v>341107.84</v>
      </c>
      <c r="Q132" s="912">
        <f t="shared" si="76"/>
        <v>0</v>
      </c>
    </row>
    <row r="133" customHeight="1" spans="1:17">
      <c r="A133" s="4">
        <v>8</v>
      </c>
      <c r="B133" s="18" t="s">
        <v>294</v>
      </c>
      <c r="C133" s="12" t="s">
        <v>295</v>
      </c>
      <c r="D133" s="15" t="s">
        <v>108</v>
      </c>
      <c r="E133" s="85">
        <v>230631.916666667</v>
      </c>
      <c r="F133" s="911">
        <v>196364.416666667</v>
      </c>
      <c r="G133" s="220">
        <v>105546.333333333</v>
      </c>
      <c r="H133" s="914">
        <f t="shared" si="68"/>
        <v>301910.75</v>
      </c>
      <c r="I133" s="220">
        <f t="shared" si="69"/>
        <v>71278.833333333</v>
      </c>
      <c r="J133" s="912">
        <v>17956.78</v>
      </c>
      <c r="K133" s="912">
        <f t="shared" si="70"/>
        <v>24152.86</v>
      </c>
      <c r="L133" s="912">
        <f t="shared" si="71"/>
        <v>6196.08</v>
      </c>
      <c r="M133" s="912">
        <v>0</v>
      </c>
      <c r="N133" s="912"/>
      <c r="O133" s="912">
        <f t="shared" si="72"/>
        <v>0</v>
      </c>
      <c r="P133" s="912">
        <f t="shared" si="73"/>
        <v>289834.32</v>
      </c>
      <c r="Q133" s="912">
        <f t="shared" si="76"/>
        <v>0</v>
      </c>
    </row>
    <row r="134" customHeight="1" spans="1:17">
      <c r="A134" s="4">
        <v>9</v>
      </c>
      <c r="B134" s="18" t="s">
        <v>296</v>
      </c>
      <c r="C134" s="12" t="s">
        <v>291</v>
      </c>
      <c r="D134" s="15" t="s">
        <v>108</v>
      </c>
      <c r="E134" s="85">
        <v>230631.916666667</v>
      </c>
      <c r="F134" s="911">
        <v>196364.416666667</v>
      </c>
      <c r="G134" s="220">
        <v>105546.333333333</v>
      </c>
      <c r="H134" s="914">
        <f t="shared" si="68"/>
        <v>301910.75</v>
      </c>
      <c r="I134" s="220">
        <f t="shared" si="69"/>
        <v>71278.833333333</v>
      </c>
      <c r="J134" s="912">
        <v>17956.78</v>
      </c>
      <c r="K134" s="912">
        <f t="shared" si="70"/>
        <v>24152.86</v>
      </c>
      <c r="L134" s="912">
        <f t="shared" si="71"/>
        <v>6196.08</v>
      </c>
      <c r="M134" s="912">
        <v>0</v>
      </c>
      <c r="N134" s="912"/>
      <c r="O134" s="912">
        <f t="shared" si="72"/>
        <v>0</v>
      </c>
      <c r="P134" s="912">
        <f t="shared" si="73"/>
        <v>289834.32</v>
      </c>
      <c r="Q134" s="912">
        <f t="shared" si="76"/>
        <v>0</v>
      </c>
    </row>
    <row r="135" customHeight="1" spans="1:17">
      <c r="A135" s="4">
        <v>10</v>
      </c>
      <c r="B135" s="18" t="s">
        <v>297</v>
      </c>
      <c r="C135" s="12" t="s">
        <v>295</v>
      </c>
      <c r="D135" s="15" t="s">
        <v>111</v>
      </c>
      <c r="E135" s="85">
        <v>224459.75</v>
      </c>
      <c r="F135" s="911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1">
        <v>17463.0066666666</v>
      </c>
      <c r="K135" s="912">
        <f t="shared" si="70"/>
        <v>23592.0666666667</v>
      </c>
      <c r="L135" s="912">
        <f t="shared" si="71"/>
        <v>6129.06000000012</v>
      </c>
      <c r="M135" s="912"/>
      <c r="N135" s="912"/>
      <c r="O135" s="912">
        <f t="shared" si="72"/>
        <v>0</v>
      </c>
      <c r="P135" s="912">
        <f t="shared" si="73"/>
        <v>283104.800000001</v>
      </c>
      <c r="Q135" s="912">
        <f t="shared" si="76"/>
        <v>0</v>
      </c>
    </row>
    <row r="136" ht="28.5" customHeight="1" spans="1:17">
      <c r="A136" s="4"/>
      <c r="B136" s="20" t="s">
        <v>120</v>
      </c>
      <c r="C136" s="26" t="s">
        <v>658</v>
      </c>
      <c r="D136" s="15"/>
      <c r="E136" s="156">
        <f t="shared" ref="E136:Q136" si="77">SUM(E126:E135)</f>
        <v>5289142.75</v>
      </c>
      <c r="F136" s="916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56"/>
      <c r="F137" s="916"/>
      <c r="G137" s="156"/>
      <c r="H137" s="220"/>
      <c r="I137" s="220"/>
      <c r="J137" s="912"/>
      <c r="K137" s="912"/>
      <c r="L137" s="912"/>
      <c r="M137" s="912"/>
      <c r="N137" s="912"/>
      <c r="O137" s="912"/>
      <c r="P137" s="912"/>
      <c r="Q137" s="912"/>
    </row>
    <row r="138" customHeight="1" spans="1:17">
      <c r="A138" s="4"/>
      <c r="B138" s="20" t="s">
        <v>299</v>
      </c>
      <c r="C138" s="12"/>
      <c r="D138" s="15"/>
      <c r="E138" s="85"/>
      <c r="F138" s="911"/>
      <c r="G138" s="85"/>
      <c r="H138" s="220"/>
      <c r="I138" s="220"/>
      <c r="J138" s="912"/>
      <c r="K138" s="912"/>
      <c r="L138" s="912"/>
      <c r="M138" s="912"/>
      <c r="N138" s="912"/>
      <c r="O138" s="912"/>
      <c r="P138" s="912"/>
      <c r="Q138" s="912"/>
    </row>
    <row r="139" customHeight="1" spans="1:17">
      <c r="A139" s="27">
        <v>1</v>
      </c>
      <c r="B139" s="14" t="s">
        <v>300</v>
      </c>
      <c r="C139" s="4" t="s">
        <v>301</v>
      </c>
      <c r="D139" s="10" t="s">
        <v>511</v>
      </c>
      <c r="E139" s="85">
        <f>'[3]Annual &amp; Monthly'!$H$44</f>
        <v>1352042.66666667</v>
      </c>
      <c r="F139" s="911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295569.333333333</v>
      </c>
      <c r="J139" s="912">
        <v>114857.6</v>
      </c>
      <c r="K139" s="912">
        <f t="shared" ref="K139:K198" si="80">H139*0.08</f>
        <v>131808.96</v>
      </c>
      <c r="L139" s="912">
        <f t="shared" ref="L139:L198" si="81">K139-J139</f>
        <v>16951.3599999998</v>
      </c>
      <c r="M139" s="912">
        <v>18254.975</v>
      </c>
      <c r="N139" s="912">
        <f t="shared" ref="N139:N143" si="82">0.025*F139</f>
        <v>25644.2083333333</v>
      </c>
      <c r="O139" s="912">
        <f t="shared" ref="O139:O198" si="83">N139-M139</f>
        <v>7389.23333333325</v>
      </c>
      <c r="P139" s="912">
        <f t="shared" ref="P139:P198" si="84">12*K139</f>
        <v>1581707.52</v>
      </c>
      <c r="Q139" s="912">
        <f t="shared" ref="Q139:Q198" si="85">N139*12</f>
        <v>307730.499999999</v>
      </c>
    </row>
    <row r="140" customHeight="1" spans="1:17">
      <c r="A140" s="27">
        <v>2</v>
      </c>
      <c r="B140" s="14" t="s">
        <v>302</v>
      </c>
      <c r="C140" s="4" t="s">
        <v>488</v>
      </c>
      <c r="D140" s="16" t="s">
        <v>36</v>
      </c>
      <c r="E140" s="85">
        <v>762373.166666667</v>
      </c>
      <c r="F140" s="911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2">
        <v>60989.8533333333</v>
      </c>
      <c r="K140" s="912">
        <f t="shared" si="80"/>
        <v>72424.54</v>
      </c>
      <c r="L140" s="912">
        <f t="shared" si="81"/>
        <v>11434.6866666667</v>
      </c>
      <c r="M140" s="912">
        <v>10293.3979166667</v>
      </c>
      <c r="N140" s="912">
        <f t="shared" si="82"/>
        <v>13866.7375</v>
      </c>
      <c r="O140" s="912">
        <f t="shared" si="83"/>
        <v>3573.3395833333</v>
      </c>
      <c r="P140" s="912">
        <f t="shared" si="84"/>
        <v>869094.48</v>
      </c>
      <c r="Q140" s="912">
        <f t="shared" si="85"/>
        <v>166400.85</v>
      </c>
    </row>
    <row r="141" customHeight="1" spans="1:17">
      <c r="A141" s="27">
        <v>3</v>
      </c>
      <c r="B141" s="11" t="s">
        <v>305</v>
      </c>
      <c r="C141" s="12" t="s">
        <v>306</v>
      </c>
      <c r="D141" s="15" t="s">
        <v>42</v>
      </c>
      <c r="E141" s="85">
        <v>582118.083333333</v>
      </c>
      <c r="F141" s="911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2">
        <v>46569.45</v>
      </c>
      <c r="K141" s="912">
        <f t="shared" si="80"/>
        <v>56057.1133333333</v>
      </c>
      <c r="L141" s="912">
        <f t="shared" si="81"/>
        <v>9487.66333333329</v>
      </c>
      <c r="M141" s="912">
        <v>8380.22708333333</v>
      </c>
      <c r="N141" s="912">
        <f t="shared" si="82"/>
        <v>10824.5270833333</v>
      </c>
      <c r="O141" s="912">
        <f t="shared" si="83"/>
        <v>2444.3</v>
      </c>
      <c r="P141" s="912">
        <f t="shared" si="84"/>
        <v>672685.359999999</v>
      </c>
      <c r="Q141" s="912">
        <f t="shared" si="85"/>
        <v>129894.325</v>
      </c>
    </row>
    <row r="142" customHeight="1" spans="1:17">
      <c r="A142" s="27">
        <v>4</v>
      </c>
      <c r="B142" s="11" t="s">
        <v>307</v>
      </c>
      <c r="C142" s="4" t="s">
        <v>489</v>
      </c>
      <c r="D142" s="15" t="s">
        <v>42</v>
      </c>
      <c r="E142" s="85">
        <v>582119.083333333</v>
      </c>
      <c r="F142" s="911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2">
        <v>46569.45</v>
      </c>
      <c r="K142" s="912">
        <f t="shared" si="80"/>
        <v>56057.1133333333</v>
      </c>
      <c r="L142" s="912">
        <f t="shared" si="81"/>
        <v>9487.66333333329</v>
      </c>
      <c r="M142" s="912">
        <v>8381.22708333333</v>
      </c>
      <c r="N142" s="912">
        <f t="shared" si="82"/>
        <v>10824.5270833333</v>
      </c>
      <c r="O142" s="912">
        <f t="shared" si="83"/>
        <v>2443.3</v>
      </c>
      <c r="P142" s="912">
        <f t="shared" si="84"/>
        <v>672685.359999999</v>
      </c>
      <c r="Q142" s="912">
        <f t="shared" si="85"/>
        <v>129894.325</v>
      </c>
    </row>
    <row r="143" customHeight="1" spans="1:17">
      <c r="A143" s="27">
        <v>5</v>
      </c>
      <c r="B143" s="11" t="s">
        <v>309</v>
      </c>
      <c r="C143" s="4" t="s">
        <v>489</v>
      </c>
      <c r="D143" s="15" t="s">
        <v>42</v>
      </c>
      <c r="E143" s="85">
        <v>582120.083333333</v>
      </c>
      <c r="F143" s="911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2">
        <v>46569.45</v>
      </c>
      <c r="K143" s="912">
        <f t="shared" si="80"/>
        <v>56057.1133333333</v>
      </c>
      <c r="L143" s="912">
        <f t="shared" si="81"/>
        <v>9487.66333333329</v>
      </c>
      <c r="M143" s="912">
        <v>8382.22708333333</v>
      </c>
      <c r="N143" s="912">
        <f t="shared" si="82"/>
        <v>10824.5270833333</v>
      </c>
      <c r="O143" s="912">
        <f t="shared" si="83"/>
        <v>2442.3</v>
      </c>
      <c r="P143" s="912">
        <f t="shared" si="84"/>
        <v>672685.359999999</v>
      </c>
      <c r="Q143" s="912">
        <f t="shared" si="85"/>
        <v>129894.325</v>
      </c>
    </row>
    <row r="144" customHeight="1" spans="1:17">
      <c r="A144" s="27">
        <v>6</v>
      </c>
      <c r="B144" s="11" t="s">
        <v>312</v>
      </c>
      <c r="C144" s="12" t="s">
        <v>232</v>
      </c>
      <c r="D144" s="15" t="s">
        <v>67</v>
      </c>
      <c r="E144" s="85">
        <v>390248.916666667</v>
      </c>
      <c r="F144" s="911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2">
        <v>31219.91</v>
      </c>
      <c r="K144" s="912">
        <f t="shared" si="80"/>
        <v>39797.82</v>
      </c>
      <c r="L144" s="912">
        <f t="shared" si="81"/>
        <v>8577.91</v>
      </c>
      <c r="M144" s="912">
        <v>0</v>
      </c>
      <c r="N144" s="912"/>
      <c r="O144" s="912">
        <f t="shared" si="83"/>
        <v>0</v>
      </c>
      <c r="P144" s="912">
        <f t="shared" si="84"/>
        <v>477573.84</v>
      </c>
      <c r="Q144" s="912">
        <f t="shared" si="85"/>
        <v>0</v>
      </c>
    </row>
    <row r="145" customHeight="1" spans="1:17">
      <c r="A145" s="27">
        <v>7</v>
      </c>
      <c r="B145" s="11" t="s">
        <v>313</v>
      </c>
      <c r="C145" s="4" t="s">
        <v>659</v>
      </c>
      <c r="D145" s="15" t="s">
        <v>67</v>
      </c>
      <c r="E145" s="85">
        <v>390248.916666667</v>
      </c>
      <c r="F145" s="911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2">
        <v>31219.91</v>
      </c>
      <c r="K145" s="912">
        <f t="shared" si="80"/>
        <v>38627.7266666667</v>
      </c>
      <c r="L145" s="912">
        <f t="shared" si="81"/>
        <v>7407.81666666672</v>
      </c>
      <c r="M145" s="912">
        <v>0</v>
      </c>
      <c r="N145" s="912"/>
      <c r="O145" s="912">
        <f t="shared" si="83"/>
        <v>0</v>
      </c>
      <c r="P145" s="912">
        <f t="shared" si="84"/>
        <v>463532.720000001</v>
      </c>
      <c r="Q145" s="912">
        <f t="shared" si="85"/>
        <v>0</v>
      </c>
    </row>
    <row r="146" customHeight="1" spans="1:17">
      <c r="A146" s="27">
        <v>8</v>
      </c>
      <c r="B146" s="11" t="s">
        <v>315</v>
      </c>
      <c r="C146" s="12" t="s">
        <v>660</v>
      </c>
      <c r="D146" s="15" t="s">
        <v>173</v>
      </c>
      <c r="E146" s="85">
        <v>390086.5</v>
      </c>
      <c r="F146" s="911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2">
        <v>30231.6133333333</v>
      </c>
      <c r="K146" s="912">
        <f t="shared" si="80"/>
        <v>38613.0133333334</v>
      </c>
      <c r="L146" s="912">
        <f t="shared" si="81"/>
        <v>8381.40000000006</v>
      </c>
      <c r="M146" s="912">
        <v>0</v>
      </c>
      <c r="N146" s="912"/>
      <c r="O146" s="912">
        <f t="shared" si="83"/>
        <v>0</v>
      </c>
      <c r="P146" s="912">
        <f t="shared" si="84"/>
        <v>463356.16</v>
      </c>
      <c r="Q146" s="912">
        <f t="shared" si="85"/>
        <v>0</v>
      </c>
    </row>
    <row r="147" customHeight="1" spans="1:17">
      <c r="A147" s="27">
        <v>9</v>
      </c>
      <c r="B147" s="11" t="s">
        <v>317</v>
      </c>
      <c r="C147" s="12" t="s">
        <v>318</v>
      </c>
      <c r="D147" s="15" t="s">
        <v>70</v>
      </c>
      <c r="E147" s="85">
        <v>377895.166666667</v>
      </c>
      <c r="F147" s="911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2">
        <v>29256.3066666667</v>
      </c>
      <c r="K147" s="912">
        <f t="shared" si="80"/>
        <v>37506.2533333334</v>
      </c>
      <c r="L147" s="912">
        <f t="shared" si="81"/>
        <v>8249.94666666666</v>
      </c>
      <c r="M147" s="912">
        <v>4928.93333333333</v>
      </c>
      <c r="N147" s="912">
        <f>0.025*F147</f>
        <v>7366.57291666668</v>
      </c>
      <c r="O147" s="912">
        <f t="shared" si="83"/>
        <v>2437.63958333335</v>
      </c>
      <c r="P147" s="912">
        <f t="shared" si="84"/>
        <v>450075.04</v>
      </c>
      <c r="Q147" s="912">
        <f t="shared" si="85"/>
        <v>88398.8750000001</v>
      </c>
    </row>
    <row r="148" customHeight="1" spans="1:17">
      <c r="A148" s="27">
        <v>10</v>
      </c>
      <c r="B148" s="18" t="s">
        <v>319</v>
      </c>
      <c r="C148" s="4" t="s">
        <v>320</v>
      </c>
      <c r="D148" s="15" t="s">
        <v>131</v>
      </c>
      <c r="E148" s="220">
        <v>365703.833333333</v>
      </c>
      <c r="F148" s="911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2">
        <v>28281</v>
      </c>
      <c r="K148" s="912">
        <f t="shared" si="80"/>
        <v>36399.4866666666</v>
      </c>
      <c r="L148" s="912">
        <f t="shared" si="81"/>
        <v>8118.48666666664</v>
      </c>
      <c r="M148" s="912">
        <v>0</v>
      </c>
      <c r="N148" s="912"/>
      <c r="O148" s="912">
        <f t="shared" si="83"/>
        <v>0</v>
      </c>
      <c r="P148" s="912">
        <f t="shared" si="84"/>
        <v>436793.84</v>
      </c>
      <c r="Q148" s="912">
        <f t="shared" si="85"/>
        <v>0</v>
      </c>
    </row>
    <row r="149" customHeight="1" spans="1:17">
      <c r="A149" s="27">
        <v>11</v>
      </c>
      <c r="B149" s="11" t="s">
        <v>321</v>
      </c>
      <c r="C149" s="4" t="s">
        <v>320</v>
      </c>
      <c r="D149" s="15" t="s">
        <v>180</v>
      </c>
      <c r="E149" s="220">
        <v>353512.5</v>
      </c>
      <c r="F149" s="911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2">
        <v>28281</v>
      </c>
      <c r="K149" s="912">
        <f t="shared" si="80"/>
        <v>35292.72</v>
      </c>
      <c r="L149" s="912">
        <f t="shared" si="81"/>
        <v>7011.72</v>
      </c>
      <c r="M149" s="912">
        <v>0</v>
      </c>
      <c r="N149" s="912"/>
      <c r="O149" s="912">
        <f t="shared" si="83"/>
        <v>0</v>
      </c>
      <c r="P149" s="912">
        <f t="shared" si="84"/>
        <v>423512.64</v>
      </c>
      <c r="Q149" s="912">
        <f t="shared" si="85"/>
        <v>0</v>
      </c>
    </row>
    <row r="150" customHeight="1" spans="1:17">
      <c r="A150" s="27">
        <v>12</v>
      </c>
      <c r="B150" s="11" t="s">
        <v>322</v>
      </c>
      <c r="C150" s="4" t="s">
        <v>320</v>
      </c>
      <c r="D150" s="15" t="s">
        <v>180</v>
      </c>
      <c r="E150" s="220">
        <v>353512.5</v>
      </c>
      <c r="F150" s="911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2">
        <v>28281</v>
      </c>
      <c r="K150" s="912">
        <f t="shared" si="80"/>
        <v>35292.72</v>
      </c>
      <c r="L150" s="912">
        <f t="shared" si="81"/>
        <v>7011.72</v>
      </c>
      <c r="M150" s="912">
        <v>4928.93333333333</v>
      </c>
      <c r="N150" s="912">
        <f>0.025*F150</f>
        <v>6955.78125</v>
      </c>
      <c r="O150" s="912">
        <f t="shared" si="83"/>
        <v>2026.84791666667</v>
      </c>
      <c r="P150" s="912">
        <f t="shared" si="84"/>
        <v>423512.64</v>
      </c>
      <c r="Q150" s="912">
        <f t="shared" si="85"/>
        <v>83469.375</v>
      </c>
    </row>
    <row r="151" customHeight="1" spans="1:17">
      <c r="A151" s="27">
        <v>13</v>
      </c>
      <c r="B151" s="11" t="s">
        <v>324</v>
      </c>
      <c r="C151" s="4" t="s">
        <v>320</v>
      </c>
      <c r="D151" s="15" t="s">
        <v>131</v>
      </c>
      <c r="E151" s="220">
        <v>365703.833333333</v>
      </c>
      <c r="F151" s="911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2">
        <v>28281</v>
      </c>
      <c r="K151" s="912">
        <f t="shared" si="80"/>
        <v>36399.4866666666</v>
      </c>
      <c r="L151" s="912">
        <f t="shared" si="81"/>
        <v>8118.48666666664</v>
      </c>
      <c r="M151" s="912">
        <v>0</v>
      </c>
      <c r="N151" s="912"/>
      <c r="O151" s="912">
        <f t="shared" si="83"/>
        <v>0</v>
      </c>
      <c r="P151" s="912">
        <f t="shared" si="84"/>
        <v>436793.84</v>
      </c>
      <c r="Q151" s="912">
        <f t="shared" si="85"/>
        <v>0</v>
      </c>
    </row>
    <row r="152" customHeight="1" spans="1:17">
      <c r="A152" s="27">
        <v>14</v>
      </c>
      <c r="B152" s="11" t="s">
        <v>325</v>
      </c>
      <c r="C152" s="12" t="s">
        <v>326</v>
      </c>
      <c r="D152" s="15" t="s">
        <v>78</v>
      </c>
      <c r="E152" s="220">
        <v>308901.5</v>
      </c>
      <c r="F152" s="911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2">
        <v>24077.2466666667</v>
      </c>
      <c r="K152" s="912">
        <f t="shared" si="80"/>
        <v>31210.8666666667</v>
      </c>
      <c r="L152" s="912">
        <f t="shared" si="81"/>
        <v>7133.62000000002</v>
      </c>
      <c r="M152" s="912">
        <v>0</v>
      </c>
      <c r="N152" s="912"/>
      <c r="O152" s="912">
        <f t="shared" si="83"/>
        <v>0</v>
      </c>
      <c r="P152" s="912">
        <f t="shared" si="84"/>
        <v>374530.400000001</v>
      </c>
      <c r="Q152" s="912">
        <f t="shared" si="85"/>
        <v>0</v>
      </c>
    </row>
    <row r="153" customHeight="1" spans="1:17">
      <c r="A153" s="27">
        <v>15</v>
      </c>
      <c r="B153" s="11" t="s">
        <v>327</v>
      </c>
      <c r="C153" s="12" t="s">
        <v>328</v>
      </c>
      <c r="D153" s="10" t="s">
        <v>86</v>
      </c>
      <c r="E153" s="85">
        <v>270481.666666667</v>
      </c>
      <c r="F153" s="911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2">
        <v>21053.2266666667</v>
      </c>
      <c r="K153" s="912">
        <f t="shared" si="80"/>
        <v>27761.2933333333</v>
      </c>
      <c r="L153" s="912">
        <f t="shared" si="81"/>
        <v>6708.06666666658</v>
      </c>
      <c r="M153" s="912">
        <v>0</v>
      </c>
      <c r="N153" s="912"/>
      <c r="O153" s="912">
        <f t="shared" si="83"/>
        <v>0</v>
      </c>
      <c r="P153" s="912">
        <f t="shared" si="84"/>
        <v>333135.519999999</v>
      </c>
      <c r="Q153" s="912">
        <f t="shared" si="85"/>
        <v>0</v>
      </c>
    </row>
    <row r="154" customHeight="1" spans="1:17">
      <c r="A154" s="27">
        <v>16</v>
      </c>
      <c r="B154" s="11" t="s">
        <v>329</v>
      </c>
      <c r="C154" s="12" t="s">
        <v>661</v>
      </c>
      <c r="D154" s="15" t="s">
        <v>153</v>
      </c>
      <c r="E154" s="220">
        <v>316837.416666667</v>
      </c>
      <c r="F154" s="911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2">
        <v>24712.12</v>
      </c>
      <c r="K154" s="912">
        <f t="shared" si="80"/>
        <v>36525.18</v>
      </c>
      <c r="L154" s="912">
        <f t="shared" si="81"/>
        <v>11813.06</v>
      </c>
      <c r="M154" s="912">
        <v>0</v>
      </c>
      <c r="N154" s="912"/>
      <c r="O154" s="912">
        <f t="shared" si="83"/>
        <v>0</v>
      </c>
      <c r="P154" s="912">
        <f t="shared" si="84"/>
        <v>438302.16</v>
      </c>
      <c r="Q154" s="912">
        <f t="shared" si="85"/>
        <v>0</v>
      </c>
    </row>
    <row r="155" customHeight="1" spans="1:17">
      <c r="A155" s="27">
        <v>17</v>
      </c>
      <c r="B155" s="11" t="s">
        <v>331</v>
      </c>
      <c r="C155" s="12" t="s">
        <v>662</v>
      </c>
      <c r="D155" s="15" t="s">
        <v>156</v>
      </c>
      <c r="E155" s="220">
        <v>277798</v>
      </c>
      <c r="F155" s="911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2">
        <v>21638.5333333333</v>
      </c>
      <c r="K155" s="912">
        <f t="shared" si="80"/>
        <v>28425.6533333334</v>
      </c>
      <c r="L155" s="912">
        <f t="shared" si="81"/>
        <v>6787.12000000006</v>
      </c>
      <c r="M155" s="912">
        <v>0</v>
      </c>
      <c r="N155" s="912"/>
      <c r="O155" s="912">
        <f t="shared" si="83"/>
        <v>0</v>
      </c>
      <c r="P155" s="912">
        <f t="shared" si="84"/>
        <v>341107.84</v>
      </c>
      <c r="Q155" s="912">
        <f t="shared" si="85"/>
        <v>0</v>
      </c>
    </row>
    <row r="156" customHeight="1" spans="1:17">
      <c r="A156" s="27">
        <v>18</v>
      </c>
      <c r="B156" s="11" t="s">
        <v>333</v>
      </c>
      <c r="C156" s="12" t="s">
        <v>663</v>
      </c>
      <c r="D156" s="15" t="s">
        <v>153</v>
      </c>
      <c r="E156" s="220">
        <v>316837.416666667</v>
      </c>
      <c r="F156" s="911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2">
        <v>24712.12</v>
      </c>
      <c r="K156" s="912">
        <f t="shared" si="80"/>
        <v>36525.18</v>
      </c>
      <c r="L156" s="912">
        <f t="shared" si="81"/>
        <v>11813.06</v>
      </c>
      <c r="M156" s="912">
        <v>4123.42083333333</v>
      </c>
      <c r="N156" s="912">
        <f>0.025*F156</f>
        <v>7722.5375</v>
      </c>
      <c r="O156" s="912">
        <f t="shared" si="83"/>
        <v>3599.11666666667</v>
      </c>
      <c r="P156" s="912">
        <f t="shared" si="84"/>
        <v>438302.16</v>
      </c>
      <c r="Q156" s="912">
        <f t="shared" si="85"/>
        <v>92670.45</v>
      </c>
    </row>
    <row r="157" customHeight="1" spans="1:17">
      <c r="A157" s="27">
        <v>19</v>
      </c>
      <c r="B157" s="11" t="s">
        <v>334</v>
      </c>
      <c r="C157" s="12" t="s">
        <v>664</v>
      </c>
      <c r="D157" s="15" t="s">
        <v>156</v>
      </c>
      <c r="E157" s="220">
        <v>277798</v>
      </c>
      <c r="F157" s="911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2">
        <v>21638.5333333333</v>
      </c>
      <c r="K157" s="912">
        <f t="shared" si="80"/>
        <v>28425.6533333334</v>
      </c>
      <c r="L157" s="912">
        <f t="shared" si="81"/>
        <v>6787.12000000006</v>
      </c>
      <c r="M157" s="912">
        <v>0</v>
      </c>
      <c r="N157" s="912"/>
      <c r="O157" s="912">
        <f t="shared" si="83"/>
        <v>0</v>
      </c>
      <c r="P157" s="912">
        <f t="shared" si="84"/>
        <v>341107.84</v>
      </c>
      <c r="Q157" s="912">
        <f t="shared" si="85"/>
        <v>0</v>
      </c>
    </row>
    <row r="158" customHeight="1" spans="1:17">
      <c r="A158" s="27">
        <v>20</v>
      </c>
      <c r="B158" s="18" t="s">
        <v>336</v>
      </c>
      <c r="C158" s="12" t="s">
        <v>337</v>
      </c>
      <c r="D158" s="15" t="s">
        <v>99</v>
      </c>
      <c r="E158" s="220">
        <v>263165.333333333</v>
      </c>
      <c r="F158" s="911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2">
        <v>20467.92</v>
      </c>
      <c r="K158" s="912">
        <f t="shared" si="80"/>
        <v>27096.9333333334</v>
      </c>
      <c r="L158" s="912">
        <f t="shared" si="81"/>
        <v>6629.01333333336</v>
      </c>
      <c r="M158" s="912">
        <v>0</v>
      </c>
      <c r="N158" s="912"/>
      <c r="O158" s="912">
        <f t="shared" si="83"/>
        <v>0</v>
      </c>
      <c r="P158" s="912">
        <f t="shared" si="84"/>
        <v>325163.2</v>
      </c>
      <c r="Q158" s="912">
        <f t="shared" si="85"/>
        <v>0</v>
      </c>
    </row>
    <row r="159" customHeight="1" spans="1:17">
      <c r="A159" s="27">
        <v>21</v>
      </c>
      <c r="B159" s="18" t="s">
        <v>338</v>
      </c>
      <c r="C159" s="12" t="s">
        <v>337</v>
      </c>
      <c r="D159" s="15" t="s">
        <v>99</v>
      </c>
      <c r="E159" s="220">
        <v>263165.333333333</v>
      </c>
      <c r="F159" s="911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2">
        <v>20467.92</v>
      </c>
      <c r="K159" s="912">
        <f t="shared" si="80"/>
        <v>27096.9333333334</v>
      </c>
      <c r="L159" s="912">
        <f t="shared" si="81"/>
        <v>6629.01333333336</v>
      </c>
      <c r="M159" s="912">
        <v>0</v>
      </c>
      <c r="N159" s="912"/>
      <c r="O159" s="912">
        <f t="shared" si="83"/>
        <v>0</v>
      </c>
      <c r="P159" s="912">
        <f t="shared" si="84"/>
        <v>325163.2</v>
      </c>
      <c r="Q159" s="912">
        <f t="shared" si="85"/>
        <v>0</v>
      </c>
    </row>
    <row r="160" customHeight="1" spans="1:17">
      <c r="A160" s="27">
        <v>22</v>
      </c>
      <c r="B160" s="18" t="s">
        <v>343</v>
      </c>
      <c r="C160" s="12" t="s">
        <v>344</v>
      </c>
      <c r="D160" s="15" t="s">
        <v>108</v>
      </c>
      <c r="E160" s="85">
        <v>230631.916666667</v>
      </c>
      <c r="F160" s="911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2">
        <v>17956.78</v>
      </c>
      <c r="K160" s="912">
        <f t="shared" si="80"/>
        <v>24152.86</v>
      </c>
      <c r="L160" s="912">
        <f t="shared" si="81"/>
        <v>6196.08</v>
      </c>
      <c r="M160" s="912">
        <v>0</v>
      </c>
      <c r="N160" s="912"/>
      <c r="O160" s="912">
        <f t="shared" si="83"/>
        <v>0</v>
      </c>
      <c r="P160" s="912">
        <f t="shared" si="84"/>
        <v>289834.32</v>
      </c>
      <c r="Q160" s="912">
        <f t="shared" si="85"/>
        <v>0</v>
      </c>
    </row>
    <row r="161" customHeight="1" spans="1:17">
      <c r="A161" s="27">
        <v>23</v>
      </c>
      <c r="B161" s="18" t="s">
        <v>345</v>
      </c>
      <c r="C161" s="12" t="s">
        <v>346</v>
      </c>
      <c r="D161" s="15" t="s">
        <v>108</v>
      </c>
      <c r="E161" s="85">
        <v>230631.916666667</v>
      </c>
      <c r="F161" s="911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2">
        <v>17956.78</v>
      </c>
      <c r="K161" s="912">
        <f t="shared" si="80"/>
        <v>24152.86</v>
      </c>
      <c r="L161" s="912">
        <f t="shared" si="81"/>
        <v>6196.08</v>
      </c>
      <c r="M161" s="912">
        <v>0</v>
      </c>
      <c r="N161" s="912"/>
      <c r="O161" s="912">
        <f t="shared" si="83"/>
        <v>0</v>
      </c>
      <c r="P161" s="912">
        <f t="shared" si="84"/>
        <v>289834.32</v>
      </c>
      <c r="Q161" s="912">
        <f t="shared" si="85"/>
        <v>0</v>
      </c>
    </row>
    <row r="162" customHeight="1" spans="1:17">
      <c r="A162" s="27">
        <v>24</v>
      </c>
      <c r="B162" s="18" t="s">
        <v>347</v>
      </c>
      <c r="C162" s="12" t="s">
        <v>348</v>
      </c>
      <c r="D162" s="15" t="s">
        <v>108</v>
      </c>
      <c r="E162" s="85">
        <v>230631.916666667</v>
      </c>
      <c r="F162" s="911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2">
        <v>17956.78</v>
      </c>
      <c r="K162" s="912">
        <f t="shared" si="80"/>
        <v>24152.86</v>
      </c>
      <c r="L162" s="912">
        <f t="shared" si="81"/>
        <v>6196.08</v>
      </c>
      <c r="M162" s="912">
        <v>0</v>
      </c>
      <c r="N162" s="912"/>
      <c r="O162" s="912">
        <f t="shared" si="83"/>
        <v>0</v>
      </c>
      <c r="P162" s="912">
        <f t="shared" si="84"/>
        <v>289834.32</v>
      </c>
      <c r="Q162" s="912">
        <f t="shared" si="85"/>
        <v>0</v>
      </c>
    </row>
    <row r="163" customHeight="1" spans="1:17">
      <c r="A163" s="27">
        <v>25</v>
      </c>
      <c r="B163" s="18" t="s">
        <v>349</v>
      </c>
      <c r="C163" s="12" t="s">
        <v>665</v>
      </c>
      <c r="D163" s="15" t="s">
        <v>105</v>
      </c>
      <c r="E163" s="85">
        <v>236804.083333333</v>
      </c>
      <c r="F163" s="911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2">
        <v>18450.5533333333</v>
      </c>
      <c r="K163" s="912">
        <f t="shared" si="80"/>
        <v>24713.6533333334</v>
      </c>
      <c r="L163" s="912">
        <f t="shared" si="81"/>
        <v>6263.10000000006</v>
      </c>
      <c r="M163" s="912">
        <v>0</v>
      </c>
      <c r="N163" s="912"/>
      <c r="O163" s="912">
        <f t="shared" si="83"/>
        <v>0</v>
      </c>
      <c r="P163" s="912">
        <f t="shared" si="84"/>
        <v>296563.84</v>
      </c>
      <c r="Q163" s="912">
        <f t="shared" si="85"/>
        <v>0</v>
      </c>
    </row>
    <row r="164" customHeight="1" spans="1:17">
      <c r="A164" s="27">
        <v>26</v>
      </c>
      <c r="B164" s="18" t="s">
        <v>350</v>
      </c>
      <c r="C164" s="12" t="s">
        <v>346</v>
      </c>
      <c r="D164" s="15" t="s">
        <v>108</v>
      </c>
      <c r="E164" s="85">
        <v>230631.916666667</v>
      </c>
      <c r="F164" s="911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2">
        <v>17956.78</v>
      </c>
      <c r="K164" s="912">
        <f t="shared" si="80"/>
        <v>24152.86</v>
      </c>
      <c r="L164" s="912">
        <f t="shared" si="81"/>
        <v>6196.08</v>
      </c>
      <c r="M164" s="912">
        <v>0</v>
      </c>
      <c r="N164" s="912"/>
      <c r="O164" s="912">
        <f t="shared" si="83"/>
        <v>0</v>
      </c>
      <c r="P164" s="912">
        <f t="shared" si="84"/>
        <v>289834.32</v>
      </c>
      <c r="Q164" s="912">
        <f t="shared" si="85"/>
        <v>0</v>
      </c>
    </row>
    <row r="165" customHeight="1" spans="1:17">
      <c r="A165" s="27">
        <v>27</v>
      </c>
      <c r="B165" s="18" t="s">
        <v>351</v>
      </c>
      <c r="C165" s="12" t="s">
        <v>352</v>
      </c>
      <c r="D165" s="15" t="s">
        <v>111</v>
      </c>
      <c r="E165" s="680">
        <v>224459.75</v>
      </c>
      <c r="F165" s="911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2">
        <v>17463.0066666666</v>
      </c>
      <c r="K165" s="912">
        <f t="shared" si="80"/>
        <v>23592.0666666667</v>
      </c>
      <c r="L165" s="912">
        <f t="shared" si="81"/>
        <v>6129.06000000012</v>
      </c>
      <c r="M165" s="912"/>
      <c r="N165" s="912"/>
      <c r="O165" s="912">
        <f t="shared" si="83"/>
        <v>0</v>
      </c>
      <c r="P165" s="912">
        <f t="shared" si="84"/>
        <v>283104.800000001</v>
      </c>
      <c r="Q165" s="912">
        <f t="shared" si="85"/>
        <v>0</v>
      </c>
    </row>
    <row r="166" customHeight="1" spans="1:17">
      <c r="A166" s="27">
        <v>28</v>
      </c>
      <c r="B166" s="18" t="s">
        <v>353</v>
      </c>
      <c r="C166" s="12" t="s">
        <v>352</v>
      </c>
      <c r="D166" s="15" t="s">
        <v>111</v>
      </c>
      <c r="E166" s="680">
        <v>224459.75</v>
      </c>
      <c r="F166" s="911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2">
        <v>17463.0066666666</v>
      </c>
      <c r="K166" s="912">
        <f t="shared" si="80"/>
        <v>23592.0666666667</v>
      </c>
      <c r="L166" s="912">
        <f t="shared" si="81"/>
        <v>6129.06000000012</v>
      </c>
      <c r="M166" s="912"/>
      <c r="N166" s="912"/>
      <c r="O166" s="912">
        <f t="shared" si="83"/>
        <v>0</v>
      </c>
      <c r="P166" s="912">
        <f t="shared" si="84"/>
        <v>283104.800000001</v>
      </c>
      <c r="Q166" s="912">
        <f t="shared" si="85"/>
        <v>0</v>
      </c>
    </row>
    <row r="167" customHeight="1" spans="1:17">
      <c r="A167" s="27">
        <v>29</v>
      </c>
      <c r="B167" s="11" t="s">
        <v>359</v>
      </c>
      <c r="C167" s="12" t="s">
        <v>512</v>
      </c>
      <c r="D167" s="15" t="s">
        <v>372</v>
      </c>
      <c r="E167" s="226">
        <v>173859.5</v>
      </c>
      <c r="F167" s="922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2">
        <v>13487.8533333333</v>
      </c>
      <c r="K167" s="912">
        <f t="shared" si="80"/>
        <v>19017.3733333333</v>
      </c>
      <c r="L167" s="912">
        <f t="shared" si="81"/>
        <v>5529.52</v>
      </c>
      <c r="M167" s="912">
        <v>2313.575</v>
      </c>
      <c r="N167" s="912">
        <f>0.025*F167</f>
        <v>3982.21458333333</v>
      </c>
      <c r="O167" s="912">
        <f t="shared" si="83"/>
        <v>1668.63958333333</v>
      </c>
      <c r="P167" s="912">
        <f t="shared" si="84"/>
        <v>228208.48</v>
      </c>
      <c r="Q167" s="912">
        <f t="shared" si="85"/>
        <v>47786.5749999999</v>
      </c>
    </row>
    <row r="168" customHeight="1" spans="1:17">
      <c r="A168" s="27">
        <v>30</v>
      </c>
      <c r="B168" s="11" t="s">
        <v>362</v>
      </c>
      <c r="C168" s="12" t="s">
        <v>512</v>
      </c>
      <c r="D168" s="15" t="s">
        <v>372</v>
      </c>
      <c r="E168" s="226">
        <v>173859.5</v>
      </c>
      <c r="F168" s="922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2">
        <v>13487.8533333333</v>
      </c>
      <c r="K168" s="912">
        <f t="shared" si="80"/>
        <v>19017.3733333333</v>
      </c>
      <c r="L168" s="912">
        <f t="shared" si="81"/>
        <v>5529.52</v>
      </c>
      <c r="M168" s="912">
        <v>0</v>
      </c>
      <c r="N168" s="912"/>
      <c r="O168" s="912">
        <f t="shared" si="83"/>
        <v>0</v>
      </c>
      <c r="P168" s="912">
        <f t="shared" si="84"/>
        <v>228208.48</v>
      </c>
      <c r="Q168" s="912">
        <f t="shared" si="85"/>
        <v>0</v>
      </c>
    </row>
    <row r="169" customHeight="1" spans="1:17">
      <c r="A169" s="27">
        <v>31</v>
      </c>
      <c r="B169" s="11" t="s">
        <v>666</v>
      </c>
      <c r="C169" s="12" t="s">
        <v>512</v>
      </c>
      <c r="D169" s="15" t="s">
        <v>372</v>
      </c>
      <c r="E169" s="226">
        <v>173859.5</v>
      </c>
      <c r="F169" s="922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2">
        <v>13487.8533333333</v>
      </c>
      <c r="K169" s="912">
        <f t="shared" si="80"/>
        <v>19017.3733333333</v>
      </c>
      <c r="L169" s="912">
        <f t="shared" si="81"/>
        <v>5529.52</v>
      </c>
      <c r="M169" s="912">
        <v>0</v>
      </c>
      <c r="N169" s="912"/>
      <c r="O169" s="912">
        <f t="shared" si="83"/>
        <v>0</v>
      </c>
      <c r="P169" s="912">
        <f t="shared" si="84"/>
        <v>228208.48</v>
      </c>
      <c r="Q169" s="912">
        <f t="shared" si="85"/>
        <v>0</v>
      </c>
    </row>
    <row r="170" customHeight="1" spans="1:17">
      <c r="A170" s="27">
        <v>32</v>
      </c>
      <c r="B170" s="11" t="s">
        <v>363</v>
      </c>
      <c r="C170" s="12" t="s">
        <v>512</v>
      </c>
      <c r="D170" s="15" t="s">
        <v>372</v>
      </c>
      <c r="E170" s="226">
        <v>173859.5</v>
      </c>
      <c r="F170" s="922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2">
        <v>13487.8533333333</v>
      </c>
      <c r="K170" s="912">
        <f t="shared" si="80"/>
        <v>19017.3733333333</v>
      </c>
      <c r="L170" s="912">
        <f t="shared" si="81"/>
        <v>5529.52</v>
      </c>
      <c r="M170" s="912">
        <v>2313.575</v>
      </c>
      <c r="N170" s="912">
        <v>3982.21458333333</v>
      </c>
      <c r="O170" s="912">
        <f t="shared" si="83"/>
        <v>1668.63958333333</v>
      </c>
      <c r="P170" s="912">
        <f t="shared" si="84"/>
        <v>228208.48</v>
      </c>
      <c r="Q170" s="912">
        <f t="shared" si="85"/>
        <v>47786.575</v>
      </c>
    </row>
    <row r="171" customHeight="1" spans="1:17">
      <c r="A171" s="27">
        <v>33</v>
      </c>
      <c r="B171" s="11" t="s">
        <v>364</v>
      </c>
      <c r="C171" s="12" t="s">
        <v>512</v>
      </c>
      <c r="D171" s="15" t="s">
        <v>372</v>
      </c>
      <c r="E171" s="226">
        <v>173859.5</v>
      </c>
      <c r="F171" s="922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2">
        <v>13487.8533333333</v>
      </c>
      <c r="K171" s="912">
        <f t="shared" si="80"/>
        <v>19017.3733333333</v>
      </c>
      <c r="L171" s="912">
        <f t="shared" si="81"/>
        <v>5529.52</v>
      </c>
      <c r="M171" s="912"/>
      <c r="N171" s="912"/>
      <c r="O171" s="912">
        <f t="shared" si="83"/>
        <v>0</v>
      </c>
      <c r="P171" s="912">
        <f t="shared" si="84"/>
        <v>228208.48</v>
      </c>
      <c r="Q171" s="912">
        <f t="shared" si="85"/>
        <v>0</v>
      </c>
    </row>
    <row r="172" customHeight="1" spans="1:17">
      <c r="A172" s="27">
        <v>34</v>
      </c>
      <c r="B172" s="11" t="s">
        <v>365</v>
      </c>
      <c r="C172" s="12" t="s">
        <v>512</v>
      </c>
      <c r="D172" s="15" t="s">
        <v>384</v>
      </c>
      <c r="E172" s="226">
        <v>168598.166666667</v>
      </c>
      <c r="F172" s="922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2">
        <v>13066.9466666667</v>
      </c>
      <c r="K172" s="912">
        <f t="shared" si="80"/>
        <v>18538.7066666667</v>
      </c>
      <c r="L172" s="912">
        <f t="shared" si="81"/>
        <v>5471.76</v>
      </c>
      <c r="M172" s="912"/>
      <c r="N172" s="912"/>
      <c r="O172" s="912">
        <f t="shared" si="83"/>
        <v>0</v>
      </c>
      <c r="P172" s="912">
        <f t="shared" si="84"/>
        <v>222464.48</v>
      </c>
      <c r="Q172" s="912">
        <f t="shared" si="85"/>
        <v>0</v>
      </c>
    </row>
    <row r="173" customHeight="1" spans="1:17">
      <c r="A173" s="27">
        <v>35</v>
      </c>
      <c r="B173" s="11" t="s">
        <v>367</v>
      </c>
      <c r="C173" s="12" t="s">
        <v>512</v>
      </c>
      <c r="D173" s="15" t="s">
        <v>384</v>
      </c>
      <c r="E173" s="226">
        <v>168598.166666667</v>
      </c>
      <c r="F173" s="922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2">
        <v>13066.9466666667</v>
      </c>
      <c r="K173" s="912">
        <f t="shared" si="80"/>
        <v>18538.7066666667</v>
      </c>
      <c r="L173" s="912">
        <f t="shared" si="81"/>
        <v>5471.76</v>
      </c>
      <c r="M173" s="912"/>
      <c r="N173" s="912"/>
      <c r="O173" s="912">
        <f t="shared" si="83"/>
        <v>0</v>
      </c>
      <c r="P173" s="912">
        <f t="shared" si="84"/>
        <v>222464.48</v>
      </c>
      <c r="Q173" s="912">
        <f t="shared" si="85"/>
        <v>0</v>
      </c>
    </row>
    <row r="174" customHeight="1" spans="1:17">
      <c r="A174" s="27">
        <v>36</v>
      </c>
      <c r="B174" s="14" t="s">
        <v>368</v>
      </c>
      <c r="C174" s="12" t="s">
        <v>512</v>
      </c>
      <c r="D174" s="15" t="s">
        <v>384</v>
      </c>
      <c r="E174" s="226">
        <v>168598.166666667</v>
      </c>
      <c r="F174" s="922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2">
        <v>13066.9466666667</v>
      </c>
      <c r="K174" s="912">
        <f t="shared" si="80"/>
        <v>18538.7066666667</v>
      </c>
      <c r="L174" s="912">
        <f t="shared" si="81"/>
        <v>5471.76</v>
      </c>
      <c r="M174" s="912"/>
      <c r="N174" s="912"/>
      <c r="O174" s="912">
        <f t="shared" si="83"/>
        <v>0</v>
      </c>
      <c r="P174" s="912">
        <f t="shared" si="84"/>
        <v>222464.48</v>
      </c>
      <c r="Q174" s="912">
        <f t="shared" si="85"/>
        <v>0</v>
      </c>
    </row>
    <row r="175" customHeight="1" spans="1:17">
      <c r="A175" s="27">
        <v>37</v>
      </c>
      <c r="B175" s="11" t="s">
        <v>369</v>
      </c>
      <c r="C175" s="12" t="s">
        <v>512</v>
      </c>
      <c r="D175" s="15" t="s">
        <v>384</v>
      </c>
      <c r="E175" s="226">
        <v>168598.166666667</v>
      </c>
      <c r="F175" s="922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2">
        <v>13066.9466666667</v>
      </c>
      <c r="K175" s="912">
        <f t="shared" si="80"/>
        <v>18538.7066666667</v>
      </c>
      <c r="L175" s="912">
        <f t="shared" si="81"/>
        <v>5471.76</v>
      </c>
      <c r="M175" s="912"/>
      <c r="N175" s="912"/>
      <c r="O175" s="912">
        <f t="shared" si="83"/>
        <v>0</v>
      </c>
      <c r="P175" s="912">
        <f t="shared" si="84"/>
        <v>222464.48</v>
      </c>
      <c r="Q175" s="912">
        <f t="shared" si="85"/>
        <v>0</v>
      </c>
    </row>
    <row r="176" customHeight="1" spans="1:17">
      <c r="A176" s="27">
        <v>38</v>
      </c>
      <c r="B176" s="18" t="s">
        <v>370</v>
      </c>
      <c r="C176" s="12" t="s">
        <v>512</v>
      </c>
      <c r="D176" s="15" t="s">
        <v>384</v>
      </c>
      <c r="E176" s="226">
        <v>168598.166666667</v>
      </c>
      <c r="F176" s="922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2">
        <v>13066.9466666667</v>
      </c>
      <c r="K176" s="912">
        <f t="shared" si="80"/>
        <v>18538.7066666667</v>
      </c>
      <c r="L176" s="912">
        <f t="shared" si="81"/>
        <v>5471.76</v>
      </c>
      <c r="M176" s="912"/>
      <c r="N176" s="912"/>
      <c r="O176" s="912">
        <f t="shared" si="83"/>
        <v>0</v>
      </c>
      <c r="P176" s="912">
        <f t="shared" si="84"/>
        <v>222464.48</v>
      </c>
      <c r="Q176" s="912">
        <f t="shared" si="85"/>
        <v>0</v>
      </c>
    </row>
    <row r="177" customHeight="1" spans="1:17">
      <c r="A177" s="27">
        <v>39</v>
      </c>
      <c r="B177" s="18" t="s">
        <v>357</v>
      </c>
      <c r="C177" s="12" t="s">
        <v>512</v>
      </c>
      <c r="D177" s="15" t="s">
        <v>384</v>
      </c>
      <c r="E177" s="226">
        <v>168598.166666667</v>
      </c>
      <c r="F177" s="922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2">
        <v>13066.9466666667</v>
      </c>
      <c r="K177" s="912">
        <f t="shared" si="80"/>
        <v>18538.7066666667</v>
      </c>
      <c r="L177" s="912">
        <f t="shared" si="81"/>
        <v>5471.76</v>
      </c>
      <c r="M177" s="912"/>
      <c r="N177" s="912"/>
      <c r="O177" s="912">
        <f t="shared" si="83"/>
        <v>0</v>
      </c>
      <c r="P177" s="912">
        <f t="shared" si="84"/>
        <v>222464.48</v>
      </c>
      <c r="Q177" s="912">
        <f t="shared" si="85"/>
        <v>0</v>
      </c>
    </row>
    <row r="178" customHeight="1" spans="1:17">
      <c r="A178" s="27">
        <v>40</v>
      </c>
      <c r="B178" s="11" t="s">
        <v>371</v>
      </c>
      <c r="C178" s="12" t="s">
        <v>360</v>
      </c>
      <c r="D178" s="15" t="s">
        <v>606</v>
      </c>
      <c r="E178" s="85">
        <v>158075.5</v>
      </c>
      <c r="F178" s="922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2">
        <v>12225.1333333333</v>
      </c>
      <c r="K178" s="912">
        <f t="shared" si="80"/>
        <v>17581.3866666667</v>
      </c>
      <c r="L178" s="912">
        <f t="shared" si="81"/>
        <v>5356.25333333336</v>
      </c>
      <c r="M178" s="912"/>
      <c r="N178" s="912"/>
      <c r="O178" s="912">
        <f t="shared" si="83"/>
        <v>0</v>
      </c>
      <c r="P178" s="912">
        <f t="shared" si="84"/>
        <v>210976.64</v>
      </c>
      <c r="Q178" s="912">
        <f t="shared" si="85"/>
        <v>0</v>
      </c>
    </row>
    <row r="179" customHeight="1" spans="1:17">
      <c r="A179" s="27">
        <v>41</v>
      </c>
      <c r="B179" s="11" t="s">
        <v>373</v>
      </c>
      <c r="C179" s="12" t="s">
        <v>360</v>
      </c>
      <c r="D179" s="15" t="s">
        <v>606</v>
      </c>
      <c r="E179" s="85">
        <v>158075.5</v>
      </c>
      <c r="F179" s="922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2">
        <v>12225.1333333333</v>
      </c>
      <c r="K179" s="912">
        <f t="shared" si="80"/>
        <v>17581.3866666667</v>
      </c>
      <c r="L179" s="912">
        <f t="shared" si="81"/>
        <v>5356.25333333336</v>
      </c>
      <c r="M179" s="912"/>
      <c r="N179" s="912"/>
      <c r="O179" s="912">
        <f t="shared" si="83"/>
        <v>0</v>
      </c>
      <c r="P179" s="912">
        <f t="shared" si="84"/>
        <v>210976.64</v>
      </c>
      <c r="Q179" s="912">
        <f t="shared" si="85"/>
        <v>0</v>
      </c>
    </row>
    <row r="180" customHeight="1" spans="1:17">
      <c r="A180" s="27">
        <v>42</v>
      </c>
      <c r="B180" s="18" t="s">
        <v>374</v>
      </c>
      <c r="C180" s="12" t="s">
        <v>360</v>
      </c>
      <c r="D180" s="15" t="s">
        <v>377</v>
      </c>
      <c r="E180" s="85">
        <v>163336.833333333</v>
      </c>
      <c r="F180" s="922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2">
        <v>12646.04</v>
      </c>
      <c r="K180" s="912">
        <f t="shared" si="80"/>
        <v>18060.0466666666</v>
      </c>
      <c r="L180" s="912">
        <f t="shared" si="81"/>
        <v>5414.00666666664</v>
      </c>
      <c r="M180" s="912"/>
      <c r="N180" s="912"/>
      <c r="O180" s="912">
        <f t="shared" si="83"/>
        <v>0</v>
      </c>
      <c r="P180" s="912">
        <f t="shared" si="84"/>
        <v>216720.56</v>
      </c>
      <c r="Q180" s="912">
        <f t="shared" si="85"/>
        <v>0</v>
      </c>
    </row>
    <row r="181" customHeight="1" spans="1:17">
      <c r="A181" s="27">
        <v>43</v>
      </c>
      <c r="B181" s="11" t="s">
        <v>376</v>
      </c>
      <c r="C181" s="12" t="s">
        <v>387</v>
      </c>
      <c r="D181" s="15" t="s">
        <v>607</v>
      </c>
      <c r="E181" s="85">
        <v>152814.166666667</v>
      </c>
      <c r="F181" s="922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2">
        <v>12225.1333333333</v>
      </c>
      <c r="K181" s="912">
        <f t="shared" si="80"/>
        <v>17102.72</v>
      </c>
      <c r="L181" s="912">
        <f t="shared" si="81"/>
        <v>4877.58666666668</v>
      </c>
      <c r="M181" s="912"/>
      <c r="N181" s="912"/>
      <c r="O181" s="912">
        <f t="shared" si="83"/>
        <v>0</v>
      </c>
      <c r="P181" s="912">
        <f t="shared" si="84"/>
        <v>205232.64</v>
      </c>
      <c r="Q181" s="912">
        <f t="shared" si="85"/>
        <v>0</v>
      </c>
    </row>
    <row r="182" customHeight="1" spans="1:17">
      <c r="A182" s="27">
        <v>44</v>
      </c>
      <c r="B182" s="11" t="s">
        <v>378</v>
      </c>
      <c r="C182" s="12" t="s">
        <v>514</v>
      </c>
      <c r="D182" s="15" t="s">
        <v>667</v>
      </c>
      <c r="E182" s="85">
        <v>94145.75</v>
      </c>
      <c r="F182" s="922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2">
        <v>7327.84</v>
      </c>
      <c r="K182" s="912">
        <f t="shared" si="80"/>
        <v>11708.54</v>
      </c>
      <c r="L182" s="912">
        <f t="shared" si="81"/>
        <v>4380.7</v>
      </c>
      <c r="M182" s="912"/>
      <c r="N182" s="912"/>
      <c r="O182" s="912">
        <f t="shared" si="83"/>
        <v>0</v>
      </c>
      <c r="P182" s="912">
        <f t="shared" si="84"/>
        <v>140502.48</v>
      </c>
      <c r="Q182" s="912">
        <f t="shared" si="85"/>
        <v>0</v>
      </c>
    </row>
    <row r="183" customHeight="1" spans="1:17">
      <c r="A183" s="27">
        <v>45</v>
      </c>
      <c r="B183" s="11" t="s">
        <v>379</v>
      </c>
      <c r="C183" s="12" t="s">
        <v>514</v>
      </c>
      <c r="D183" s="15" t="s">
        <v>667</v>
      </c>
      <c r="E183" s="85">
        <v>94145.75</v>
      </c>
      <c r="F183" s="922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2">
        <v>7327.84</v>
      </c>
      <c r="K183" s="912">
        <f t="shared" si="80"/>
        <v>11708.54</v>
      </c>
      <c r="L183" s="912">
        <f t="shared" si="81"/>
        <v>4380.7</v>
      </c>
      <c r="M183" s="912"/>
      <c r="N183" s="912"/>
      <c r="O183" s="912">
        <f t="shared" si="83"/>
        <v>0</v>
      </c>
      <c r="P183" s="912">
        <f t="shared" si="84"/>
        <v>140502.48</v>
      </c>
      <c r="Q183" s="912">
        <f t="shared" si="85"/>
        <v>0</v>
      </c>
    </row>
    <row r="184" customHeight="1" spans="1:17">
      <c r="A184" s="27">
        <v>46</v>
      </c>
      <c r="B184" s="11" t="s">
        <v>380</v>
      </c>
      <c r="C184" s="12" t="s">
        <v>514</v>
      </c>
      <c r="D184" s="15" t="s">
        <v>667</v>
      </c>
      <c r="E184" s="85">
        <v>94145.75</v>
      </c>
      <c r="F184" s="922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2">
        <v>7327.84</v>
      </c>
      <c r="K184" s="912">
        <f t="shared" si="80"/>
        <v>11708.54</v>
      </c>
      <c r="L184" s="912">
        <f t="shared" si="81"/>
        <v>4380.7</v>
      </c>
      <c r="M184" s="912"/>
      <c r="N184" s="912"/>
      <c r="O184" s="912">
        <f t="shared" si="83"/>
        <v>0</v>
      </c>
      <c r="P184" s="912">
        <f t="shared" si="84"/>
        <v>140502.48</v>
      </c>
      <c r="Q184" s="912">
        <f t="shared" si="85"/>
        <v>0</v>
      </c>
    </row>
    <row r="185" customHeight="1" spans="1:17">
      <c r="A185" s="27">
        <v>47</v>
      </c>
      <c r="B185" s="11" t="s">
        <v>381</v>
      </c>
      <c r="C185" s="12" t="s">
        <v>514</v>
      </c>
      <c r="D185" s="15" t="s">
        <v>667</v>
      </c>
      <c r="E185" s="85">
        <v>94145.75</v>
      </c>
      <c r="F185" s="922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2">
        <v>7327.84</v>
      </c>
      <c r="K185" s="912">
        <f t="shared" si="80"/>
        <v>11708.54</v>
      </c>
      <c r="L185" s="912">
        <f t="shared" si="81"/>
        <v>4380.7</v>
      </c>
      <c r="M185" s="912"/>
      <c r="N185" s="912"/>
      <c r="O185" s="912">
        <f t="shared" si="83"/>
        <v>0</v>
      </c>
      <c r="P185" s="912">
        <f t="shared" si="84"/>
        <v>140502.48</v>
      </c>
      <c r="Q185" s="912">
        <f t="shared" si="85"/>
        <v>0</v>
      </c>
    </row>
    <row r="186" customHeight="1" spans="1:17">
      <c r="A186" s="27">
        <v>48</v>
      </c>
      <c r="B186" s="11" t="s">
        <v>382</v>
      </c>
      <c r="C186" s="12" t="s">
        <v>514</v>
      </c>
      <c r="D186" s="15" t="s">
        <v>667</v>
      </c>
      <c r="E186" s="85">
        <v>94145.75</v>
      </c>
      <c r="F186" s="922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2">
        <v>7327.84</v>
      </c>
      <c r="K186" s="912">
        <f t="shared" si="80"/>
        <v>11708.54</v>
      </c>
      <c r="L186" s="912">
        <f t="shared" si="81"/>
        <v>4380.7</v>
      </c>
      <c r="M186" s="912"/>
      <c r="N186" s="912"/>
      <c r="O186" s="912">
        <f t="shared" si="83"/>
        <v>0</v>
      </c>
      <c r="P186" s="912">
        <f t="shared" si="84"/>
        <v>140502.48</v>
      </c>
      <c r="Q186" s="912">
        <f t="shared" si="85"/>
        <v>0</v>
      </c>
    </row>
    <row r="187" customHeight="1" spans="1:17">
      <c r="A187" s="27">
        <v>49</v>
      </c>
      <c r="B187" s="18" t="s">
        <v>383</v>
      </c>
      <c r="C187" s="12" t="s">
        <v>514</v>
      </c>
      <c r="D187" s="15" t="s">
        <v>667</v>
      </c>
      <c r="E187" s="85">
        <v>94145.75</v>
      </c>
      <c r="F187" s="922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2">
        <v>7327.84</v>
      </c>
      <c r="K187" s="912">
        <f t="shared" si="80"/>
        <v>11708.54</v>
      </c>
      <c r="L187" s="912">
        <f t="shared" si="81"/>
        <v>4380.7</v>
      </c>
      <c r="M187" s="912"/>
      <c r="N187" s="912"/>
      <c r="O187" s="912">
        <f t="shared" si="83"/>
        <v>0</v>
      </c>
      <c r="P187" s="912">
        <f t="shared" si="84"/>
        <v>140502.48</v>
      </c>
      <c r="Q187" s="912">
        <f t="shared" si="85"/>
        <v>0</v>
      </c>
    </row>
    <row r="188" customHeight="1" spans="1:17">
      <c r="A188" s="27">
        <v>50</v>
      </c>
      <c r="B188" s="18" t="s">
        <v>385</v>
      </c>
      <c r="C188" s="12" t="s">
        <v>514</v>
      </c>
      <c r="D188" s="15" t="s">
        <v>667</v>
      </c>
      <c r="E188" s="85">
        <v>94145.75</v>
      </c>
      <c r="F188" s="922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2">
        <v>7327.84</v>
      </c>
      <c r="K188" s="912">
        <f t="shared" si="80"/>
        <v>11708.54</v>
      </c>
      <c r="L188" s="912">
        <f t="shared" si="81"/>
        <v>4380.7</v>
      </c>
      <c r="M188" s="912"/>
      <c r="N188" s="912"/>
      <c r="O188" s="912">
        <f t="shared" si="83"/>
        <v>0</v>
      </c>
      <c r="P188" s="912">
        <f t="shared" si="84"/>
        <v>140502.48</v>
      </c>
      <c r="Q188" s="912">
        <f t="shared" si="85"/>
        <v>0</v>
      </c>
    </row>
    <row r="189" customHeight="1" spans="1:17">
      <c r="A189" s="27">
        <v>51</v>
      </c>
      <c r="B189" s="11" t="s">
        <v>668</v>
      </c>
      <c r="C189" s="12" t="s">
        <v>387</v>
      </c>
      <c r="D189" s="15" t="s">
        <v>667</v>
      </c>
      <c r="E189" s="85">
        <v>94145.75</v>
      </c>
      <c r="F189" s="922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2"/>
      <c r="K189" s="912">
        <f t="shared" si="80"/>
        <v>11708.54</v>
      </c>
      <c r="L189" s="912">
        <f t="shared" si="81"/>
        <v>11708.54</v>
      </c>
      <c r="M189" s="912"/>
      <c r="N189" s="912"/>
      <c r="O189" s="912">
        <f t="shared" si="83"/>
        <v>0</v>
      </c>
      <c r="P189" s="912">
        <f t="shared" si="84"/>
        <v>140502.48</v>
      </c>
      <c r="Q189" s="912">
        <f t="shared" si="85"/>
        <v>0</v>
      </c>
    </row>
    <row r="190" customHeight="1" spans="1:17">
      <c r="A190" s="27">
        <v>52</v>
      </c>
      <c r="B190" s="11" t="s">
        <v>386</v>
      </c>
      <c r="C190" s="12" t="s">
        <v>387</v>
      </c>
      <c r="D190" s="15" t="s">
        <v>667</v>
      </c>
      <c r="E190" s="85">
        <v>94145.75</v>
      </c>
      <c r="F190" s="922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2">
        <v>7327.84</v>
      </c>
      <c r="K190" s="912">
        <f t="shared" si="80"/>
        <v>11708.54</v>
      </c>
      <c r="L190" s="912">
        <f t="shared" si="81"/>
        <v>4380.7</v>
      </c>
      <c r="M190" s="912"/>
      <c r="N190" s="912"/>
      <c r="O190" s="912">
        <f t="shared" si="83"/>
        <v>0</v>
      </c>
      <c r="P190" s="912">
        <f t="shared" si="84"/>
        <v>140502.48</v>
      </c>
      <c r="Q190" s="912">
        <f t="shared" si="85"/>
        <v>0</v>
      </c>
    </row>
    <row r="191" customHeight="1" spans="1:17">
      <c r="A191" s="27">
        <v>53</v>
      </c>
      <c r="B191" s="18" t="s">
        <v>358</v>
      </c>
      <c r="C191" s="12" t="s">
        <v>390</v>
      </c>
      <c r="D191" s="15" t="s">
        <v>669</v>
      </c>
      <c r="E191" s="85">
        <v>91598</v>
      </c>
      <c r="F191" s="922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2">
        <v>7124.02</v>
      </c>
      <c r="K191" s="912">
        <f t="shared" si="80"/>
        <v>11479.6533333333</v>
      </c>
      <c r="L191" s="912">
        <f t="shared" si="81"/>
        <v>4355.63333333334</v>
      </c>
      <c r="M191" s="912"/>
      <c r="N191" s="912"/>
      <c r="O191" s="912">
        <f t="shared" si="83"/>
        <v>0</v>
      </c>
      <c r="P191" s="912">
        <f t="shared" si="84"/>
        <v>137755.84</v>
      </c>
      <c r="Q191" s="912">
        <f t="shared" si="85"/>
        <v>0</v>
      </c>
    </row>
    <row r="192" customHeight="1" spans="1:17">
      <c r="A192" s="27">
        <v>54</v>
      </c>
      <c r="B192" s="18" t="s">
        <v>389</v>
      </c>
      <c r="C192" s="12" t="s">
        <v>390</v>
      </c>
      <c r="D192" s="15" t="s">
        <v>393</v>
      </c>
      <c r="E192" s="85">
        <v>86502.5</v>
      </c>
      <c r="F192" s="922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2"/>
      <c r="K192" s="912">
        <f t="shared" si="80"/>
        <v>11021.88</v>
      </c>
      <c r="L192" s="912">
        <f t="shared" si="81"/>
        <v>11021.88</v>
      </c>
      <c r="M192" s="912"/>
      <c r="N192" s="912"/>
      <c r="O192" s="912">
        <f t="shared" si="83"/>
        <v>0</v>
      </c>
      <c r="P192" s="912">
        <f t="shared" si="84"/>
        <v>132262.56</v>
      </c>
      <c r="Q192" s="912">
        <f t="shared" si="85"/>
        <v>0</v>
      </c>
    </row>
    <row r="193" customHeight="1" spans="1:17">
      <c r="A193" s="27">
        <v>55</v>
      </c>
      <c r="B193" s="18" t="s">
        <v>392</v>
      </c>
      <c r="C193" s="12" t="s">
        <v>390</v>
      </c>
      <c r="D193" s="15" t="s">
        <v>395</v>
      </c>
      <c r="E193" s="85">
        <v>83933</v>
      </c>
      <c r="F193" s="922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2">
        <v>6920.2</v>
      </c>
      <c r="K193" s="912">
        <f t="shared" si="80"/>
        <v>10793.0133333333</v>
      </c>
      <c r="L193" s="912">
        <f t="shared" si="81"/>
        <v>3872.81333333333</v>
      </c>
      <c r="M193" s="912"/>
      <c r="N193" s="912"/>
      <c r="O193" s="912">
        <f t="shared" si="83"/>
        <v>0</v>
      </c>
      <c r="P193" s="912">
        <f t="shared" si="84"/>
        <v>129516.16</v>
      </c>
      <c r="Q193" s="912">
        <f t="shared" si="85"/>
        <v>0</v>
      </c>
    </row>
    <row r="194" customHeight="1" spans="1:17">
      <c r="A194" s="27">
        <v>56</v>
      </c>
      <c r="B194" s="18" t="s">
        <v>396</v>
      </c>
      <c r="C194" s="12" t="s">
        <v>397</v>
      </c>
      <c r="D194" s="15" t="s">
        <v>609</v>
      </c>
      <c r="E194" s="85">
        <v>78733.8333333333</v>
      </c>
      <c r="F194" s="911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2">
        <v>6123.26</v>
      </c>
      <c r="K194" s="912">
        <f t="shared" si="80"/>
        <v>10323.9533333333</v>
      </c>
      <c r="L194" s="912">
        <f t="shared" si="81"/>
        <v>4200.69333333334</v>
      </c>
      <c r="M194" s="912"/>
      <c r="N194" s="912"/>
      <c r="O194" s="912">
        <f t="shared" si="83"/>
        <v>0</v>
      </c>
      <c r="P194" s="912">
        <f t="shared" si="84"/>
        <v>123887.44</v>
      </c>
      <c r="Q194" s="912">
        <f t="shared" si="85"/>
        <v>0</v>
      </c>
    </row>
    <row r="195" customHeight="1" spans="1:17">
      <c r="A195" s="27">
        <v>57</v>
      </c>
      <c r="B195" s="18" t="s">
        <v>399</v>
      </c>
      <c r="C195" s="12" t="s">
        <v>397</v>
      </c>
      <c r="D195" s="15" t="s">
        <v>609</v>
      </c>
      <c r="E195" s="85">
        <v>78733.8333333333</v>
      </c>
      <c r="F195" s="911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2">
        <v>6123.26</v>
      </c>
      <c r="K195" s="912">
        <f t="shared" si="80"/>
        <v>10323.9533333333</v>
      </c>
      <c r="L195" s="912">
        <f t="shared" si="81"/>
        <v>4200.69333333334</v>
      </c>
      <c r="M195" s="912"/>
      <c r="N195" s="912"/>
      <c r="O195" s="912">
        <f t="shared" si="83"/>
        <v>0</v>
      </c>
      <c r="P195" s="912">
        <f t="shared" si="84"/>
        <v>123887.44</v>
      </c>
      <c r="Q195" s="912">
        <f t="shared" si="85"/>
        <v>0</v>
      </c>
    </row>
    <row r="196" customHeight="1" spans="1:17">
      <c r="A196" s="27">
        <v>58</v>
      </c>
      <c r="B196" s="18" t="s">
        <v>400</v>
      </c>
      <c r="C196" s="12" t="s">
        <v>397</v>
      </c>
      <c r="D196" s="15" t="s">
        <v>609</v>
      </c>
      <c r="E196" s="85">
        <v>78733.8333333333</v>
      </c>
      <c r="F196" s="911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2">
        <v>6123.26</v>
      </c>
      <c r="K196" s="912">
        <f t="shared" si="80"/>
        <v>10323.9533333333</v>
      </c>
      <c r="L196" s="912">
        <f t="shared" si="81"/>
        <v>4200.69333333334</v>
      </c>
      <c r="M196" s="912"/>
      <c r="N196" s="912"/>
      <c r="O196" s="912">
        <f t="shared" si="83"/>
        <v>0</v>
      </c>
      <c r="P196" s="912">
        <f t="shared" si="84"/>
        <v>123887.44</v>
      </c>
      <c r="Q196" s="912">
        <f t="shared" si="85"/>
        <v>0</v>
      </c>
    </row>
    <row r="197" customHeight="1" spans="1:17">
      <c r="A197" s="27">
        <v>59</v>
      </c>
      <c r="B197" s="18" t="s">
        <v>401</v>
      </c>
      <c r="C197" s="12" t="s">
        <v>402</v>
      </c>
      <c r="D197" s="15" t="s">
        <v>391</v>
      </c>
      <c r="E197" s="85">
        <v>89050.25</v>
      </c>
      <c r="F197" s="911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2">
        <v>6920.2</v>
      </c>
      <c r="K197" s="912">
        <f t="shared" si="80"/>
        <v>11250.7733333333</v>
      </c>
      <c r="L197" s="912">
        <f t="shared" si="81"/>
        <v>4330.57333333333</v>
      </c>
      <c r="M197" s="912"/>
      <c r="N197" s="912"/>
      <c r="O197" s="912">
        <f t="shared" si="83"/>
        <v>0</v>
      </c>
      <c r="P197" s="912">
        <f t="shared" si="84"/>
        <v>135009.28</v>
      </c>
      <c r="Q197" s="912">
        <f t="shared" si="85"/>
        <v>0</v>
      </c>
    </row>
    <row r="198" customHeight="1" spans="1:17">
      <c r="A198" s="27">
        <v>60</v>
      </c>
      <c r="B198" s="18" t="s">
        <v>404</v>
      </c>
      <c r="C198" s="12" t="s">
        <v>402</v>
      </c>
      <c r="D198" s="15" t="s">
        <v>391</v>
      </c>
      <c r="E198" s="85">
        <v>89050.25</v>
      </c>
      <c r="F198" s="911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2">
        <v>6920.2</v>
      </c>
      <c r="K198" s="912">
        <f t="shared" si="80"/>
        <v>11250.7733333333</v>
      </c>
      <c r="L198" s="912">
        <f t="shared" si="81"/>
        <v>4330.57333333333</v>
      </c>
      <c r="M198" s="912"/>
      <c r="N198" s="912"/>
      <c r="O198" s="912">
        <f t="shared" si="83"/>
        <v>0</v>
      </c>
      <c r="P198" s="912">
        <f t="shared" si="84"/>
        <v>135009.28</v>
      </c>
      <c r="Q198" s="912">
        <f t="shared" si="85"/>
        <v>0</v>
      </c>
    </row>
    <row r="199" ht="30.75" customHeight="1" spans="1:17">
      <c r="A199" s="27"/>
      <c r="B199" s="8" t="s">
        <v>120</v>
      </c>
      <c r="C199" s="28" t="s">
        <v>670</v>
      </c>
      <c r="D199" s="29"/>
      <c r="E199" s="93">
        <f t="shared" ref="E199:Q199" si="86">SUM(E139:E198)</f>
        <v>14787756.9166667</v>
      </c>
      <c r="F199" s="915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4595998.66666667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671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6046437.41333334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373109.295833334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7">
      <c r="A201" s="4"/>
      <c r="B201" s="30" t="s">
        <v>672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673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6715955.99333334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373109.295833334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1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1:17">
      <c r="F204" s="1"/>
    </row>
    <row r="205" customHeight="1" spans="1:17">
      <c r="F205" s="1"/>
    </row>
    <row r="206" customHeight="1" spans="1:17">
      <c r="F206" s="1"/>
    </row>
    <row r="207" customHeight="1" spans="1:17">
      <c r="F207" s="1"/>
    </row>
    <row r="208" customHeight="1" spans="1:17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2">
      <c r="A1" s="856" t="s">
        <v>903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2">
      <c r="A2" s="856" t="s">
        <v>904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2">
      <c r="A3" s="623" t="s">
        <v>905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57"/>
    </row>
    <row r="5" ht="41" customHeight="1" spans="1:12">
      <c r="A5" s="858" t="s">
        <v>22</v>
      </c>
      <c r="B5" s="859" t="s">
        <v>2</v>
      </c>
      <c r="C5" s="859" t="s">
        <v>3</v>
      </c>
      <c r="D5" s="860" t="s">
        <v>4</v>
      </c>
      <c r="E5" s="861">
        <v>45293</v>
      </c>
      <c r="F5" s="861">
        <v>45324</v>
      </c>
      <c r="G5" s="861">
        <v>45354</v>
      </c>
      <c r="H5" s="861">
        <v>45386</v>
      </c>
      <c r="I5" s="861">
        <v>45417</v>
      </c>
      <c r="J5" s="861">
        <v>45449</v>
      </c>
      <c r="K5" s="862" t="s">
        <v>906</v>
      </c>
      <c r="L5" s="857"/>
    </row>
    <row r="6" ht="25" customHeight="1" spans="1:12">
      <c r="A6" s="863"/>
      <c r="B6" s="287"/>
      <c r="C6" s="287"/>
      <c r="D6" s="864"/>
      <c r="E6" s="864"/>
      <c r="F6" s="865" t="s">
        <v>21</v>
      </c>
      <c r="G6" s="865"/>
      <c r="H6" s="865"/>
      <c r="I6" s="865"/>
      <c r="J6" s="865"/>
      <c r="K6" s="865" t="s">
        <v>21</v>
      </c>
      <c r="L6" s="857"/>
    </row>
    <row r="7" ht="29" customHeight="1" spans="1:12">
      <c r="A7" s="95">
        <v>1</v>
      </c>
      <c r="B7" s="651" t="s">
        <v>24</v>
      </c>
      <c r="C7" s="83" t="s">
        <v>25</v>
      </c>
      <c r="D7" s="83" t="s">
        <v>26</v>
      </c>
      <c r="E7" s="645">
        <v>35000</v>
      </c>
      <c r="F7" s="645">
        <v>35000</v>
      </c>
      <c r="G7" s="645">
        <v>35000</v>
      </c>
      <c r="H7" s="645">
        <v>35000</v>
      </c>
      <c r="I7" s="645">
        <v>35000</v>
      </c>
      <c r="J7" s="645">
        <v>35000</v>
      </c>
      <c r="K7" s="646">
        <f>SUM(E7:J7)</f>
        <v>210000</v>
      </c>
      <c r="L7" s="857"/>
    </row>
    <row r="8" ht="25" customHeight="1" spans="1:12">
      <c r="A8" s="95">
        <v>2</v>
      </c>
      <c r="B8" s="651" t="s">
        <v>27</v>
      </c>
      <c r="C8" s="83" t="s">
        <v>28</v>
      </c>
      <c r="D8" s="95" t="s">
        <v>29</v>
      </c>
      <c r="E8" s="645">
        <v>35000</v>
      </c>
      <c r="F8" s="645">
        <v>35000</v>
      </c>
      <c r="G8" s="645">
        <v>35000</v>
      </c>
      <c r="H8" s="645">
        <v>35000</v>
      </c>
      <c r="I8" s="645">
        <v>35000</v>
      </c>
      <c r="J8" s="645">
        <v>35000</v>
      </c>
      <c r="K8" s="646">
        <f t="shared" ref="K8:K33" si="0">SUM(E8:J8)</f>
        <v>210000</v>
      </c>
      <c r="L8" s="857"/>
    </row>
    <row r="9" ht="25" customHeight="1" spans="1:12">
      <c r="A9" s="95">
        <v>3</v>
      </c>
      <c r="B9" s="643" t="s">
        <v>30</v>
      </c>
      <c r="C9" s="86" t="s">
        <v>31</v>
      </c>
      <c r="D9" s="95" t="s">
        <v>29</v>
      </c>
      <c r="E9" s="645">
        <v>35000</v>
      </c>
      <c r="F9" s="645">
        <v>35000</v>
      </c>
      <c r="G9" s="645">
        <v>35000</v>
      </c>
      <c r="H9" s="645">
        <v>35000</v>
      </c>
      <c r="I9" s="645">
        <v>35000</v>
      </c>
      <c r="J9" s="645">
        <v>35000</v>
      </c>
      <c r="K9" s="646">
        <f t="shared" si="0"/>
        <v>210000</v>
      </c>
      <c r="L9" s="857"/>
    </row>
    <row r="10" ht="25" customHeight="1" spans="1:12">
      <c r="A10" s="95">
        <v>4</v>
      </c>
      <c r="B10" s="651" t="s">
        <v>32</v>
      </c>
      <c r="C10" s="87" t="s">
        <v>33</v>
      </c>
      <c r="D10" s="95" t="s">
        <v>29</v>
      </c>
      <c r="E10" s="645">
        <v>35000</v>
      </c>
      <c r="F10" s="645">
        <v>35000</v>
      </c>
      <c r="G10" s="645">
        <v>35000</v>
      </c>
      <c r="H10" s="645">
        <v>35000</v>
      </c>
      <c r="I10" s="645">
        <v>35000</v>
      </c>
      <c r="J10" s="645">
        <v>35000</v>
      </c>
      <c r="K10" s="646">
        <f t="shared" si="0"/>
        <v>210000</v>
      </c>
      <c r="L10" s="857"/>
    </row>
    <row r="11" ht="25" customHeight="1" spans="1:12">
      <c r="A11" s="95">
        <v>5</v>
      </c>
      <c r="B11" s="643" t="s">
        <v>300</v>
      </c>
      <c r="C11" s="86" t="s">
        <v>907</v>
      </c>
      <c r="D11" s="95" t="s">
        <v>29</v>
      </c>
      <c r="E11" s="645">
        <v>35000</v>
      </c>
      <c r="F11" s="645">
        <v>35000</v>
      </c>
      <c r="G11" s="645">
        <v>35000</v>
      </c>
      <c r="H11" s="645">
        <v>35000</v>
      </c>
      <c r="I11" s="645">
        <v>35000</v>
      </c>
      <c r="J11" s="645">
        <v>35000</v>
      </c>
      <c r="K11" s="646">
        <f t="shared" si="0"/>
        <v>210000</v>
      </c>
      <c r="L11" s="857"/>
    </row>
    <row r="12" ht="25" customHeight="1" spans="1:12">
      <c r="A12" s="95">
        <v>6</v>
      </c>
      <c r="B12" s="351" t="s">
        <v>908</v>
      </c>
      <c r="C12" s="87" t="s">
        <v>909</v>
      </c>
      <c r="D12" s="95" t="s">
        <v>29</v>
      </c>
      <c r="E12" s="645">
        <v>35000</v>
      </c>
      <c r="F12" s="645">
        <v>35000</v>
      </c>
      <c r="G12" s="645">
        <v>35000</v>
      </c>
      <c r="H12" s="645">
        <v>35000</v>
      </c>
      <c r="I12" s="645">
        <v>35000</v>
      </c>
      <c r="J12" s="645">
        <v>35000</v>
      </c>
      <c r="K12" s="646">
        <f t="shared" si="0"/>
        <v>210000</v>
      </c>
      <c r="L12" s="857"/>
    </row>
    <row r="13" ht="25" customHeight="1" spans="1:12">
      <c r="A13" s="95">
        <v>7</v>
      </c>
      <c r="B13" s="651" t="s">
        <v>34</v>
      </c>
      <c r="C13" s="83" t="s">
        <v>910</v>
      </c>
      <c r="D13" s="644" t="s">
        <v>39</v>
      </c>
      <c r="E13" s="645">
        <v>35000</v>
      </c>
      <c r="F13" s="645">
        <v>35000</v>
      </c>
      <c r="G13" s="645">
        <v>35000</v>
      </c>
      <c r="H13" s="645">
        <v>35000</v>
      </c>
      <c r="I13" s="645">
        <v>35000</v>
      </c>
      <c r="J13" s="645">
        <v>35000</v>
      </c>
      <c r="K13" s="646">
        <f t="shared" si="0"/>
        <v>210000</v>
      </c>
      <c r="L13" s="857"/>
    </row>
    <row r="14" ht="25" customHeight="1" spans="1:12">
      <c r="A14" s="95">
        <v>8</v>
      </c>
      <c r="B14" s="651" t="s">
        <v>37</v>
      </c>
      <c r="C14" s="86" t="s">
        <v>38</v>
      </c>
      <c r="D14" s="95" t="s">
        <v>42</v>
      </c>
      <c r="E14" s="645">
        <v>35000</v>
      </c>
      <c r="F14" s="645">
        <v>35000</v>
      </c>
      <c r="G14" s="645">
        <v>35000</v>
      </c>
      <c r="H14" s="645">
        <v>35000</v>
      </c>
      <c r="I14" s="645">
        <v>35000</v>
      </c>
      <c r="J14" s="645">
        <v>35000</v>
      </c>
      <c r="K14" s="646">
        <f t="shared" si="0"/>
        <v>210000</v>
      </c>
      <c r="L14" s="857"/>
    </row>
    <row r="15" ht="25" customHeight="1" spans="1:12">
      <c r="A15" s="95">
        <v>9</v>
      </c>
      <c r="B15" s="651" t="s">
        <v>40</v>
      </c>
      <c r="C15" s="86" t="s">
        <v>643</v>
      </c>
      <c r="D15" s="644" t="s">
        <v>192</v>
      </c>
      <c r="E15" s="645">
        <v>35000</v>
      </c>
      <c r="F15" s="645">
        <v>35000</v>
      </c>
      <c r="G15" s="645">
        <v>35000</v>
      </c>
      <c r="H15" s="645">
        <v>35000</v>
      </c>
      <c r="I15" s="645">
        <v>35000</v>
      </c>
      <c r="J15" s="645">
        <v>35000</v>
      </c>
      <c r="K15" s="646">
        <f t="shared" si="0"/>
        <v>210000</v>
      </c>
      <c r="L15" s="857"/>
    </row>
    <row r="16" ht="25" customHeight="1" spans="1:12">
      <c r="A16" s="95">
        <v>10</v>
      </c>
      <c r="B16" s="643" t="s">
        <v>43</v>
      </c>
      <c r="C16" s="87" t="s">
        <v>52</v>
      </c>
      <c r="D16" s="644" t="s">
        <v>47</v>
      </c>
      <c r="E16" s="645">
        <v>35000</v>
      </c>
      <c r="F16" s="645">
        <v>35000</v>
      </c>
      <c r="G16" s="645">
        <v>35000</v>
      </c>
      <c r="H16" s="645">
        <v>35000</v>
      </c>
      <c r="I16" s="645">
        <v>35000</v>
      </c>
      <c r="J16" s="645">
        <v>35000</v>
      </c>
      <c r="K16" s="646">
        <f t="shared" si="0"/>
        <v>210000</v>
      </c>
      <c r="L16" s="857"/>
    </row>
    <row r="17" ht="25" customHeight="1" spans="1:12">
      <c r="A17" s="95">
        <v>11</v>
      </c>
      <c r="B17" s="651" t="s">
        <v>45</v>
      </c>
      <c r="C17" s="86" t="s">
        <v>46</v>
      </c>
      <c r="D17" s="95" t="s">
        <v>53</v>
      </c>
      <c r="E17" s="645">
        <v>35000</v>
      </c>
      <c r="F17" s="645">
        <v>35000</v>
      </c>
      <c r="G17" s="645">
        <v>35000</v>
      </c>
      <c r="H17" s="645">
        <v>35000</v>
      </c>
      <c r="I17" s="645">
        <v>35000</v>
      </c>
      <c r="J17" s="645">
        <v>35000</v>
      </c>
      <c r="K17" s="646">
        <f t="shared" si="0"/>
        <v>210000</v>
      </c>
      <c r="L17" s="857"/>
    </row>
    <row r="18" ht="25" customHeight="1" spans="1:12">
      <c r="A18" s="95">
        <v>12</v>
      </c>
      <c r="B18" s="651" t="s">
        <v>48</v>
      </c>
      <c r="C18" s="86" t="s">
        <v>911</v>
      </c>
      <c r="D18" s="95" t="s">
        <v>56</v>
      </c>
      <c r="E18" s="645">
        <v>35000</v>
      </c>
      <c r="F18" s="645">
        <v>35000</v>
      </c>
      <c r="G18" s="645">
        <v>35000</v>
      </c>
      <c r="H18" s="645">
        <v>35000</v>
      </c>
      <c r="I18" s="645">
        <v>35000</v>
      </c>
      <c r="J18" s="645">
        <v>35000</v>
      </c>
      <c r="K18" s="646">
        <f t="shared" si="0"/>
        <v>210000</v>
      </c>
      <c r="L18" s="857"/>
    </row>
    <row r="19" ht="25" customHeight="1" spans="1:12">
      <c r="A19" s="95">
        <v>13</v>
      </c>
      <c r="B19" s="651" t="s">
        <v>51</v>
      </c>
      <c r="C19" s="83" t="s">
        <v>61</v>
      </c>
      <c r="D19" s="644" t="s">
        <v>601</v>
      </c>
      <c r="E19" s="645">
        <v>35000</v>
      </c>
      <c r="F19" s="645">
        <v>35000</v>
      </c>
      <c r="G19" s="645">
        <v>35000</v>
      </c>
      <c r="H19" s="645">
        <v>35000</v>
      </c>
      <c r="I19" s="645">
        <v>35000</v>
      </c>
      <c r="J19" s="645">
        <v>35000</v>
      </c>
      <c r="K19" s="646">
        <f t="shared" si="0"/>
        <v>210000</v>
      </c>
      <c r="L19" s="857"/>
    </row>
    <row r="20" ht="25" customHeight="1" spans="1:12">
      <c r="A20" s="95">
        <v>14</v>
      </c>
      <c r="B20" s="351" t="s">
        <v>54</v>
      </c>
      <c r="C20" s="86" t="s">
        <v>55</v>
      </c>
      <c r="D20" s="644" t="s">
        <v>59</v>
      </c>
      <c r="E20" s="645">
        <v>35000</v>
      </c>
      <c r="F20" s="645">
        <v>35000</v>
      </c>
      <c r="G20" s="645">
        <v>35000</v>
      </c>
      <c r="H20" s="645">
        <v>35000</v>
      </c>
      <c r="I20" s="645">
        <v>35000</v>
      </c>
      <c r="J20" s="645">
        <v>35000</v>
      </c>
      <c r="K20" s="646">
        <f t="shared" si="0"/>
        <v>210000</v>
      </c>
      <c r="L20" s="857"/>
    </row>
    <row r="21" ht="25" customHeight="1" spans="1:12">
      <c r="A21" s="95">
        <v>15</v>
      </c>
      <c r="B21" s="651" t="s">
        <v>65</v>
      </c>
      <c r="C21" s="83" t="s">
        <v>178</v>
      </c>
      <c r="D21" s="644" t="s">
        <v>70</v>
      </c>
      <c r="E21" s="645">
        <v>35000</v>
      </c>
      <c r="F21" s="645">
        <v>35000</v>
      </c>
      <c r="G21" s="645">
        <v>35000</v>
      </c>
      <c r="H21" s="645">
        <v>35000</v>
      </c>
      <c r="I21" s="645">
        <v>35000</v>
      </c>
      <c r="J21" s="645">
        <v>35000</v>
      </c>
      <c r="K21" s="646">
        <f t="shared" si="0"/>
        <v>210000</v>
      </c>
      <c r="L21" s="857"/>
    </row>
    <row r="22" ht="25" customHeight="1" spans="1:12">
      <c r="A22" s="95">
        <v>16</v>
      </c>
      <c r="B22" s="643" t="s">
        <v>68</v>
      </c>
      <c r="C22" s="87" t="s">
        <v>69</v>
      </c>
      <c r="D22" s="95" t="s">
        <v>180</v>
      </c>
      <c r="E22" s="645">
        <v>35000</v>
      </c>
      <c r="F22" s="645">
        <v>35000</v>
      </c>
      <c r="G22" s="645">
        <v>35000</v>
      </c>
      <c r="H22" s="645">
        <v>35000</v>
      </c>
      <c r="I22" s="645">
        <v>35000</v>
      </c>
      <c r="J22" s="645">
        <v>35000</v>
      </c>
      <c r="K22" s="646">
        <f t="shared" si="0"/>
        <v>210000</v>
      </c>
      <c r="L22" s="857"/>
    </row>
    <row r="23" ht="25" customHeight="1" spans="1:12">
      <c r="A23" s="95">
        <v>17</v>
      </c>
      <c r="B23" s="651" t="s">
        <v>71</v>
      </c>
      <c r="C23" s="87" t="s">
        <v>72</v>
      </c>
      <c r="D23" s="644" t="s">
        <v>180</v>
      </c>
      <c r="E23" s="645">
        <v>35000</v>
      </c>
      <c r="F23" s="645">
        <v>35000</v>
      </c>
      <c r="G23" s="645">
        <v>35000</v>
      </c>
      <c r="H23" s="645">
        <v>35000</v>
      </c>
      <c r="I23" s="645">
        <v>35000</v>
      </c>
      <c r="J23" s="645">
        <v>35000</v>
      </c>
      <c r="K23" s="646">
        <f t="shared" si="0"/>
        <v>210000</v>
      </c>
      <c r="L23" s="857"/>
    </row>
    <row r="24" ht="25" customHeight="1" spans="1:12">
      <c r="A24" s="95">
        <v>18</v>
      </c>
      <c r="B24" s="643" t="s">
        <v>73</v>
      </c>
      <c r="C24" s="87" t="s">
        <v>74</v>
      </c>
      <c r="D24" s="95" t="s">
        <v>81</v>
      </c>
      <c r="E24" s="645">
        <v>35000</v>
      </c>
      <c r="F24" s="645">
        <v>35000</v>
      </c>
      <c r="G24" s="645">
        <v>35000</v>
      </c>
      <c r="H24" s="645">
        <v>35000</v>
      </c>
      <c r="I24" s="645">
        <v>35000</v>
      </c>
      <c r="J24" s="645">
        <v>35000</v>
      </c>
      <c r="K24" s="646">
        <f t="shared" si="0"/>
        <v>210000</v>
      </c>
      <c r="L24" s="857"/>
    </row>
    <row r="25" ht="25" customHeight="1" spans="1:12">
      <c r="A25" s="95">
        <v>19</v>
      </c>
      <c r="B25" s="86" t="s">
        <v>478</v>
      </c>
      <c r="C25" s="86" t="s">
        <v>94</v>
      </c>
      <c r="D25" s="95" t="s">
        <v>86</v>
      </c>
      <c r="E25" s="645">
        <v>35000</v>
      </c>
      <c r="F25" s="645">
        <v>35000</v>
      </c>
      <c r="G25" s="645">
        <v>35000</v>
      </c>
      <c r="H25" s="645">
        <v>35000</v>
      </c>
      <c r="I25" s="645">
        <v>35000</v>
      </c>
      <c r="J25" s="645">
        <v>35000</v>
      </c>
      <c r="K25" s="646">
        <f t="shared" si="0"/>
        <v>210000</v>
      </c>
      <c r="L25" s="857"/>
    </row>
    <row r="26" ht="25" customHeight="1" spans="1:12">
      <c r="A26" s="95">
        <v>20</v>
      </c>
      <c r="B26" s="351" t="s">
        <v>79</v>
      </c>
      <c r="C26" s="83" t="s">
        <v>94</v>
      </c>
      <c r="D26" s="644" t="s">
        <v>86</v>
      </c>
      <c r="E26" s="645">
        <v>35000</v>
      </c>
      <c r="F26" s="645">
        <v>35000</v>
      </c>
      <c r="G26" s="645">
        <v>35000</v>
      </c>
      <c r="H26" s="645">
        <v>35000</v>
      </c>
      <c r="I26" s="645">
        <v>35000</v>
      </c>
      <c r="J26" s="645">
        <v>35000</v>
      </c>
      <c r="K26" s="646">
        <f t="shared" si="0"/>
        <v>210000</v>
      </c>
      <c r="L26" s="857"/>
    </row>
    <row r="27" ht="25" customHeight="1" spans="1:12">
      <c r="A27" s="95">
        <v>21</v>
      </c>
      <c r="B27" s="651" t="s">
        <v>82</v>
      </c>
      <c r="C27" s="87" t="s">
        <v>69</v>
      </c>
      <c r="D27" s="95" t="s">
        <v>86</v>
      </c>
      <c r="E27" s="645">
        <v>35000</v>
      </c>
      <c r="F27" s="645">
        <v>35000</v>
      </c>
      <c r="G27" s="645">
        <v>35000</v>
      </c>
      <c r="H27" s="645">
        <v>35000</v>
      </c>
      <c r="I27" s="645">
        <v>35000</v>
      </c>
      <c r="J27" s="645">
        <v>35000</v>
      </c>
      <c r="K27" s="646">
        <f t="shared" si="0"/>
        <v>210000</v>
      </c>
      <c r="L27" s="857"/>
    </row>
    <row r="28" ht="25" customHeight="1" spans="1:12">
      <c r="A28" s="95">
        <v>22</v>
      </c>
      <c r="B28" s="351" t="s">
        <v>84</v>
      </c>
      <c r="C28" s="83" t="s">
        <v>85</v>
      </c>
      <c r="D28" s="644" t="s">
        <v>99</v>
      </c>
      <c r="E28" s="645">
        <v>35000</v>
      </c>
      <c r="F28" s="645">
        <v>35000</v>
      </c>
      <c r="G28" s="645">
        <v>35000</v>
      </c>
      <c r="H28" s="645">
        <v>35000</v>
      </c>
      <c r="I28" s="645">
        <v>35000</v>
      </c>
      <c r="J28" s="645">
        <v>35000</v>
      </c>
      <c r="K28" s="646">
        <f t="shared" si="0"/>
        <v>210000</v>
      </c>
      <c r="L28" s="857"/>
    </row>
    <row r="29" ht="25" customHeight="1" spans="1:12">
      <c r="A29" s="95">
        <v>23</v>
      </c>
      <c r="B29" s="351" t="s">
        <v>87</v>
      </c>
      <c r="C29" s="86" t="s">
        <v>88</v>
      </c>
      <c r="D29" s="95" t="s">
        <v>225</v>
      </c>
      <c r="E29" s="645">
        <v>35000</v>
      </c>
      <c r="F29" s="645">
        <v>35000</v>
      </c>
      <c r="G29" s="645">
        <v>35000</v>
      </c>
      <c r="H29" s="645">
        <v>35000</v>
      </c>
      <c r="I29" s="645">
        <v>35000</v>
      </c>
      <c r="J29" s="645">
        <v>35000</v>
      </c>
      <c r="K29" s="646">
        <f t="shared" si="0"/>
        <v>210000</v>
      </c>
      <c r="L29" s="857"/>
    </row>
    <row r="30" ht="25" customHeight="1" spans="1:12">
      <c r="A30" s="95">
        <v>24</v>
      </c>
      <c r="B30" s="351" t="s">
        <v>89</v>
      </c>
      <c r="C30" s="86" t="s">
        <v>88</v>
      </c>
      <c r="D30" s="95" t="s">
        <v>225</v>
      </c>
      <c r="E30" s="645">
        <v>35000</v>
      </c>
      <c r="F30" s="645">
        <v>35000</v>
      </c>
      <c r="G30" s="645">
        <v>35000</v>
      </c>
      <c r="H30" s="645">
        <v>35000</v>
      </c>
      <c r="I30" s="645">
        <v>35000</v>
      </c>
      <c r="J30" s="645">
        <v>35000</v>
      </c>
      <c r="K30" s="646">
        <f t="shared" si="0"/>
        <v>210000</v>
      </c>
      <c r="L30" s="857"/>
    </row>
    <row r="31" ht="25" customHeight="1" spans="1:12">
      <c r="A31" s="95">
        <v>25</v>
      </c>
      <c r="B31" s="351" t="s">
        <v>91</v>
      </c>
      <c r="C31" s="87" t="s">
        <v>646</v>
      </c>
      <c r="D31" s="644" t="s">
        <v>86</v>
      </c>
      <c r="E31" s="645">
        <v>35000</v>
      </c>
      <c r="F31" s="645">
        <v>35000</v>
      </c>
      <c r="G31" s="645">
        <v>35000</v>
      </c>
      <c r="H31" s="645">
        <v>35000</v>
      </c>
      <c r="I31" s="645">
        <v>35000</v>
      </c>
      <c r="J31" s="645">
        <v>35000</v>
      </c>
      <c r="K31" s="646">
        <f t="shared" si="0"/>
        <v>210000</v>
      </c>
      <c r="L31" s="857"/>
    </row>
    <row r="32" ht="25" customHeight="1" spans="1:12">
      <c r="A32" s="95">
        <v>26</v>
      </c>
      <c r="B32" s="351" t="s">
        <v>95</v>
      </c>
      <c r="C32" s="86" t="s">
        <v>647</v>
      </c>
      <c r="D32" s="95" t="s">
        <v>108</v>
      </c>
      <c r="E32" s="645">
        <v>35000</v>
      </c>
      <c r="F32" s="645">
        <v>35000</v>
      </c>
      <c r="G32" s="645">
        <v>35000</v>
      </c>
      <c r="H32" s="645">
        <v>35000</v>
      </c>
      <c r="I32" s="645">
        <v>35000</v>
      </c>
      <c r="J32" s="645">
        <v>35000</v>
      </c>
      <c r="K32" s="646">
        <f t="shared" si="0"/>
        <v>210000</v>
      </c>
      <c r="L32" s="857"/>
    </row>
    <row r="33" ht="25" customHeight="1" spans="1:12">
      <c r="A33" s="95">
        <v>27</v>
      </c>
      <c r="B33" s="351" t="s">
        <v>103</v>
      </c>
      <c r="C33" s="83" t="s">
        <v>104</v>
      </c>
      <c r="D33" s="644" t="s">
        <v>111</v>
      </c>
      <c r="E33" s="645">
        <v>35000</v>
      </c>
      <c r="F33" s="645">
        <v>35000</v>
      </c>
      <c r="G33" s="645">
        <v>35000</v>
      </c>
      <c r="H33" s="645">
        <v>35000</v>
      </c>
      <c r="I33" s="645">
        <v>35000</v>
      </c>
      <c r="J33" s="645">
        <v>35000</v>
      </c>
      <c r="K33" s="646">
        <f t="shared" si="0"/>
        <v>210000</v>
      </c>
      <c r="L33" s="857"/>
    </row>
    <row r="34" ht="25" customHeight="1" spans="1:12">
      <c r="A34" s="95"/>
      <c r="B34" s="866" t="s">
        <v>120</v>
      </c>
      <c r="C34" s="88">
        <v>27</v>
      </c>
      <c r="D34" s="644"/>
      <c r="E34" s="867">
        <f t="shared" ref="E34:K34" si="1">SUM(E7:E33)</f>
        <v>945000</v>
      </c>
      <c r="F34" s="868">
        <f t="shared" si="1"/>
        <v>945000</v>
      </c>
      <c r="G34" s="868">
        <f t="shared" si="1"/>
        <v>945000</v>
      </c>
      <c r="H34" s="868">
        <f t="shared" si="1"/>
        <v>945000</v>
      </c>
      <c r="I34" s="868">
        <f t="shared" si="1"/>
        <v>945000</v>
      </c>
      <c r="J34" s="868">
        <f t="shared" si="1"/>
        <v>945000</v>
      </c>
      <c r="K34" s="868">
        <f t="shared" si="1"/>
        <v>5670000</v>
      </c>
      <c r="L34" s="857"/>
    </row>
    <row r="35" ht="25" customHeight="1" spans="1:12">
      <c r="A35" s="95"/>
      <c r="B35" s="869"/>
      <c r="C35" s="86"/>
      <c r="D35" s="644"/>
      <c r="E35" s="644"/>
      <c r="F35" s="870"/>
      <c r="G35" s="870"/>
      <c r="H35" s="870"/>
      <c r="I35" s="870"/>
      <c r="J35" s="870"/>
      <c r="K35" s="646"/>
      <c r="L35" s="857"/>
    </row>
    <row r="36" ht="25" customHeight="1" spans="1:12">
      <c r="A36" s="95"/>
      <c r="B36" s="866" t="s">
        <v>121</v>
      </c>
      <c r="C36" s="86"/>
      <c r="D36" s="644"/>
      <c r="E36" s="644"/>
      <c r="F36" s="645"/>
      <c r="G36" s="645"/>
      <c r="H36" s="645"/>
      <c r="I36" s="645"/>
      <c r="J36" s="645"/>
      <c r="K36" s="646"/>
      <c r="L36" s="857"/>
    </row>
    <row r="37" ht="25" customHeight="1" spans="1:12">
      <c r="A37" s="95">
        <v>1</v>
      </c>
      <c r="B37" s="351" t="s">
        <v>122</v>
      </c>
      <c r="C37" s="86" t="s">
        <v>123</v>
      </c>
      <c r="D37" s="95" t="s">
        <v>124</v>
      </c>
      <c r="E37" s="645">
        <v>35000</v>
      </c>
      <c r="F37" s="645">
        <v>35000</v>
      </c>
      <c r="G37" s="645">
        <v>35000</v>
      </c>
      <c r="H37" s="645">
        <v>35000</v>
      </c>
      <c r="I37" s="645">
        <v>35000</v>
      </c>
      <c r="J37" s="645">
        <v>35000</v>
      </c>
      <c r="K37" s="646">
        <f t="shared" ref="K37:K39" si="2">SUM(E37:J37)</f>
        <v>210000</v>
      </c>
      <c r="L37" s="857"/>
    </row>
    <row r="38" ht="25" customHeight="1" spans="1:12">
      <c r="A38" s="95">
        <v>2</v>
      </c>
      <c r="B38" s="351" t="s">
        <v>127</v>
      </c>
      <c r="C38" s="86" t="s">
        <v>128</v>
      </c>
      <c r="D38" s="95" t="s">
        <v>81</v>
      </c>
      <c r="E38" s="645">
        <v>35000</v>
      </c>
      <c r="F38" s="645">
        <v>35000</v>
      </c>
      <c r="G38" s="645">
        <v>35000</v>
      </c>
      <c r="H38" s="645">
        <v>35000</v>
      </c>
      <c r="I38" s="645">
        <v>35000</v>
      </c>
      <c r="J38" s="645">
        <v>35000</v>
      </c>
      <c r="K38" s="646">
        <f t="shared" si="2"/>
        <v>210000</v>
      </c>
      <c r="L38" s="857"/>
    </row>
    <row r="39" ht="25" customHeight="1" spans="1:12">
      <c r="A39" s="95">
        <v>3</v>
      </c>
      <c r="B39" s="651" t="s">
        <v>129</v>
      </c>
      <c r="C39" s="86" t="s">
        <v>128</v>
      </c>
      <c r="D39" s="644" t="s">
        <v>75</v>
      </c>
      <c r="E39" s="645">
        <v>35000</v>
      </c>
      <c r="F39" s="645">
        <v>35000</v>
      </c>
      <c r="G39" s="645">
        <v>35000</v>
      </c>
      <c r="H39" s="645">
        <v>35000</v>
      </c>
      <c r="I39" s="645">
        <v>35000</v>
      </c>
      <c r="J39" s="645">
        <v>35000</v>
      </c>
      <c r="K39" s="646">
        <f t="shared" si="2"/>
        <v>210000</v>
      </c>
      <c r="L39" s="857"/>
    </row>
    <row r="40" ht="25" customHeight="1" spans="1:12">
      <c r="A40" s="95"/>
      <c r="B40" s="643"/>
      <c r="C40" s="88">
        <v>3</v>
      </c>
      <c r="D40" s="95"/>
      <c r="E40" s="868">
        <f t="shared" ref="E40:K40" si="3">SUM(E37:E39)</f>
        <v>105000</v>
      </c>
      <c r="F40" s="868">
        <f t="shared" si="3"/>
        <v>105000</v>
      </c>
      <c r="G40" s="868">
        <f t="shared" si="3"/>
        <v>105000</v>
      </c>
      <c r="H40" s="868">
        <f t="shared" si="3"/>
        <v>105000</v>
      </c>
      <c r="I40" s="868">
        <f t="shared" si="3"/>
        <v>105000</v>
      </c>
      <c r="J40" s="868">
        <f t="shared" si="3"/>
        <v>105000</v>
      </c>
      <c r="K40" s="868">
        <f t="shared" si="3"/>
        <v>630000</v>
      </c>
      <c r="L40" s="857"/>
    </row>
    <row r="41" ht="25" customHeight="1" spans="1:12">
      <c r="A41" s="95"/>
      <c r="B41" s="643"/>
      <c r="C41" s="86"/>
      <c r="D41" s="95"/>
      <c r="E41" s="95"/>
      <c r="F41" s="870"/>
      <c r="G41" s="870"/>
      <c r="H41" s="870"/>
      <c r="I41" s="870"/>
      <c r="J41" s="870"/>
      <c r="K41" s="646"/>
      <c r="L41" s="857"/>
    </row>
    <row r="42" ht="25" customHeight="1" spans="1:12">
      <c r="A42" s="95"/>
      <c r="B42" s="871" t="s">
        <v>137</v>
      </c>
      <c r="C42" s="90"/>
      <c r="D42" s="640"/>
      <c r="E42" s="640"/>
      <c r="F42" s="870"/>
      <c r="G42" s="870"/>
      <c r="H42" s="870"/>
      <c r="I42" s="870"/>
      <c r="J42" s="870"/>
      <c r="K42" s="646"/>
      <c r="L42" s="857"/>
    </row>
    <row r="43" ht="25" customHeight="1" spans="1:12">
      <c r="A43" s="95">
        <v>1</v>
      </c>
      <c r="B43" s="872" t="s">
        <v>912</v>
      </c>
      <c r="C43" s="86" t="s">
        <v>913</v>
      </c>
      <c r="D43" s="95" t="s">
        <v>124</v>
      </c>
      <c r="E43" s="645">
        <v>35000</v>
      </c>
      <c r="F43" s="645">
        <v>35000</v>
      </c>
      <c r="G43" s="645">
        <v>35000</v>
      </c>
      <c r="H43" s="645">
        <v>35000</v>
      </c>
      <c r="I43" s="645">
        <v>35000</v>
      </c>
      <c r="J43" s="645">
        <v>35000</v>
      </c>
      <c r="K43" s="646">
        <f t="shared" ref="K43:K45" si="4">SUM(E43:J43)</f>
        <v>210000</v>
      </c>
      <c r="L43" s="857"/>
    </row>
    <row r="44" ht="25" customHeight="1" spans="1:12">
      <c r="A44" s="95">
        <v>2</v>
      </c>
      <c r="B44" s="872" t="s">
        <v>914</v>
      </c>
      <c r="C44" s="86" t="s">
        <v>44</v>
      </c>
      <c r="D44" s="95" t="s">
        <v>39</v>
      </c>
      <c r="E44" s="645">
        <v>35000</v>
      </c>
      <c r="F44" s="645">
        <v>35000</v>
      </c>
      <c r="G44" s="645">
        <v>35000</v>
      </c>
      <c r="H44" s="645">
        <v>35000</v>
      </c>
      <c r="I44" s="645">
        <v>35000</v>
      </c>
      <c r="J44" s="645">
        <v>35000</v>
      </c>
      <c r="K44" s="646">
        <f t="shared" si="4"/>
        <v>210000</v>
      </c>
      <c r="L44" s="857"/>
    </row>
    <row r="45" ht="25" customHeight="1" spans="1:12">
      <c r="A45" s="95">
        <v>3</v>
      </c>
      <c r="B45" s="651" t="s">
        <v>138</v>
      </c>
      <c r="C45" s="86" t="s">
        <v>648</v>
      </c>
      <c r="D45" s="95" t="s">
        <v>210</v>
      </c>
      <c r="E45" s="645">
        <v>35000</v>
      </c>
      <c r="F45" s="645">
        <v>35000</v>
      </c>
      <c r="G45" s="645">
        <v>35000</v>
      </c>
      <c r="H45" s="645">
        <v>35000</v>
      </c>
      <c r="I45" s="645">
        <v>35000</v>
      </c>
      <c r="J45" s="645">
        <v>35000</v>
      </c>
      <c r="K45" s="646">
        <f t="shared" si="4"/>
        <v>210000</v>
      </c>
      <c r="L45" s="857"/>
    </row>
    <row r="46" ht="25" customHeight="1" spans="1:12">
      <c r="A46" s="95">
        <v>4</v>
      </c>
      <c r="B46" s="651" t="s">
        <v>141</v>
      </c>
      <c r="C46" s="86" t="s">
        <v>145</v>
      </c>
      <c r="D46" s="95" t="s">
        <v>39</v>
      </c>
      <c r="E46" s="645">
        <v>35000</v>
      </c>
      <c r="F46" s="645">
        <v>35000</v>
      </c>
      <c r="G46" s="645">
        <v>35000</v>
      </c>
      <c r="H46" s="645">
        <v>35000</v>
      </c>
      <c r="I46" s="645">
        <v>35000</v>
      </c>
      <c r="J46" s="645">
        <v>35000</v>
      </c>
      <c r="K46" s="646">
        <f t="shared" ref="K46:K53" si="5">SUM(E46:J46)</f>
        <v>210000</v>
      </c>
      <c r="L46" s="857"/>
    </row>
    <row r="47" ht="25" customHeight="1" spans="1:12">
      <c r="A47" s="95">
        <v>5</v>
      </c>
      <c r="B47" s="651" t="s">
        <v>144</v>
      </c>
      <c r="C47" s="86" t="s">
        <v>145</v>
      </c>
      <c r="D47" s="95" t="s">
        <v>39</v>
      </c>
      <c r="E47" s="645">
        <v>35000</v>
      </c>
      <c r="F47" s="645">
        <v>35000</v>
      </c>
      <c r="G47" s="645">
        <v>35000</v>
      </c>
      <c r="H47" s="645">
        <v>35000</v>
      </c>
      <c r="I47" s="645">
        <v>35000</v>
      </c>
      <c r="J47" s="645">
        <v>35000</v>
      </c>
      <c r="K47" s="646">
        <f t="shared" si="5"/>
        <v>210000</v>
      </c>
      <c r="L47" s="857"/>
    </row>
    <row r="48" ht="25" customHeight="1" spans="1:12">
      <c r="A48" s="95">
        <v>6</v>
      </c>
      <c r="B48" s="651" t="s">
        <v>146</v>
      </c>
      <c r="C48" s="86" t="s">
        <v>145</v>
      </c>
      <c r="D48" s="95" t="s">
        <v>42</v>
      </c>
      <c r="E48" s="645">
        <v>35000</v>
      </c>
      <c r="F48" s="645">
        <v>35000</v>
      </c>
      <c r="G48" s="645">
        <v>35000</v>
      </c>
      <c r="H48" s="645">
        <v>35000</v>
      </c>
      <c r="I48" s="645">
        <v>35000</v>
      </c>
      <c r="J48" s="645">
        <v>35000</v>
      </c>
      <c r="K48" s="646">
        <f t="shared" si="5"/>
        <v>210000</v>
      </c>
      <c r="L48" s="857"/>
    </row>
    <row r="49" ht="25" customHeight="1" spans="1:12">
      <c r="A49" s="95">
        <v>7</v>
      </c>
      <c r="B49" s="643" t="s">
        <v>147</v>
      </c>
      <c r="C49" s="86" t="s">
        <v>52</v>
      </c>
      <c r="D49" s="873" t="s">
        <v>47</v>
      </c>
      <c r="E49" s="645">
        <v>35000</v>
      </c>
      <c r="F49" s="645">
        <v>35000</v>
      </c>
      <c r="G49" s="645">
        <v>35000</v>
      </c>
      <c r="H49" s="645">
        <v>35000</v>
      </c>
      <c r="I49" s="645">
        <v>35000</v>
      </c>
      <c r="J49" s="645">
        <v>35000</v>
      </c>
      <c r="K49" s="646">
        <f t="shared" si="5"/>
        <v>210000</v>
      </c>
      <c r="L49" s="857"/>
    </row>
    <row r="50" ht="25" customHeight="1" spans="1:12">
      <c r="A50" s="95">
        <v>8</v>
      </c>
      <c r="B50" s="651" t="s">
        <v>151</v>
      </c>
      <c r="C50" s="86" t="s">
        <v>152</v>
      </c>
      <c r="D50" s="95" t="s">
        <v>75</v>
      </c>
      <c r="E50" s="645">
        <v>35000</v>
      </c>
      <c r="F50" s="645">
        <v>35000</v>
      </c>
      <c r="G50" s="645">
        <v>35000</v>
      </c>
      <c r="H50" s="645">
        <v>35000</v>
      </c>
      <c r="I50" s="645">
        <v>35000</v>
      </c>
      <c r="J50" s="645">
        <v>35000</v>
      </c>
      <c r="K50" s="646">
        <f t="shared" si="5"/>
        <v>210000</v>
      </c>
      <c r="L50" s="857"/>
    </row>
    <row r="51" ht="25" customHeight="1" spans="1:12">
      <c r="A51" s="95">
        <v>9</v>
      </c>
      <c r="B51" s="651" t="s">
        <v>155</v>
      </c>
      <c r="C51" s="86" t="s">
        <v>152</v>
      </c>
      <c r="D51" s="95" t="s">
        <v>99</v>
      </c>
      <c r="E51" s="645">
        <v>35000</v>
      </c>
      <c r="F51" s="645">
        <v>35000</v>
      </c>
      <c r="G51" s="645">
        <v>35000</v>
      </c>
      <c r="H51" s="645">
        <v>35000</v>
      </c>
      <c r="I51" s="645">
        <v>35000</v>
      </c>
      <c r="J51" s="645">
        <v>35000</v>
      </c>
      <c r="K51" s="646">
        <f t="shared" si="5"/>
        <v>210000</v>
      </c>
      <c r="L51" s="857"/>
    </row>
    <row r="52" ht="25" customHeight="1" spans="1:12">
      <c r="A52" s="95">
        <v>10</v>
      </c>
      <c r="B52" s="651" t="s">
        <v>915</v>
      </c>
      <c r="C52" s="86" t="s">
        <v>152</v>
      </c>
      <c r="D52" s="95" t="s">
        <v>99</v>
      </c>
      <c r="E52" s="645">
        <v>35000</v>
      </c>
      <c r="F52" s="645">
        <v>35000</v>
      </c>
      <c r="G52" s="645">
        <v>35000</v>
      </c>
      <c r="H52" s="645">
        <v>35000</v>
      </c>
      <c r="I52" s="645">
        <v>35000</v>
      </c>
      <c r="J52" s="645">
        <v>35000</v>
      </c>
      <c r="K52" s="646">
        <f t="shared" si="5"/>
        <v>210000</v>
      </c>
      <c r="L52" s="857"/>
    </row>
    <row r="53" ht="25" customHeight="1" spans="1:12">
      <c r="A53" s="95">
        <v>11</v>
      </c>
      <c r="B53" s="651" t="s">
        <v>157</v>
      </c>
      <c r="C53" s="86" t="s">
        <v>152</v>
      </c>
      <c r="D53" s="95" t="s">
        <v>99</v>
      </c>
      <c r="E53" s="645">
        <v>35000</v>
      </c>
      <c r="F53" s="645">
        <v>35000</v>
      </c>
      <c r="G53" s="645">
        <v>35000</v>
      </c>
      <c r="H53" s="645">
        <v>35000</v>
      </c>
      <c r="I53" s="645">
        <v>35000</v>
      </c>
      <c r="J53" s="645">
        <v>35000</v>
      </c>
      <c r="K53" s="646">
        <f t="shared" si="5"/>
        <v>210000</v>
      </c>
      <c r="L53" s="857"/>
    </row>
    <row r="54" ht="25" customHeight="1" spans="1:12">
      <c r="A54" s="95"/>
      <c r="B54" s="866" t="s">
        <v>120</v>
      </c>
      <c r="C54" s="88">
        <v>11</v>
      </c>
      <c r="D54" s="88"/>
      <c r="E54" s="874">
        <f t="shared" ref="E54:K54" si="6">SUM(E43:E53)</f>
        <v>385000</v>
      </c>
      <c r="F54" s="874">
        <f t="shared" si="6"/>
        <v>385000</v>
      </c>
      <c r="G54" s="874">
        <f t="shared" si="6"/>
        <v>385000</v>
      </c>
      <c r="H54" s="874">
        <f t="shared" si="6"/>
        <v>385000</v>
      </c>
      <c r="I54" s="874">
        <f t="shared" si="6"/>
        <v>385000</v>
      </c>
      <c r="J54" s="874">
        <f t="shared" si="6"/>
        <v>385000</v>
      </c>
      <c r="K54" s="868">
        <f t="shared" si="6"/>
        <v>2310000</v>
      </c>
      <c r="L54" s="857"/>
    </row>
    <row r="55" ht="25" customHeight="1" spans="1:12">
      <c r="A55" s="95"/>
      <c r="B55" s="869"/>
      <c r="C55" s="88"/>
      <c r="D55" s="88"/>
      <c r="E55" s="88"/>
      <c r="F55" s="647"/>
      <c r="G55" s="647"/>
      <c r="H55" s="647"/>
      <c r="I55" s="647"/>
      <c r="J55" s="647"/>
      <c r="K55" s="646"/>
      <c r="L55" s="857"/>
    </row>
    <row r="56" ht="25" customHeight="1" spans="1:12">
      <c r="A56" s="95"/>
      <c r="B56" s="866" t="s">
        <v>159</v>
      </c>
      <c r="C56" s="88"/>
      <c r="D56" s="88"/>
      <c r="E56" s="88"/>
      <c r="F56" s="647"/>
      <c r="G56" s="647"/>
      <c r="H56" s="647"/>
      <c r="I56" s="647"/>
      <c r="J56" s="647"/>
      <c r="K56" s="646"/>
      <c r="L56" s="857"/>
    </row>
    <row r="57" ht="25" customHeight="1" spans="1:12">
      <c r="A57" s="95">
        <v>1</v>
      </c>
      <c r="B57" s="651" t="s">
        <v>916</v>
      </c>
      <c r="C57" s="83" t="s">
        <v>161</v>
      </c>
      <c r="D57" s="644" t="s">
        <v>124</v>
      </c>
      <c r="E57" s="645">
        <v>35000</v>
      </c>
      <c r="F57" s="645">
        <v>35000</v>
      </c>
      <c r="G57" s="645">
        <v>35000</v>
      </c>
      <c r="H57" s="645">
        <v>35000</v>
      </c>
      <c r="I57" s="645">
        <v>35000</v>
      </c>
      <c r="J57" s="645">
        <v>35000</v>
      </c>
      <c r="K57" s="646">
        <f t="shared" ref="K57:K71" si="7">SUM(E57:J57)</f>
        <v>210000</v>
      </c>
      <c r="L57" s="857"/>
    </row>
    <row r="58" ht="25" customHeight="1" spans="1:12">
      <c r="A58" s="95">
        <v>2</v>
      </c>
      <c r="B58" s="651" t="s">
        <v>162</v>
      </c>
      <c r="C58" s="83" t="s">
        <v>485</v>
      </c>
      <c r="D58" s="644" t="s">
        <v>486</v>
      </c>
      <c r="E58" s="645">
        <v>35000</v>
      </c>
      <c r="F58" s="645">
        <v>35000</v>
      </c>
      <c r="G58" s="645">
        <v>35000</v>
      </c>
      <c r="H58" s="645">
        <v>35000</v>
      </c>
      <c r="I58" s="645">
        <v>35000</v>
      </c>
      <c r="J58" s="645">
        <v>35000</v>
      </c>
      <c r="K58" s="646">
        <f t="shared" si="7"/>
        <v>210000</v>
      </c>
      <c r="L58" s="857"/>
    </row>
    <row r="59" ht="25" customHeight="1" spans="1:12">
      <c r="A59" s="95"/>
      <c r="B59" s="866" t="s">
        <v>120</v>
      </c>
      <c r="C59" s="88">
        <v>2</v>
      </c>
      <c r="D59" s="88"/>
      <c r="E59" s="874">
        <f t="shared" ref="E59:K59" si="8">SUM(E57:E58)</f>
        <v>70000</v>
      </c>
      <c r="F59" s="874">
        <f t="shared" si="8"/>
        <v>70000</v>
      </c>
      <c r="G59" s="874">
        <f t="shared" si="8"/>
        <v>70000</v>
      </c>
      <c r="H59" s="874">
        <f t="shared" si="8"/>
        <v>70000</v>
      </c>
      <c r="I59" s="874">
        <f t="shared" si="8"/>
        <v>70000</v>
      </c>
      <c r="J59" s="874">
        <f t="shared" si="8"/>
        <v>70000</v>
      </c>
      <c r="K59" s="875">
        <f t="shared" si="8"/>
        <v>420000</v>
      </c>
      <c r="L59" s="857"/>
    </row>
    <row r="60" ht="25" customHeight="1" spans="1:12">
      <c r="A60" s="95"/>
      <c r="B60" s="866"/>
      <c r="C60" s="88"/>
      <c r="D60" s="88"/>
      <c r="E60" s="88"/>
      <c r="F60" s="647"/>
      <c r="G60" s="647"/>
      <c r="H60" s="647"/>
      <c r="I60" s="647"/>
      <c r="J60" s="647"/>
      <c r="K60" s="646"/>
      <c r="L60" s="857"/>
    </row>
    <row r="61" ht="25" customHeight="1" spans="1:12">
      <c r="A61" s="95"/>
      <c r="B61" s="866" t="s">
        <v>164</v>
      </c>
      <c r="C61" s="88"/>
      <c r="D61" s="88"/>
      <c r="E61" s="88"/>
      <c r="F61" s="647"/>
      <c r="G61" s="647"/>
      <c r="H61" s="647"/>
      <c r="I61" s="647"/>
      <c r="J61" s="647"/>
      <c r="K61" s="646"/>
      <c r="L61" s="857"/>
    </row>
    <row r="62" ht="25" customHeight="1" spans="1:12">
      <c r="A62" s="95">
        <v>1</v>
      </c>
      <c r="B62" s="872" t="s">
        <v>917</v>
      </c>
      <c r="C62" s="87" t="s">
        <v>918</v>
      </c>
      <c r="D62" s="95" t="s">
        <v>124</v>
      </c>
      <c r="E62" s="645">
        <v>35000</v>
      </c>
      <c r="F62" s="645">
        <v>35000</v>
      </c>
      <c r="G62" s="645">
        <v>35000</v>
      </c>
      <c r="H62" s="645">
        <v>35000</v>
      </c>
      <c r="I62" s="645">
        <v>35000</v>
      </c>
      <c r="J62" s="645">
        <v>35000</v>
      </c>
      <c r="K62" s="646">
        <f t="shared" si="7"/>
        <v>210000</v>
      </c>
      <c r="L62" s="857"/>
    </row>
    <row r="63" ht="25" customHeight="1" spans="1:12">
      <c r="A63" s="95">
        <v>2</v>
      </c>
      <c r="B63" s="876" t="s">
        <v>919</v>
      </c>
      <c r="C63" s="87" t="s">
        <v>920</v>
      </c>
      <c r="D63" s="644" t="s">
        <v>50</v>
      </c>
      <c r="E63" s="645">
        <v>35000</v>
      </c>
      <c r="F63" s="645">
        <v>35000</v>
      </c>
      <c r="G63" s="645">
        <v>35000</v>
      </c>
      <c r="H63" s="645">
        <v>35000</v>
      </c>
      <c r="I63" s="645">
        <v>35000</v>
      </c>
      <c r="J63" s="645">
        <v>35000</v>
      </c>
      <c r="K63" s="646">
        <f t="shared" si="7"/>
        <v>210000</v>
      </c>
      <c r="L63" s="857"/>
    </row>
    <row r="64" ht="25" customHeight="1" spans="1:12">
      <c r="A64" s="95">
        <v>3</v>
      </c>
      <c r="B64" s="651" t="s">
        <v>167</v>
      </c>
      <c r="C64" s="86" t="s">
        <v>52</v>
      </c>
      <c r="D64" s="95" t="s">
        <v>53</v>
      </c>
      <c r="E64" s="645">
        <v>35000</v>
      </c>
      <c r="F64" s="645">
        <v>35000</v>
      </c>
      <c r="G64" s="645">
        <v>35000</v>
      </c>
      <c r="H64" s="645">
        <v>35000</v>
      </c>
      <c r="I64" s="645">
        <v>35000</v>
      </c>
      <c r="J64" s="645">
        <v>35000</v>
      </c>
      <c r="K64" s="646">
        <f t="shared" si="7"/>
        <v>210000</v>
      </c>
      <c r="L64" s="857"/>
    </row>
    <row r="65" ht="25" customHeight="1" spans="1:12">
      <c r="A65" s="95">
        <v>4</v>
      </c>
      <c r="B65" s="876" t="s">
        <v>921</v>
      </c>
      <c r="C65" s="87" t="s">
        <v>217</v>
      </c>
      <c r="D65" s="644" t="s">
        <v>601</v>
      </c>
      <c r="E65" s="645">
        <v>35000</v>
      </c>
      <c r="F65" s="645">
        <v>35000</v>
      </c>
      <c r="G65" s="645">
        <v>35000</v>
      </c>
      <c r="H65" s="645">
        <v>35000</v>
      </c>
      <c r="I65" s="645">
        <v>35000</v>
      </c>
      <c r="J65" s="645">
        <v>35000</v>
      </c>
      <c r="K65" s="646">
        <f t="shared" si="7"/>
        <v>210000</v>
      </c>
      <c r="L65" s="857"/>
    </row>
    <row r="66" ht="25" customHeight="1" spans="1:12">
      <c r="A66" s="95">
        <v>5</v>
      </c>
      <c r="B66" s="877" t="s">
        <v>922</v>
      </c>
      <c r="C66" s="87" t="s">
        <v>52</v>
      </c>
      <c r="D66" s="644" t="s">
        <v>192</v>
      </c>
      <c r="E66" s="645">
        <v>35000</v>
      </c>
      <c r="F66" s="645">
        <v>35000</v>
      </c>
      <c r="G66" s="645">
        <v>35000</v>
      </c>
      <c r="H66" s="645">
        <v>35000</v>
      </c>
      <c r="I66" s="645">
        <v>35000</v>
      </c>
      <c r="J66" s="645">
        <v>35000</v>
      </c>
      <c r="K66" s="646">
        <f t="shared" si="7"/>
        <v>210000</v>
      </c>
      <c r="L66" s="857"/>
    </row>
    <row r="67" ht="25" customHeight="1" spans="1:12">
      <c r="A67" s="95">
        <v>6</v>
      </c>
      <c r="B67" s="651" t="s">
        <v>171</v>
      </c>
      <c r="C67" s="86" t="s">
        <v>152</v>
      </c>
      <c r="D67" s="95" t="s">
        <v>131</v>
      </c>
      <c r="E67" s="645">
        <v>35000</v>
      </c>
      <c r="F67" s="645">
        <v>35000</v>
      </c>
      <c r="G67" s="645">
        <v>35000</v>
      </c>
      <c r="H67" s="645">
        <v>35000</v>
      </c>
      <c r="I67" s="645">
        <v>35000</v>
      </c>
      <c r="J67" s="645">
        <v>35000</v>
      </c>
      <c r="K67" s="646">
        <f t="shared" si="7"/>
        <v>210000</v>
      </c>
      <c r="L67" s="857"/>
    </row>
    <row r="68" ht="25" customHeight="1" spans="1:12">
      <c r="A68" s="95">
        <v>7</v>
      </c>
      <c r="B68" s="651" t="s">
        <v>172</v>
      </c>
      <c r="C68" s="87" t="s">
        <v>72</v>
      </c>
      <c r="D68" s="95" t="s">
        <v>131</v>
      </c>
      <c r="E68" s="645">
        <v>35000</v>
      </c>
      <c r="F68" s="645">
        <v>35000</v>
      </c>
      <c r="G68" s="645">
        <v>35000</v>
      </c>
      <c r="H68" s="645">
        <v>35000</v>
      </c>
      <c r="I68" s="645">
        <v>35000</v>
      </c>
      <c r="J68" s="645">
        <v>35000</v>
      </c>
      <c r="K68" s="646">
        <f t="shared" si="7"/>
        <v>210000</v>
      </c>
      <c r="L68" s="857"/>
    </row>
    <row r="69" ht="25" customHeight="1" spans="1:12">
      <c r="A69" s="95">
        <v>8</v>
      </c>
      <c r="B69" s="651" t="s">
        <v>174</v>
      </c>
      <c r="C69" s="87" t="s">
        <v>72</v>
      </c>
      <c r="D69" s="95" t="s">
        <v>131</v>
      </c>
      <c r="E69" s="645">
        <v>35000</v>
      </c>
      <c r="F69" s="645">
        <v>35000</v>
      </c>
      <c r="G69" s="645">
        <v>35000</v>
      </c>
      <c r="H69" s="645">
        <v>35000</v>
      </c>
      <c r="I69" s="645">
        <v>35000</v>
      </c>
      <c r="J69" s="645">
        <v>35000</v>
      </c>
      <c r="K69" s="646">
        <f t="shared" si="7"/>
        <v>210000</v>
      </c>
      <c r="L69" s="857"/>
    </row>
    <row r="70" ht="25" customHeight="1" spans="1:12">
      <c r="A70" s="95">
        <v>9</v>
      </c>
      <c r="B70" s="651" t="s">
        <v>175</v>
      </c>
      <c r="C70" s="86" t="s">
        <v>649</v>
      </c>
      <c r="D70" s="95" t="s">
        <v>70</v>
      </c>
      <c r="E70" s="645">
        <v>35000</v>
      </c>
      <c r="F70" s="645">
        <v>35000</v>
      </c>
      <c r="G70" s="645">
        <v>35000</v>
      </c>
      <c r="H70" s="645">
        <v>35000</v>
      </c>
      <c r="I70" s="645">
        <v>35000</v>
      </c>
      <c r="J70" s="645">
        <v>35000</v>
      </c>
      <c r="K70" s="646">
        <f t="shared" si="7"/>
        <v>210000</v>
      </c>
      <c r="L70" s="857"/>
    </row>
    <row r="71" ht="25" customHeight="1" spans="1:12">
      <c r="A71" s="95">
        <v>10</v>
      </c>
      <c r="B71" s="651" t="s">
        <v>179</v>
      </c>
      <c r="C71" s="86" t="s">
        <v>152</v>
      </c>
      <c r="D71" s="95" t="s">
        <v>75</v>
      </c>
      <c r="E71" s="645">
        <v>35000</v>
      </c>
      <c r="F71" s="645">
        <v>35000</v>
      </c>
      <c r="G71" s="645">
        <v>35000</v>
      </c>
      <c r="H71" s="645">
        <v>35000</v>
      </c>
      <c r="I71" s="645">
        <v>35000</v>
      </c>
      <c r="J71" s="645">
        <v>35000</v>
      </c>
      <c r="K71" s="646">
        <f t="shared" si="7"/>
        <v>210000</v>
      </c>
      <c r="L71" s="857"/>
    </row>
    <row r="72" ht="25" customHeight="1" spans="1:12">
      <c r="A72" s="95"/>
      <c r="B72" s="866" t="s">
        <v>120</v>
      </c>
      <c r="C72" s="88">
        <v>10</v>
      </c>
      <c r="D72" s="88"/>
      <c r="E72" s="874">
        <f t="shared" ref="E72:K72" si="9">SUM(E62:E71)</f>
        <v>350000</v>
      </c>
      <c r="F72" s="874">
        <f t="shared" si="9"/>
        <v>350000</v>
      </c>
      <c r="G72" s="874">
        <f t="shared" si="9"/>
        <v>350000</v>
      </c>
      <c r="H72" s="874">
        <f t="shared" si="9"/>
        <v>350000</v>
      </c>
      <c r="I72" s="874">
        <f t="shared" si="9"/>
        <v>350000</v>
      </c>
      <c r="J72" s="874">
        <f t="shared" si="9"/>
        <v>350000</v>
      </c>
      <c r="K72" s="875">
        <f t="shared" si="9"/>
        <v>2100000</v>
      </c>
      <c r="L72" s="857"/>
    </row>
    <row r="73" ht="25" customHeight="1" spans="1:12">
      <c r="A73" s="95"/>
      <c r="B73" s="869"/>
      <c r="C73" s="88"/>
      <c r="D73" s="88"/>
      <c r="E73" s="88"/>
      <c r="F73" s="647"/>
      <c r="G73" s="647"/>
      <c r="H73" s="647"/>
      <c r="I73" s="647"/>
      <c r="J73" s="647"/>
      <c r="K73" s="646"/>
      <c r="L73" s="857"/>
    </row>
    <row r="74" ht="25" customHeight="1" spans="1:12">
      <c r="A74" s="95"/>
      <c r="B74" s="866" t="s">
        <v>183</v>
      </c>
      <c r="C74" s="88"/>
      <c r="D74" s="88"/>
      <c r="E74" s="88"/>
      <c r="F74" s="647"/>
      <c r="G74" s="647"/>
      <c r="H74" s="647"/>
      <c r="I74" s="647"/>
      <c r="J74" s="647"/>
      <c r="K74" s="646"/>
      <c r="L74" s="857"/>
    </row>
    <row r="75" ht="25" customHeight="1" spans="1:12">
      <c r="A75" s="95">
        <v>1</v>
      </c>
      <c r="B75" s="651" t="s">
        <v>184</v>
      </c>
      <c r="C75" s="86" t="s">
        <v>185</v>
      </c>
      <c r="D75" s="95" t="s">
        <v>124</v>
      </c>
      <c r="E75" s="645">
        <v>35000</v>
      </c>
      <c r="F75" s="645">
        <v>35000</v>
      </c>
      <c r="G75" s="645">
        <v>35000</v>
      </c>
      <c r="H75" s="645">
        <v>35000</v>
      </c>
      <c r="I75" s="645">
        <v>35000</v>
      </c>
      <c r="J75" s="645">
        <v>35000</v>
      </c>
      <c r="K75" s="646">
        <f t="shared" ref="K75:K81" si="10">SUM(E75:J75)</f>
        <v>210000</v>
      </c>
      <c r="L75" s="857"/>
    </row>
    <row r="76" ht="25" customHeight="1" spans="1:12">
      <c r="A76" s="95">
        <v>2</v>
      </c>
      <c r="B76" s="643" t="s">
        <v>923</v>
      </c>
      <c r="C76" s="86" t="s">
        <v>924</v>
      </c>
      <c r="D76" s="644" t="s">
        <v>925</v>
      </c>
      <c r="E76" s="645">
        <v>35000</v>
      </c>
      <c r="F76" s="645">
        <v>35000</v>
      </c>
      <c r="G76" s="645">
        <v>35000</v>
      </c>
      <c r="H76" s="645">
        <v>35000</v>
      </c>
      <c r="I76" s="645">
        <v>35000</v>
      </c>
      <c r="J76" s="645">
        <v>35000</v>
      </c>
      <c r="K76" s="646">
        <f t="shared" si="10"/>
        <v>210000</v>
      </c>
      <c r="L76" s="857"/>
    </row>
    <row r="77" ht="25" customHeight="1" spans="1:12">
      <c r="A77" s="95">
        <v>3</v>
      </c>
      <c r="B77" s="351" t="s">
        <v>186</v>
      </c>
      <c r="C77" s="83" t="s">
        <v>926</v>
      </c>
      <c r="D77" s="95" t="s">
        <v>486</v>
      </c>
      <c r="E77" s="645">
        <v>35000</v>
      </c>
      <c r="F77" s="645">
        <v>35000</v>
      </c>
      <c r="G77" s="645">
        <v>35000</v>
      </c>
      <c r="H77" s="645">
        <v>35000</v>
      </c>
      <c r="I77" s="645">
        <v>35000</v>
      </c>
      <c r="J77" s="645">
        <v>35000</v>
      </c>
      <c r="K77" s="646">
        <f t="shared" si="10"/>
        <v>210000</v>
      </c>
      <c r="L77" s="857"/>
    </row>
    <row r="78" ht="25" customHeight="1" spans="1:12">
      <c r="A78" s="95">
        <v>4</v>
      </c>
      <c r="B78" s="651" t="s">
        <v>190</v>
      </c>
      <c r="C78" s="86" t="s">
        <v>191</v>
      </c>
      <c r="D78" s="644" t="s">
        <v>214</v>
      </c>
      <c r="E78" s="645">
        <v>35000</v>
      </c>
      <c r="F78" s="645">
        <v>35000</v>
      </c>
      <c r="G78" s="645">
        <v>35000</v>
      </c>
      <c r="H78" s="645">
        <v>35000</v>
      </c>
      <c r="I78" s="645">
        <v>35000</v>
      </c>
      <c r="J78" s="645">
        <v>35000</v>
      </c>
      <c r="K78" s="646">
        <f t="shared" si="10"/>
        <v>210000</v>
      </c>
      <c r="L78" s="857"/>
    </row>
    <row r="79" ht="25" customHeight="1" spans="1:12">
      <c r="A79" s="95">
        <v>5</v>
      </c>
      <c r="B79" s="651" t="s">
        <v>197</v>
      </c>
      <c r="C79" s="86" t="s">
        <v>182</v>
      </c>
      <c r="D79" s="95" t="s">
        <v>78</v>
      </c>
      <c r="E79" s="645">
        <v>35000</v>
      </c>
      <c r="F79" s="645">
        <v>35000</v>
      </c>
      <c r="G79" s="645">
        <v>35000</v>
      </c>
      <c r="H79" s="645">
        <v>35000</v>
      </c>
      <c r="I79" s="645">
        <v>35000</v>
      </c>
      <c r="J79" s="645">
        <v>35000</v>
      </c>
      <c r="K79" s="646">
        <f t="shared" si="10"/>
        <v>210000</v>
      </c>
      <c r="L79" s="857"/>
    </row>
    <row r="80" ht="25" customHeight="1" spans="1:12">
      <c r="A80" s="95">
        <v>6</v>
      </c>
      <c r="B80" s="651" t="s">
        <v>201</v>
      </c>
      <c r="C80" s="86" t="s">
        <v>182</v>
      </c>
      <c r="D80" s="95" t="s">
        <v>99</v>
      </c>
      <c r="E80" s="645">
        <v>35000</v>
      </c>
      <c r="F80" s="645">
        <v>35000</v>
      </c>
      <c r="G80" s="645">
        <v>35000</v>
      </c>
      <c r="H80" s="645">
        <v>35000</v>
      </c>
      <c r="I80" s="645">
        <v>35000</v>
      </c>
      <c r="J80" s="645">
        <v>35000</v>
      </c>
      <c r="K80" s="646">
        <f t="shared" si="10"/>
        <v>210000</v>
      </c>
      <c r="L80" s="857"/>
    </row>
    <row r="81" ht="25" customHeight="1" spans="1:12">
      <c r="A81" s="95">
        <v>7</v>
      </c>
      <c r="B81" s="651" t="s">
        <v>203</v>
      </c>
      <c r="C81" s="86" t="s">
        <v>204</v>
      </c>
      <c r="D81" s="95" t="s">
        <v>111</v>
      </c>
      <c r="E81" s="645">
        <v>35000</v>
      </c>
      <c r="F81" s="645">
        <v>35000</v>
      </c>
      <c r="G81" s="645">
        <v>35000</v>
      </c>
      <c r="H81" s="645">
        <v>35000</v>
      </c>
      <c r="I81" s="645">
        <v>35000</v>
      </c>
      <c r="J81" s="645">
        <v>35000</v>
      </c>
      <c r="K81" s="646">
        <f t="shared" si="10"/>
        <v>210000</v>
      </c>
      <c r="L81" s="857"/>
    </row>
    <row r="82" ht="25" customHeight="1" spans="1:12">
      <c r="A82" s="95"/>
      <c r="B82" s="866" t="s">
        <v>120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79">
        <f t="shared" si="11"/>
        <v>1470000</v>
      </c>
      <c r="L82" s="857"/>
    </row>
    <row r="83" ht="25" customHeight="1" spans="1:12">
      <c r="A83" s="95"/>
      <c r="B83" s="866"/>
      <c r="C83" s="88"/>
      <c r="D83" s="88"/>
      <c r="E83" s="88"/>
      <c r="F83" s="647"/>
      <c r="G83" s="647"/>
      <c r="H83" s="647"/>
      <c r="I83" s="647"/>
      <c r="J83" s="647"/>
      <c r="K83" s="646"/>
      <c r="L83" s="857"/>
    </row>
    <row r="84" ht="25" customHeight="1" spans="1:12">
      <c r="A84" s="95"/>
      <c r="B84" s="866" t="s">
        <v>205</v>
      </c>
      <c r="C84" s="880"/>
      <c r="D84" s="88"/>
      <c r="E84" s="88"/>
      <c r="F84" s="647"/>
      <c r="G84" s="647"/>
      <c r="H84" s="647"/>
      <c r="I84" s="647"/>
      <c r="J84" s="647"/>
      <c r="K84" s="646"/>
      <c r="L84" s="857"/>
    </row>
    <row r="85" ht="25" customHeight="1" spans="1:12">
      <c r="A85" s="95">
        <v>1</v>
      </c>
      <c r="B85" s="651" t="s">
        <v>208</v>
      </c>
      <c r="C85" s="86" t="s">
        <v>145</v>
      </c>
      <c r="D85" s="95" t="s">
        <v>39</v>
      </c>
      <c r="E85" s="645">
        <v>35000</v>
      </c>
      <c r="F85" s="645">
        <v>35000</v>
      </c>
      <c r="G85" s="645">
        <v>35000</v>
      </c>
      <c r="H85" s="645">
        <v>35000</v>
      </c>
      <c r="I85" s="645">
        <v>35000</v>
      </c>
      <c r="J85" s="645">
        <v>35000</v>
      </c>
      <c r="K85" s="646">
        <f t="shared" ref="K85:K94" si="12">SUM(E85:J85)</f>
        <v>210000</v>
      </c>
      <c r="L85" s="857"/>
    </row>
    <row r="86" ht="25" customHeight="1" spans="1:12">
      <c r="A86" s="95">
        <v>2</v>
      </c>
      <c r="B86" s="651" t="s">
        <v>206</v>
      </c>
      <c r="C86" s="86" t="s">
        <v>145</v>
      </c>
      <c r="D86" s="95" t="s">
        <v>39</v>
      </c>
      <c r="E86" s="645">
        <v>35000</v>
      </c>
      <c r="F86" s="645">
        <v>35000</v>
      </c>
      <c r="G86" s="645">
        <v>35000</v>
      </c>
      <c r="H86" s="645">
        <v>35000</v>
      </c>
      <c r="I86" s="645">
        <v>35000</v>
      </c>
      <c r="J86" s="645">
        <v>35000</v>
      </c>
      <c r="K86" s="646">
        <f t="shared" si="12"/>
        <v>210000</v>
      </c>
      <c r="L86" s="857"/>
    </row>
    <row r="87" ht="25" customHeight="1" spans="1:12">
      <c r="A87" s="95">
        <v>3</v>
      </c>
      <c r="B87" s="651" t="s">
        <v>479</v>
      </c>
      <c r="C87" s="86" t="s">
        <v>145</v>
      </c>
      <c r="D87" s="95" t="s">
        <v>42</v>
      </c>
      <c r="E87" s="645">
        <v>35000</v>
      </c>
      <c r="F87" s="645">
        <v>35000</v>
      </c>
      <c r="G87" s="645">
        <v>35000</v>
      </c>
      <c r="H87" s="645">
        <v>35000</v>
      </c>
      <c r="I87" s="645">
        <v>35000</v>
      </c>
      <c r="J87" s="645">
        <v>35000</v>
      </c>
      <c r="K87" s="646">
        <f t="shared" si="12"/>
        <v>210000</v>
      </c>
      <c r="L87" s="857"/>
    </row>
    <row r="88" ht="25" customHeight="1" spans="1:12">
      <c r="A88" s="95">
        <v>4</v>
      </c>
      <c r="B88" s="651" t="s">
        <v>211</v>
      </c>
      <c r="C88" s="86" t="s">
        <v>927</v>
      </c>
      <c r="D88" s="644" t="s">
        <v>56</v>
      </c>
      <c r="E88" s="645">
        <v>35000</v>
      </c>
      <c r="F88" s="645">
        <v>35000</v>
      </c>
      <c r="G88" s="645">
        <v>35000</v>
      </c>
      <c r="H88" s="645">
        <v>35000</v>
      </c>
      <c r="I88" s="645">
        <v>35000</v>
      </c>
      <c r="J88" s="645">
        <v>35000</v>
      </c>
      <c r="K88" s="646">
        <f t="shared" si="12"/>
        <v>210000</v>
      </c>
      <c r="L88" s="857"/>
    </row>
    <row r="89" ht="25" customHeight="1" spans="1:12">
      <c r="A89" s="95">
        <v>5</v>
      </c>
      <c r="B89" s="651" t="s">
        <v>212</v>
      </c>
      <c r="C89" s="83" t="s">
        <v>217</v>
      </c>
      <c r="D89" s="644" t="s">
        <v>601</v>
      </c>
      <c r="E89" s="645">
        <v>35000</v>
      </c>
      <c r="F89" s="645">
        <v>35000</v>
      </c>
      <c r="G89" s="645">
        <v>35000</v>
      </c>
      <c r="H89" s="645">
        <v>35000</v>
      </c>
      <c r="I89" s="645">
        <v>35000</v>
      </c>
      <c r="J89" s="645">
        <v>35000</v>
      </c>
      <c r="K89" s="646">
        <f t="shared" si="12"/>
        <v>210000</v>
      </c>
      <c r="L89" s="857"/>
    </row>
    <row r="90" ht="25" customHeight="1" spans="1:12">
      <c r="A90" s="95">
        <v>6</v>
      </c>
      <c r="B90" s="651" t="s">
        <v>213</v>
      </c>
      <c r="C90" s="83" t="s">
        <v>52</v>
      </c>
      <c r="D90" s="644" t="s">
        <v>600</v>
      </c>
      <c r="E90" s="645">
        <v>35000</v>
      </c>
      <c r="F90" s="645">
        <v>35000</v>
      </c>
      <c r="G90" s="645">
        <v>35000</v>
      </c>
      <c r="H90" s="645">
        <v>35000</v>
      </c>
      <c r="I90" s="645">
        <v>35000</v>
      </c>
      <c r="J90" s="645">
        <v>35000</v>
      </c>
      <c r="K90" s="646">
        <f t="shared" si="12"/>
        <v>210000</v>
      </c>
      <c r="L90" s="857"/>
    </row>
    <row r="91" ht="25" customHeight="1" spans="1:12">
      <c r="A91" s="95">
        <v>7</v>
      </c>
      <c r="B91" s="651" t="s">
        <v>215</v>
      </c>
      <c r="C91" s="87" t="s">
        <v>72</v>
      </c>
      <c r="D91" s="644" t="s">
        <v>131</v>
      </c>
      <c r="E91" s="645">
        <v>35000</v>
      </c>
      <c r="F91" s="645">
        <v>35000</v>
      </c>
      <c r="G91" s="645">
        <v>35000</v>
      </c>
      <c r="H91" s="645">
        <v>35000</v>
      </c>
      <c r="I91" s="645">
        <v>35000</v>
      </c>
      <c r="J91" s="645">
        <v>35000</v>
      </c>
      <c r="K91" s="646">
        <f t="shared" si="12"/>
        <v>210000</v>
      </c>
      <c r="L91" s="857"/>
    </row>
    <row r="92" ht="25" customHeight="1" spans="1:12">
      <c r="A92" s="95">
        <v>8</v>
      </c>
      <c r="B92" s="651" t="s">
        <v>216</v>
      </c>
      <c r="C92" s="87" t="s">
        <v>217</v>
      </c>
      <c r="D92" s="644" t="s">
        <v>67</v>
      </c>
      <c r="E92" s="645">
        <v>35000</v>
      </c>
      <c r="F92" s="645">
        <v>35000</v>
      </c>
      <c r="G92" s="645">
        <v>35000</v>
      </c>
      <c r="H92" s="645">
        <v>35000</v>
      </c>
      <c r="I92" s="645">
        <v>35000</v>
      </c>
      <c r="J92" s="645">
        <v>35000</v>
      </c>
      <c r="K92" s="646">
        <f t="shared" si="12"/>
        <v>210000</v>
      </c>
      <c r="L92" s="857"/>
    </row>
    <row r="93" ht="25" customHeight="1" spans="1:12">
      <c r="A93" s="95">
        <v>9</v>
      </c>
      <c r="B93" s="651" t="s">
        <v>220</v>
      </c>
      <c r="C93" s="86" t="s">
        <v>221</v>
      </c>
      <c r="D93" s="95" t="s">
        <v>75</v>
      </c>
      <c r="E93" s="645">
        <v>35000</v>
      </c>
      <c r="F93" s="645">
        <v>35000</v>
      </c>
      <c r="G93" s="645">
        <v>35000</v>
      </c>
      <c r="H93" s="645">
        <v>35000</v>
      </c>
      <c r="I93" s="645">
        <v>35000</v>
      </c>
      <c r="J93" s="645">
        <v>35000</v>
      </c>
      <c r="K93" s="646">
        <f t="shared" si="12"/>
        <v>210000</v>
      </c>
      <c r="L93" s="857"/>
    </row>
    <row r="94" ht="25" customHeight="1" spans="1:12">
      <c r="A94" s="95">
        <v>10</v>
      </c>
      <c r="B94" s="651" t="s">
        <v>224</v>
      </c>
      <c r="C94" s="87" t="s">
        <v>505</v>
      </c>
      <c r="D94" s="644" t="s">
        <v>108</v>
      </c>
      <c r="E94" s="645">
        <v>35000</v>
      </c>
      <c r="F94" s="645">
        <v>35000</v>
      </c>
      <c r="G94" s="645">
        <v>35000</v>
      </c>
      <c r="H94" s="645">
        <v>35000</v>
      </c>
      <c r="I94" s="645">
        <v>35000</v>
      </c>
      <c r="J94" s="645">
        <v>35000</v>
      </c>
      <c r="K94" s="646">
        <f t="shared" si="12"/>
        <v>210000</v>
      </c>
      <c r="L94" s="857"/>
    </row>
    <row r="95" ht="25" customHeight="1" spans="1:12">
      <c r="A95" s="95"/>
      <c r="B95" s="866" t="s">
        <v>120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1">
        <f t="shared" si="13"/>
        <v>2100000</v>
      </c>
      <c r="L95" s="857"/>
    </row>
    <row r="96" ht="25" customHeight="1" spans="1:12">
      <c r="A96" s="95"/>
      <c r="B96" s="869"/>
      <c r="C96" s="88"/>
      <c r="D96" s="88"/>
      <c r="E96" s="88"/>
      <c r="F96" s="647"/>
      <c r="G96" s="647"/>
      <c r="H96" s="647"/>
      <c r="I96" s="647"/>
      <c r="J96" s="647"/>
      <c r="K96" s="646"/>
      <c r="L96" s="857"/>
    </row>
    <row r="97" ht="25" customHeight="1" spans="1:12">
      <c r="A97" s="95"/>
      <c r="B97" s="866" t="s">
        <v>226</v>
      </c>
      <c r="C97" s="88"/>
      <c r="D97" s="88"/>
      <c r="E97" s="88"/>
      <c r="F97" s="647"/>
      <c r="G97" s="647"/>
      <c r="H97" s="647"/>
      <c r="I97" s="647"/>
      <c r="J97" s="647"/>
      <c r="K97" s="646"/>
      <c r="L97" s="857"/>
    </row>
    <row r="98" ht="25" customHeight="1" spans="1:12">
      <c r="A98" s="95">
        <v>1</v>
      </c>
      <c r="B98" s="643" t="s">
        <v>227</v>
      </c>
      <c r="C98" s="86" t="s">
        <v>650</v>
      </c>
      <c r="D98" s="873" t="s">
        <v>304</v>
      </c>
      <c r="E98" s="645">
        <v>35000</v>
      </c>
      <c r="F98" s="645">
        <v>35000</v>
      </c>
      <c r="G98" s="645">
        <v>35000</v>
      </c>
      <c r="H98" s="645">
        <v>35000</v>
      </c>
      <c r="I98" s="645">
        <v>35000</v>
      </c>
      <c r="J98" s="645">
        <v>35000</v>
      </c>
      <c r="K98" s="646">
        <f t="shared" ref="K98:K101" si="14">SUM(E98:J98)</f>
        <v>210000</v>
      </c>
      <c r="L98" s="857"/>
    </row>
    <row r="99" ht="25" customHeight="1" spans="1:12">
      <c r="A99" s="95">
        <v>2</v>
      </c>
      <c r="B99" s="651" t="s">
        <v>229</v>
      </c>
      <c r="C99" s="86" t="s">
        <v>230</v>
      </c>
      <c r="D99" s="644" t="s">
        <v>214</v>
      </c>
      <c r="E99" s="645">
        <v>35000</v>
      </c>
      <c r="F99" s="645">
        <v>35000</v>
      </c>
      <c r="G99" s="645">
        <v>35000</v>
      </c>
      <c r="H99" s="645">
        <v>35000</v>
      </c>
      <c r="I99" s="645">
        <v>35000</v>
      </c>
      <c r="J99" s="645">
        <v>35000</v>
      </c>
      <c r="K99" s="646">
        <f t="shared" si="14"/>
        <v>210000</v>
      </c>
      <c r="L99" s="857"/>
    </row>
    <row r="100" ht="25" customHeight="1" spans="1:12">
      <c r="A100" s="95">
        <v>3</v>
      </c>
      <c r="B100" s="651" t="s">
        <v>235</v>
      </c>
      <c r="C100" s="86" t="s">
        <v>651</v>
      </c>
      <c r="D100" s="644" t="s">
        <v>70</v>
      </c>
      <c r="E100" s="645">
        <v>35000</v>
      </c>
      <c r="F100" s="645">
        <v>35000</v>
      </c>
      <c r="G100" s="645">
        <v>35000</v>
      </c>
      <c r="H100" s="645">
        <v>35000</v>
      </c>
      <c r="I100" s="645">
        <v>35000</v>
      </c>
      <c r="J100" s="645">
        <v>35000</v>
      </c>
      <c r="K100" s="646">
        <f t="shared" si="14"/>
        <v>210000</v>
      </c>
      <c r="L100" s="857"/>
    </row>
    <row r="101" ht="25" customHeight="1" spans="1:12">
      <c r="A101" s="95">
        <v>4</v>
      </c>
      <c r="B101" s="651" t="s">
        <v>236</v>
      </c>
      <c r="C101" s="86" t="s">
        <v>200</v>
      </c>
      <c r="D101" s="644" t="s">
        <v>75</v>
      </c>
      <c r="E101" s="645">
        <v>35000</v>
      </c>
      <c r="F101" s="645">
        <v>35000</v>
      </c>
      <c r="G101" s="645">
        <v>35000</v>
      </c>
      <c r="H101" s="645">
        <v>35000</v>
      </c>
      <c r="I101" s="645">
        <v>35000</v>
      </c>
      <c r="J101" s="645">
        <v>35000</v>
      </c>
      <c r="K101" s="646">
        <f t="shared" si="14"/>
        <v>210000</v>
      </c>
      <c r="L101" s="857"/>
    </row>
    <row r="102" ht="25" customHeight="1" spans="1:12">
      <c r="A102" s="86"/>
      <c r="B102" s="866" t="s">
        <v>120</v>
      </c>
      <c r="C102" s="88">
        <v>4</v>
      </c>
      <c r="D102" s="99"/>
      <c r="E102" s="874">
        <f>SUM(E98:E101)</f>
        <v>140000</v>
      </c>
      <c r="F102" s="874">
        <f t="shared" ref="F102:K102" si="15">SUM(F98:F101)</f>
        <v>140000</v>
      </c>
      <c r="G102" s="874">
        <f t="shared" si="15"/>
        <v>140000</v>
      </c>
      <c r="H102" s="874">
        <f t="shared" si="15"/>
        <v>140000</v>
      </c>
      <c r="I102" s="874">
        <f t="shared" si="15"/>
        <v>140000</v>
      </c>
      <c r="J102" s="874">
        <f t="shared" si="15"/>
        <v>140000</v>
      </c>
      <c r="K102" s="874">
        <f t="shared" si="15"/>
        <v>840000</v>
      </c>
      <c r="L102" s="857"/>
    </row>
    <row r="103" ht="25" customHeight="1" spans="1:12">
      <c r="A103" s="86"/>
      <c r="B103" s="869"/>
      <c r="C103" s="88"/>
      <c r="D103" s="99"/>
      <c r="E103" s="99"/>
      <c r="F103" s="647"/>
      <c r="G103" s="647"/>
      <c r="H103" s="647"/>
      <c r="I103" s="647"/>
      <c r="J103" s="647"/>
      <c r="K103" s="646"/>
      <c r="L103" s="857"/>
    </row>
    <row r="104" ht="25" customHeight="1" spans="1:12">
      <c r="A104" s="86"/>
      <c r="B104" s="866" t="s">
        <v>239</v>
      </c>
      <c r="C104" s="86"/>
      <c r="D104" s="86"/>
      <c r="E104" s="86"/>
      <c r="F104" s="86"/>
      <c r="G104" s="86"/>
      <c r="H104" s="86"/>
      <c r="I104" s="86"/>
      <c r="J104" s="86"/>
      <c r="K104" s="646"/>
      <c r="L104" s="857"/>
    </row>
    <row r="105" ht="25" customHeight="1" spans="1:12">
      <c r="A105" s="86">
        <v>1</v>
      </c>
      <c r="B105" s="651" t="s">
        <v>652</v>
      </c>
      <c r="C105" s="83" t="s">
        <v>241</v>
      </c>
      <c r="D105" s="644" t="s">
        <v>124</v>
      </c>
      <c r="E105" s="645">
        <v>35000</v>
      </c>
      <c r="F105" s="645">
        <v>35000</v>
      </c>
      <c r="G105" s="645">
        <v>35000</v>
      </c>
      <c r="H105" s="645">
        <v>35000</v>
      </c>
      <c r="I105" s="645">
        <v>35000</v>
      </c>
      <c r="J105" s="645">
        <v>35000</v>
      </c>
      <c r="K105" s="646">
        <f t="shared" ref="K105:K111" si="16">SUM(E105:J105)</f>
        <v>210000</v>
      </c>
      <c r="L105" s="857"/>
    </row>
    <row r="106" ht="25" customHeight="1" spans="1:12">
      <c r="A106" s="86">
        <v>2</v>
      </c>
      <c r="B106" s="651" t="s">
        <v>242</v>
      </c>
      <c r="C106" s="86" t="s">
        <v>243</v>
      </c>
      <c r="D106" s="873" t="s">
        <v>36</v>
      </c>
      <c r="E106" s="645">
        <v>35000</v>
      </c>
      <c r="F106" s="645">
        <v>35000</v>
      </c>
      <c r="G106" s="645">
        <v>35000</v>
      </c>
      <c r="H106" s="645">
        <v>35000</v>
      </c>
      <c r="I106" s="645">
        <v>35000</v>
      </c>
      <c r="J106" s="645">
        <v>35000</v>
      </c>
      <c r="K106" s="646">
        <f t="shared" si="16"/>
        <v>210000</v>
      </c>
      <c r="L106" s="857"/>
    </row>
    <row r="107" ht="25" customHeight="1" spans="1:12">
      <c r="A107" s="86">
        <v>3</v>
      </c>
      <c r="B107" s="651" t="s">
        <v>244</v>
      </c>
      <c r="C107" s="86" t="s">
        <v>653</v>
      </c>
      <c r="D107" s="95" t="s">
        <v>56</v>
      </c>
      <c r="E107" s="645">
        <v>35000</v>
      </c>
      <c r="F107" s="645">
        <v>35000</v>
      </c>
      <c r="G107" s="645">
        <v>35000</v>
      </c>
      <c r="H107" s="645">
        <v>35000</v>
      </c>
      <c r="I107" s="645">
        <v>35000</v>
      </c>
      <c r="J107" s="645">
        <v>35000</v>
      </c>
      <c r="K107" s="646">
        <f t="shared" si="16"/>
        <v>210000</v>
      </c>
      <c r="L107" s="857"/>
    </row>
    <row r="108" ht="25" customHeight="1" spans="1:12">
      <c r="A108" s="86">
        <v>4</v>
      </c>
      <c r="B108" s="651" t="s">
        <v>246</v>
      </c>
      <c r="C108" s="86" t="s">
        <v>653</v>
      </c>
      <c r="D108" s="95" t="s">
        <v>56</v>
      </c>
      <c r="E108" s="645">
        <v>35000</v>
      </c>
      <c r="F108" s="645">
        <v>35000</v>
      </c>
      <c r="G108" s="645">
        <v>35000</v>
      </c>
      <c r="H108" s="645">
        <v>35000</v>
      </c>
      <c r="I108" s="645">
        <v>35000</v>
      </c>
      <c r="J108" s="645">
        <v>35000</v>
      </c>
      <c r="K108" s="646">
        <f t="shared" si="16"/>
        <v>210000</v>
      </c>
      <c r="L108" s="857"/>
    </row>
    <row r="109" ht="25" customHeight="1" spans="1:12">
      <c r="A109" s="86">
        <v>5</v>
      </c>
      <c r="B109" s="651" t="s">
        <v>249</v>
      </c>
      <c r="C109" s="86" t="s">
        <v>250</v>
      </c>
      <c r="D109" s="644" t="s">
        <v>928</v>
      </c>
      <c r="E109" s="645">
        <v>35000</v>
      </c>
      <c r="F109" s="645">
        <v>35000</v>
      </c>
      <c r="G109" s="645">
        <v>35000</v>
      </c>
      <c r="H109" s="645">
        <v>35000</v>
      </c>
      <c r="I109" s="645">
        <v>35000</v>
      </c>
      <c r="J109" s="645">
        <v>35000</v>
      </c>
      <c r="K109" s="646">
        <f t="shared" si="16"/>
        <v>210000</v>
      </c>
      <c r="L109" s="857"/>
    </row>
    <row r="110" ht="25" customHeight="1" spans="1:12">
      <c r="A110" s="86">
        <v>6</v>
      </c>
      <c r="B110" s="351" t="s">
        <v>252</v>
      </c>
      <c r="C110" s="86" t="s">
        <v>250</v>
      </c>
      <c r="D110" s="95" t="s">
        <v>506</v>
      </c>
      <c r="E110" s="645">
        <v>35000</v>
      </c>
      <c r="F110" s="645">
        <v>35000</v>
      </c>
      <c r="G110" s="645">
        <v>35000</v>
      </c>
      <c r="H110" s="645">
        <v>35000</v>
      </c>
      <c r="I110" s="645">
        <v>35000</v>
      </c>
      <c r="J110" s="645">
        <v>35000</v>
      </c>
      <c r="K110" s="646">
        <f t="shared" si="16"/>
        <v>210000</v>
      </c>
      <c r="L110" s="857"/>
    </row>
    <row r="111" ht="25" customHeight="1" spans="1:12">
      <c r="A111" s="86">
        <v>7</v>
      </c>
      <c r="B111" s="351" t="s">
        <v>253</v>
      </c>
      <c r="C111" s="86" t="s">
        <v>250</v>
      </c>
      <c r="D111" s="644" t="s">
        <v>108</v>
      </c>
      <c r="E111" s="645">
        <v>35000</v>
      </c>
      <c r="F111" s="645">
        <v>35000</v>
      </c>
      <c r="G111" s="645">
        <v>35000</v>
      </c>
      <c r="H111" s="645">
        <v>35000</v>
      </c>
      <c r="I111" s="645">
        <v>35000</v>
      </c>
      <c r="J111" s="645">
        <v>35000</v>
      </c>
      <c r="K111" s="646">
        <f t="shared" si="16"/>
        <v>210000</v>
      </c>
      <c r="L111" s="857"/>
    </row>
    <row r="112" ht="25" customHeight="1" spans="1:12">
      <c r="A112" s="86"/>
      <c r="B112" s="866" t="s">
        <v>120</v>
      </c>
      <c r="C112" s="88">
        <v>7</v>
      </c>
      <c r="D112" s="86"/>
      <c r="E112" s="882">
        <f t="shared" ref="E112:K112" si="17">SUM(E105:E111)</f>
        <v>245000</v>
      </c>
      <c r="F112" s="882">
        <f t="shared" si="17"/>
        <v>245000</v>
      </c>
      <c r="G112" s="882">
        <f t="shared" si="17"/>
        <v>245000</v>
      </c>
      <c r="H112" s="882">
        <f t="shared" si="17"/>
        <v>245000</v>
      </c>
      <c r="I112" s="882">
        <f t="shared" si="17"/>
        <v>245000</v>
      </c>
      <c r="J112" s="882">
        <f t="shared" si="17"/>
        <v>245000</v>
      </c>
      <c r="K112" s="883">
        <f t="shared" si="17"/>
        <v>1470000</v>
      </c>
      <c r="L112" s="857"/>
    </row>
    <row r="113" ht="25" customHeight="1" spans="1:12">
      <c r="A113" s="86"/>
      <c r="B113" s="866"/>
      <c r="C113" s="88"/>
      <c r="D113" s="86"/>
      <c r="E113" s="86"/>
      <c r="F113" s="884"/>
      <c r="G113" s="884"/>
      <c r="H113" s="884"/>
      <c r="I113" s="884"/>
      <c r="J113" s="884"/>
      <c r="K113" s="885"/>
      <c r="L113" s="857"/>
    </row>
    <row r="114" ht="25" customHeight="1" spans="1:12">
      <c r="A114" s="95"/>
      <c r="B114" s="866" t="s">
        <v>257</v>
      </c>
      <c r="C114" s="88"/>
      <c r="D114" s="88"/>
      <c r="E114" s="88"/>
      <c r="F114" s="647"/>
      <c r="G114" s="647"/>
      <c r="H114" s="647"/>
      <c r="I114" s="647"/>
      <c r="J114" s="647"/>
      <c r="K114" s="646"/>
      <c r="L114" s="857"/>
    </row>
    <row r="115" ht="25" customHeight="1" spans="1:12">
      <c r="A115" s="95">
        <v>1</v>
      </c>
      <c r="B115" s="643" t="s">
        <v>165</v>
      </c>
      <c r="C115" s="86" t="s">
        <v>145</v>
      </c>
      <c r="D115" s="95" t="s">
        <v>50</v>
      </c>
      <c r="E115" s="645">
        <v>35000</v>
      </c>
      <c r="F115" s="645">
        <v>35000</v>
      </c>
      <c r="G115" s="645">
        <v>35000</v>
      </c>
      <c r="H115" s="645">
        <v>35000</v>
      </c>
      <c r="I115" s="645">
        <v>35000</v>
      </c>
      <c r="J115" s="645">
        <v>35000</v>
      </c>
      <c r="K115" s="646">
        <f t="shared" ref="K115:K117" si="18">SUM(E115:J115)</f>
        <v>210000</v>
      </c>
      <c r="L115" s="857"/>
    </row>
    <row r="116" ht="25" customHeight="1" spans="1:12">
      <c r="A116" s="95">
        <v>2</v>
      </c>
      <c r="B116" s="651" t="s">
        <v>259</v>
      </c>
      <c r="C116" s="86" t="s">
        <v>260</v>
      </c>
      <c r="D116" s="644" t="s">
        <v>70</v>
      </c>
      <c r="E116" s="645">
        <v>35000</v>
      </c>
      <c r="F116" s="645">
        <v>35000</v>
      </c>
      <c r="G116" s="645">
        <v>35000</v>
      </c>
      <c r="H116" s="645">
        <v>35000</v>
      </c>
      <c r="I116" s="645">
        <v>35000</v>
      </c>
      <c r="J116" s="645">
        <v>35000</v>
      </c>
      <c r="K116" s="646">
        <f t="shared" si="18"/>
        <v>210000</v>
      </c>
      <c r="L116" s="857"/>
    </row>
    <row r="117" ht="25" customHeight="1" spans="1:12">
      <c r="A117" s="95">
        <v>3</v>
      </c>
      <c r="B117" s="651" t="s">
        <v>193</v>
      </c>
      <c r="C117" s="83" t="s">
        <v>929</v>
      </c>
      <c r="D117" s="644" t="s">
        <v>173</v>
      </c>
      <c r="E117" s="645">
        <v>35000</v>
      </c>
      <c r="F117" s="645">
        <v>35000</v>
      </c>
      <c r="G117" s="645">
        <v>35000</v>
      </c>
      <c r="H117" s="645">
        <v>35000</v>
      </c>
      <c r="I117" s="645">
        <v>35000</v>
      </c>
      <c r="J117" s="645">
        <v>35000</v>
      </c>
      <c r="K117" s="646">
        <f t="shared" si="18"/>
        <v>210000</v>
      </c>
      <c r="L117" s="857"/>
    </row>
    <row r="118" ht="25" customHeight="1" spans="1:12">
      <c r="A118" s="86"/>
      <c r="B118" s="866" t="s">
        <v>120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57"/>
    </row>
    <row r="119" ht="25" customHeight="1" spans="1:12">
      <c r="A119" s="86"/>
      <c r="B119" s="869"/>
      <c r="C119" s="95"/>
      <c r="D119" s="86"/>
      <c r="E119" s="86"/>
      <c r="F119" s="670"/>
      <c r="G119" s="670"/>
      <c r="H119" s="670"/>
      <c r="I119" s="670"/>
      <c r="J119" s="670"/>
      <c r="K119" s="646"/>
      <c r="L119" s="857"/>
    </row>
    <row r="120" ht="25" customHeight="1" spans="1:12">
      <c r="A120" s="86"/>
      <c r="B120" s="866" t="s">
        <v>278</v>
      </c>
      <c r="C120" s="88"/>
      <c r="D120" s="88"/>
      <c r="E120" s="88"/>
      <c r="F120" s="647"/>
      <c r="G120" s="647"/>
      <c r="H120" s="647"/>
      <c r="I120" s="647"/>
      <c r="J120" s="647"/>
      <c r="K120" s="646"/>
      <c r="L120" s="857"/>
    </row>
    <row r="121" ht="25" customHeight="1" spans="1:12">
      <c r="A121" s="86">
        <v>1</v>
      </c>
      <c r="B121" s="651" t="s">
        <v>279</v>
      </c>
      <c r="C121" s="83" t="s">
        <v>280</v>
      </c>
      <c r="D121" s="644" t="s">
        <v>124</v>
      </c>
      <c r="E121" s="645">
        <v>35000</v>
      </c>
      <c r="F121" s="645">
        <v>35000</v>
      </c>
      <c r="G121" s="645">
        <v>35000</v>
      </c>
      <c r="H121" s="645">
        <v>35000</v>
      </c>
      <c r="I121" s="645">
        <v>35000</v>
      </c>
      <c r="J121" s="645">
        <v>35000</v>
      </c>
      <c r="K121" s="646">
        <f t="shared" ref="K121:K130" si="20">SUM(E121:J121)</f>
        <v>210000</v>
      </c>
      <c r="L121" s="857"/>
    </row>
    <row r="122" ht="25" customHeight="1" spans="1:12">
      <c r="A122" s="86">
        <v>2</v>
      </c>
      <c r="B122" s="651" t="s">
        <v>281</v>
      </c>
      <c r="C122" s="83" t="s">
        <v>654</v>
      </c>
      <c r="D122" s="644" t="s">
        <v>210</v>
      </c>
      <c r="E122" s="645">
        <v>35000</v>
      </c>
      <c r="F122" s="645">
        <v>35000</v>
      </c>
      <c r="G122" s="645">
        <v>35000</v>
      </c>
      <c r="H122" s="645">
        <v>35000</v>
      </c>
      <c r="I122" s="645">
        <v>35000</v>
      </c>
      <c r="J122" s="645">
        <v>35000</v>
      </c>
      <c r="K122" s="646">
        <f t="shared" si="20"/>
        <v>210000</v>
      </c>
      <c r="L122" s="857"/>
    </row>
    <row r="123" ht="25" customHeight="1" spans="1:12">
      <c r="A123" s="86">
        <v>3</v>
      </c>
      <c r="B123" s="643" t="s">
        <v>283</v>
      </c>
      <c r="C123" s="83" t="s">
        <v>655</v>
      </c>
      <c r="D123" s="644" t="s">
        <v>39</v>
      </c>
      <c r="E123" s="645">
        <v>35000</v>
      </c>
      <c r="F123" s="645">
        <v>35000</v>
      </c>
      <c r="G123" s="645">
        <v>35000</v>
      </c>
      <c r="H123" s="645">
        <v>35000</v>
      </c>
      <c r="I123" s="645">
        <v>35000</v>
      </c>
      <c r="J123" s="645">
        <v>35000</v>
      </c>
      <c r="K123" s="646">
        <f t="shared" si="20"/>
        <v>210000</v>
      </c>
      <c r="L123" s="857"/>
    </row>
    <row r="124" ht="25" customHeight="1" spans="1:12">
      <c r="A124" s="86">
        <v>4</v>
      </c>
      <c r="B124" s="643" t="s">
        <v>930</v>
      </c>
      <c r="C124" s="83" t="s">
        <v>655</v>
      </c>
      <c r="D124" s="644" t="s">
        <v>42</v>
      </c>
      <c r="E124" s="645">
        <v>35000</v>
      </c>
      <c r="F124" s="645">
        <v>35000</v>
      </c>
      <c r="G124" s="645">
        <v>35000</v>
      </c>
      <c r="H124" s="645">
        <v>35000</v>
      </c>
      <c r="I124" s="645">
        <v>35000</v>
      </c>
      <c r="J124" s="645">
        <v>35000</v>
      </c>
      <c r="K124" s="646">
        <f t="shared" si="20"/>
        <v>210000</v>
      </c>
      <c r="L124" s="857"/>
    </row>
    <row r="125" ht="25" customHeight="1" spans="1:12">
      <c r="A125" s="86">
        <v>5</v>
      </c>
      <c r="B125" s="651" t="s">
        <v>286</v>
      </c>
      <c r="C125" s="83" t="s">
        <v>288</v>
      </c>
      <c r="D125" s="644" t="s">
        <v>47</v>
      </c>
      <c r="E125" s="645">
        <v>35000</v>
      </c>
      <c r="F125" s="645">
        <v>35000</v>
      </c>
      <c r="G125" s="645">
        <v>35000</v>
      </c>
      <c r="H125" s="645">
        <v>35000</v>
      </c>
      <c r="I125" s="645">
        <v>35000</v>
      </c>
      <c r="J125" s="645">
        <v>35000</v>
      </c>
      <c r="K125" s="646">
        <f t="shared" si="20"/>
        <v>210000</v>
      </c>
      <c r="L125" s="857"/>
    </row>
    <row r="126" ht="25" customHeight="1" spans="1:12">
      <c r="A126" s="86">
        <v>6</v>
      </c>
      <c r="B126" s="651" t="s">
        <v>287</v>
      </c>
      <c r="C126" s="83" t="s">
        <v>656</v>
      </c>
      <c r="D126" s="644" t="s">
        <v>53</v>
      </c>
      <c r="E126" s="645">
        <v>35000</v>
      </c>
      <c r="F126" s="645">
        <v>35000</v>
      </c>
      <c r="G126" s="645">
        <v>35000</v>
      </c>
      <c r="H126" s="645">
        <v>35000</v>
      </c>
      <c r="I126" s="645">
        <v>35000</v>
      </c>
      <c r="J126" s="645">
        <v>35000</v>
      </c>
      <c r="K126" s="646">
        <f t="shared" si="20"/>
        <v>210000</v>
      </c>
      <c r="L126" s="857"/>
    </row>
    <row r="127" ht="25" customHeight="1" spans="1:12">
      <c r="A127" s="86">
        <v>7</v>
      </c>
      <c r="B127" s="651" t="s">
        <v>289</v>
      </c>
      <c r="C127" s="83" t="s">
        <v>288</v>
      </c>
      <c r="D127" s="644" t="s">
        <v>214</v>
      </c>
      <c r="E127" s="645">
        <v>35000</v>
      </c>
      <c r="F127" s="645">
        <v>35000</v>
      </c>
      <c r="G127" s="645">
        <v>35000</v>
      </c>
      <c r="H127" s="645">
        <v>35000</v>
      </c>
      <c r="I127" s="645">
        <v>35000</v>
      </c>
      <c r="J127" s="645">
        <v>35000</v>
      </c>
      <c r="K127" s="646">
        <f t="shared" si="20"/>
        <v>210000</v>
      </c>
      <c r="L127" s="857"/>
    </row>
    <row r="128" ht="25" customHeight="1" spans="1:12">
      <c r="A128" s="86">
        <v>8</v>
      </c>
      <c r="B128" s="651" t="s">
        <v>292</v>
      </c>
      <c r="C128" s="83" t="s">
        <v>657</v>
      </c>
      <c r="D128" s="95" t="s">
        <v>86</v>
      </c>
      <c r="E128" s="645">
        <v>35000</v>
      </c>
      <c r="F128" s="645">
        <v>35000</v>
      </c>
      <c r="G128" s="645">
        <v>35000</v>
      </c>
      <c r="H128" s="645">
        <v>35000</v>
      </c>
      <c r="I128" s="645">
        <v>35000</v>
      </c>
      <c r="J128" s="645">
        <v>35000</v>
      </c>
      <c r="K128" s="646">
        <f t="shared" si="20"/>
        <v>210000</v>
      </c>
      <c r="L128" s="857"/>
    </row>
    <row r="129" ht="25" customHeight="1" spans="1:12">
      <c r="A129" s="86">
        <v>9</v>
      </c>
      <c r="B129" s="351" t="s">
        <v>294</v>
      </c>
      <c r="C129" s="83" t="s">
        <v>295</v>
      </c>
      <c r="D129" s="644" t="s">
        <v>111</v>
      </c>
      <c r="E129" s="645">
        <v>35000</v>
      </c>
      <c r="F129" s="645">
        <v>35000</v>
      </c>
      <c r="G129" s="645">
        <v>35000</v>
      </c>
      <c r="H129" s="645">
        <v>35000</v>
      </c>
      <c r="I129" s="645">
        <v>35000</v>
      </c>
      <c r="J129" s="645">
        <v>35000</v>
      </c>
      <c r="K129" s="646">
        <f t="shared" si="20"/>
        <v>210000</v>
      </c>
      <c r="L129" s="857"/>
    </row>
    <row r="130" ht="25" customHeight="1" spans="1:12">
      <c r="A130" s="86">
        <v>10</v>
      </c>
      <c r="B130" s="351" t="s">
        <v>296</v>
      </c>
      <c r="C130" s="83" t="s">
        <v>291</v>
      </c>
      <c r="D130" s="644" t="s">
        <v>111</v>
      </c>
      <c r="E130" s="645">
        <v>35000</v>
      </c>
      <c r="F130" s="645">
        <v>35000</v>
      </c>
      <c r="G130" s="645">
        <v>35000</v>
      </c>
      <c r="H130" s="645">
        <v>35000</v>
      </c>
      <c r="I130" s="645">
        <v>35000</v>
      </c>
      <c r="J130" s="645">
        <v>35000</v>
      </c>
      <c r="K130" s="646">
        <f t="shared" si="20"/>
        <v>210000</v>
      </c>
      <c r="L130" s="857"/>
    </row>
    <row r="131" ht="25" customHeight="1" spans="1:12">
      <c r="A131" s="86"/>
      <c r="B131" s="866" t="s">
        <v>120</v>
      </c>
      <c r="C131" s="99" t="s">
        <v>658</v>
      </c>
      <c r="D131" s="644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1">
        <f t="shared" si="21"/>
        <v>2100000</v>
      </c>
      <c r="L131" s="857"/>
    </row>
    <row r="132" ht="25" customHeight="1" spans="1:12">
      <c r="A132" s="86"/>
      <c r="B132" s="869"/>
      <c r="C132" s="99"/>
      <c r="D132" s="644"/>
      <c r="E132" s="644"/>
      <c r="F132" s="647"/>
      <c r="G132" s="647"/>
      <c r="H132" s="647"/>
      <c r="I132" s="647"/>
      <c r="J132" s="647"/>
      <c r="K132" s="646"/>
      <c r="L132" s="857"/>
    </row>
    <row r="133" ht="25" customHeight="1" spans="1:12">
      <c r="A133" s="86"/>
      <c r="B133" s="866" t="s">
        <v>299</v>
      </c>
      <c r="C133" s="83"/>
      <c r="D133" s="644"/>
      <c r="E133" s="644"/>
      <c r="F133" s="645"/>
      <c r="G133" s="645"/>
      <c r="H133" s="645"/>
      <c r="I133" s="645"/>
      <c r="J133" s="645"/>
      <c r="K133" s="646"/>
      <c r="L133" s="857"/>
    </row>
    <row r="134" ht="25" customHeight="1" spans="1:12">
      <c r="A134" s="886">
        <v>1</v>
      </c>
      <c r="B134" s="872" t="s">
        <v>931</v>
      </c>
      <c r="C134" s="83" t="s">
        <v>932</v>
      </c>
      <c r="D134" s="644" t="s">
        <v>124</v>
      </c>
      <c r="E134" s="645">
        <v>35000</v>
      </c>
      <c r="F134" s="645">
        <v>35000</v>
      </c>
      <c r="G134" s="645">
        <v>35000</v>
      </c>
      <c r="H134" s="645">
        <v>35000</v>
      </c>
      <c r="I134" s="645">
        <v>35000</v>
      </c>
      <c r="J134" s="645">
        <v>35000</v>
      </c>
      <c r="K134" s="646">
        <f t="shared" ref="K134:K192" si="22">SUM(E134:J134)</f>
        <v>210000</v>
      </c>
      <c r="L134" s="857"/>
    </row>
    <row r="135" ht="25" customHeight="1" spans="1:12">
      <c r="A135" s="886">
        <v>2</v>
      </c>
      <c r="B135" s="651" t="s">
        <v>933</v>
      </c>
      <c r="C135" s="83" t="s">
        <v>934</v>
      </c>
      <c r="D135" s="644" t="s">
        <v>36</v>
      </c>
      <c r="E135" s="645">
        <v>35000</v>
      </c>
      <c r="F135" s="645">
        <v>35000</v>
      </c>
      <c r="G135" s="645">
        <v>35000</v>
      </c>
      <c r="H135" s="645">
        <v>35000</v>
      </c>
      <c r="I135" s="645">
        <v>35000</v>
      </c>
      <c r="J135" s="645">
        <v>35000</v>
      </c>
      <c r="K135" s="646">
        <f t="shared" si="22"/>
        <v>210000</v>
      </c>
      <c r="L135" s="857"/>
    </row>
    <row r="136" ht="25" customHeight="1" spans="1:12">
      <c r="A136" s="886">
        <v>3</v>
      </c>
      <c r="B136" s="643" t="s">
        <v>302</v>
      </c>
      <c r="C136" s="86" t="s">
        <v>488</v>
      </c>
      <c r="D136" s="873" t="s">
        <v>36</v>
      </c>
      <c r="E136" s="645">
        <v>35000</v>
      </c>
      <c r="F136" s="645">
        <v>35000</v>
      </c>
      <c r="G136" s="645">
        <v>35000</v>
      </c>
      <c r="H136" s="645">
        <v>35000</v>
      </c>
      <c r="I136" s="645">
        <v>35000</v>
      </c>
      <c r="J136" s="645">
        <v>35000</v>
      </c>
      <c r="K136" s="646">
        <f t="shared" si="22"/>
        <v>210000</v>
      </c>
      <c r="L136" s="857"/>
    </row>
    <row r="137" ht="25" customHeight="1" spans="1:12">
      <c r="A137" s="886">
        <v>4</v>
      </c>
      <c r="B137" s="651" t="s">
        <v>305</v>
      </c>
      <c r="C137" s="83" t="s">
        <v>935</v>
      </c>
      <c r="D137" s="644" t="s">
        <v>192</v>
      </c>
      <c r="E137" s="645">
        <v>35000</v>
      </c>
      <c r="F137" s="645">
        <v>35000</v>
      </c>
      <c r="G137" s="645">
        <v>35000</v>
      </c>
      <c r="H137" s="645">
        <v>35000</v>
      </c>
      <c r="I137" s="645">
        <v>35000</v>
      </c>
      <c r="J137" s="645">
        <v>35000</v>
      </c>
      <c r="K137" s="646">
        <f t="shared" si="22"/>
        <v>210000</v>
      </c>
      <c r="L137" s="857"/>
    </row>
    <row r="138" ht="25" customHeight="1" spans="1:12">
      <c r="A138" s="886">
        <v>5</v>
      </c>
      <c r="B138" s="651" t="s">
        <v>307</v>
      </c>
      <c r="C138" s="86" t="s">
        <v>311</v>
      </c>
      <c r="D138" s="644" t="s">
        <v>192</v>
      </c>
      <c r="E138" s="645">
        <v>35000</v>
      </c>
      <c r="F138" s="645">
        <v>35000</v>
      </c>
      <c r="G138" s="645">
        <v>35000</v>
      </c>
      <c r="H138" s="645">
        <v>35000</v>
      </c>
      <c r="I138" s="645">
        <v>35000</v>
      </c>
      <c r="J138" s="645">
        <v>35000</v>
      </c>
      <c r="K138" s="646">
        <f t="shared" si="22"/>
        <v>210000</v>
      </c>
      <c r="L138" s="857"/>
    </row>
    <row r="139" ht="25" customHeight="1" spans="1:12">
      <c r="A139" s="886">
        <v>6</v>
      </c>
      <c r="B139" s="651" t="s">
        <v>309</v>
      </c>
      <c r="C139" s="86" t="s">
        <v>311</v>
      </c>
      <c r="D139" s="644" t="s">
        <v>192</v>
      </c>
      <c r="E139" s="645">
        <v>35000</v>
      </c>
      <c r="F139" s="645">
        <v>35000</v>
      </c>
      <c r="G139" s="645">
        <v>35000</v>
      </c>
      <c r="H139" s="645">
        <v>35000</v>
      </c>
      <c r="I139" s="645">
        <v>35000</v>
      </c>
      <c r="J139" s="645">
        <v>35000</v>
      </c>
      <c r="K139" s="646">
        <f t="shared" si="22"/>
        <v>210000</v>
      </c>
      <c r="L139" s="857"/>
    </row>
    <row r="140" ht="25" customHeight="1" spans="1:12">
      <c r="A140" s="886">
        <v>7</v>
      </c>
      <c r="B140" s="651" t="s">
        <v>231</v>
      </c>
      <c r="C140" s="83" t="s">
        <v>936</v>
      </c>
      <c r="D140" s="644" t="s">
        <v>173</v>
      </c>
      <c r="E140" s="645">
        <v>35000</v>
      </c>
      <c r="F140" s="645">
        <v>35000</v>
      </c>
      <c r="G140" s="645">
        <v>35000</v>
      </c>
      <c r="H140" s="645">
        <v>35000</v>
      </c>
      <c r="I140" s="645">
        <v>35000</v>
      </c>
      <c r="J140" s="645">
        <v>35000</v>
      </c>
      <c r="K140" s="646">
        <f t="shared" si="22"/>
        <v>210000</v>
      </c>
      <c r="L140" s="857"/>
    </row>
    <row r="141" ht="25" customHeight="1" spans="1:12">
      <c r="A141" s="886">
        <v>8</v>
      </c>
      <c r="B141" s="651" t="s">
        <v>312</v>
      </c>
      <c r="C141" s="83" t="s">
        <v>936</v>
      </c>
      <c r="D141" s="644" t="s">
        <v>173</v>
      </c>
      <c r="E141" s="645">
        <v>35000</v>
      </c>
      <c r="F141" s="645">
        <v>35000</v>
      </c>
      <c r="G141" s="645">
        <v>35000</v>
      </c>
      <c r="H141" s="645">
        <v>35000</v>
      </c>
      <c r="I141" s="645">
        <v>35000</v>
      </c>
      <c r="J141" s="645">
        <v>35000</v>
      </c>
      <c r="K141" s="646">
        <f t="shared" si="22"/>
        <v>210000</v>
      </c>
      <c r="L141" s="857"/>
    </row>
    <row r="142" ht="25" customHeight="1" spans="1:12">
      <c r="A142" s="886">
        <v>9</v>
      </c>
      <c r="B142" s="651" t="s">
        <v>313</v>
      </c>
      <c r="C142" s="86" t="s">
        <v>937</v>
      </c>
      <c r="D142" s="644" t="s">
        <v>173</v>
      </c>
      <c r="E142" s="645">
        <v>35000</v>
      </c>
      <c r="F142" s="645">
        <v>35000</v>
      </c>
      <c r="G142" s="645">
        <v>35000</v>
      </c>
      <c r="H142" s="645">
        <v>35000</v>
      </c>
      <c r="I142" s="645">
        <v>35000</v>
      </c>
      <c r="J142" s="645">
        <v>35000</v>
      </c>
      <c r="K142" s="646">
        <f t="shared" si="22"/>
        <v>210000</v>
      </c>
      <c r="L142" s="857"/>
    </row>
    <row r="143" ht="25" customHeight="1" spans="1:12">
      <c r="A143" s="886">
        <v>10</v>
      </c>
      <c r="B143" s="651" t="s">
        <v>315</v>
      </c>
      <c r="C143" s="83" t="s">
        <v>660</v>
      </c>
      <c r="D143" s="644" t="s">
        <v>70</v>
      </c>
      <c r="E143" s="645">
        <v>35000</v>
      </c>
      <c r="F143" s="645">
        <v>35000</v>
      </c>
      <c r="G143" s="645">
        <v>35000</v>
      </c>
      <c r="H143" s="645">
        <v>35000</v>
      </c>
      <c r="I143" s="645">
        <v>35000</v>
      </c>
      <c r="J143" s="645">
        <v>35000</v>
      </c>
      <c r="K143" s="646">
        <f t="shared" si="22"/>
        <v>210000</v>
      </c>
      <c r="L143" s="857"/>
    </row>
    <row r="144" ht="25" customHeight="1" spans="1:12">
      <c r="A144" s="886">
        <v>11</v>
      </c>
      <c r="B144" s="651" t="s">
        <v>317</v>
      </c>
      <c r="C144" s="83" t="s">
        <v>318</v>
      </c>
      <c r="D144" s="644" t="s">
        <v>131</v>
      </c>
      <c r="E144" s="645">
        <v>35000</v>
      </c>
      <c r="F144" s="645">
        <v>35000</v>
      </c>
      <c r="G144" s="645">
        <v>35000</v>
      </c>
      <c r="H144" s="645">
        <v>35000</v>
      </c>
      <c r="I144" s="645">
        <v>35000</v>
      </c>
      <c r="J144" s="645">
        <v>35000</v>
      </c>
      <c r="K144" s="646">
        <f t="shared" si="22"/>
        <v>210000</v>
      </c>
      <c r="L144" s="857"/>
    </row>
    <row r="145" ht="25" customHeight="1" spans="1:12">
      <c r="A145" s="886">
        <v>12</v>
      </c>
      <c r="B145" s="651" t="s">
        <v>62</v>
      </c>
      <c r="C145" s="83" t="s">
        <v>938</v>
      </c>
      <c r="D145" s="644" t="s">
        <v>173</v>
      </c>
      <c r="E145" s="645">
        <v>35000</v>
      </c>
      <c r="F145" s="645">
        <v>35000</v>
      </c>
      <c r="G145" s="645">
        <v>35000</v>
      </c>
      <c r="H145" s="645">
        <v>35000</v>
      </c>
      <c r="I145" s="645">
        <v>35000</v>
      </c>
      <c r="J145" s="645">
        <v>35000</v>
      </c>
      <c r="K145" s="646">
        <f t="shared" si="22"/>
        <v>210000</v>
      </c>
      <c r="L145" s="857"/>
    </row>
    <row r="146" ht="25" customHeight="1" spans="1:12">
      <c r="A146" s="886">
        <v>13</v>
      </c>
      <c r="B146" s="351" t="s">
        <v>319</v>
      </c>
      <c r="C146" s="86" t="s">
        <v>320</v>
      </c>
      <c r="D146" s="644" t="s">
        <v>180</v>
      </c>
      <c r="E146" s="645">
        <v>35000</v>
      </c>
      <c r="F146" s="645">
        <v>35000</v>
      </c>
      <c r="G146" s="645">
        <v>35000</v>
      </c>
      <c r="H146" s="645">
        <v>35000</v>
      </c>
      <c r="I146" s="645">
        <v>35000</v>
      </c>
      <c r="J146" s="645">
        <v>35000</v>
      </c>
      <c r="K146" s="646">
        <f t="shared" si="22"/>
        <v>210000</v>
      </c>
      <c r="L146" s="857"/>
    </row>
    <row r="147" ht="25" customHeight="1" spans="1:12">
      <c r="A147" s="886">
        <v>14</v>
      </c>
      <c r="B147" s="651" t="s">
        <v>321</v>
      </c>
      <c r="C147" s="86" t="s">
        <v>939</v>
      </c>
      <c r="D147" s="644" t="s">
        <v>78</v>
      </c>
      <c r="E147" s="645">
        <v>35000</v>
      </c>
      <c r="F147" s="645">
        <v>35000</v>
      </c>
      <c r="G147" s="645">
        <v>35000</v>
      </c>
      <c r="H147" s="645">
        <v>35000</v>
      </c>
      <c r="I147" s="645">
        <v>35000</v>
      </c>
      <c r="J147" s="645">
        <v>35000</v>
      </c>
      <c r="K147" s="646">
        <f t="shared" si="22"/>
        <v>210000</v>
      </c>
      <c r="L147" s="857"/>
    </row>
    <row r="148" ht="25" customHeight="1" spans="1:12">
      <c r="A148" s="886">
        <v>15</v>
      </c>
      <c r="B148" s="651" t="s">
        <v>322</v>
      </c>
      <c r="C148" s="86" t="s">
        <v>939</v>
      </c>
      <c r="D148" s="644" t="s">
        <v>153</v>
      </c>
      <c r="E148" s="645">
        <v>35000</v>
      </c>
      <c r="F148" s="645">
        <v>35000</v>
      </c>
      <c r="G148" s="645">
        <v>35000</v>
      </c>
      <c r="H148" s="645">
        <v>35000</v>
      </c>
      <c r="I148" s="645">
        <v>35000</v>
      </c>
      <c r="J148" s="645">
        <v>35000</v>
      </c>
      <c r="K148" s="646">
        <f t="shared" si="22"/>
        <v>210000</v>
      </c>
      <c r="L148" s="857"/>
    </row>
    <row r="149" ht="25" customHeight="1" spans="1:12">
      <c r="A149" s="886">
        <v>16</v>
      </c>
      <c r="B149" s="651" t="s">
        <v>324</v>
      </c>
      <c r="C149" s="86" t="s">
        <v>939</v>
      </c>
      <c r="D149" s="644" t="s">
        <v>153</v>
      </c>
      <c r="E149" s="645">
        <v>35000</v>
      </c>
      <c r="F149" s="645">
        <v>35000</v>
      </c>
      <c r="G149" s="645">
        <v>35000</v>
      </c>
      <c r="H149" s="645">
        <v>35000</v>
      </c>
      <c r="I149" s="645">
        <v>35000</v>
      </c>
      <c r="J149" s="645">
        <v>35000</v>
      </c>
      <c r="K149" s="646">
        <f t="shared" si="22"/>
        <v>210000</v>
      </c>
      <c r="L149" s="857"/>
    </row>
    <row r="150" ht="25" customHeight="1" spans="1:12">
      <c r="A150" s="886">
        <v>17</v>
      </c>
      <c r="B150" s="651" t="s">
        <v>325</v>
      </c>
      <c r="C150" s="83" t="s">
        <v>326</v>
      </c>
      <c r="D150" s="644" t="s">
        <v>75</v>
      </c>
      <c r="E150" s="645">
        <v>35000</v>
      </c>
      <c r="F150" s="645">
        <v>35000</v>
      </c>
      <c r="G150" s="645">
        <v>35000</v>
      </c>
      <c r="H150" s="645">
        <v>35000</v>
      </c>
      <c r="I150" s="645">
        <v>35000</v>
      </c>
      <c r="J150" s="645">
        <v>35000</v>
      </c>
      <c r="K150" s="646">
        <f t="shared" si="22"/>
        <v>210000</v>
      </c>
      <c r="L150" s="857"/>
    </row>
    <row r="151" ht="25" customHeight="1" spans="1:12">
      <c r="A151" s="886">
        <v>18</v>
      </c>
      <c r="B151" s="651" t="s">
        <v>327</v>
      </c>
      <c r="C151" s="83" t="s">
        <v>328</v>
      </c>
      <c r="D151" s="95" t="s">
        <v>99</v>
      </c>
      <c r="E151" s="645">
        <v>35000</v>
      </c>
      <c r="F151" s="645">
        <v>35000</v>
      </c>
      <c r="G151" s="645">
        <v>35000</v>
      </c>
      <c r="H151" s="645">
        <v>35000</v>
      </c>
      <c r="I151" s="645">
        <v>35000</v>
      </c>
      <c r="J151" s="645">
        <v>35000</v>
      </c>
      <c r="K151" s="646">
        <f t="shared" si="22"/>
        <v>210000</v>
      </c>
      <c r="L151" s="857"/>
    </row>
    <row r="152" ht="25" customHeight="1" spans="1:12">
      <c r="A152" s="886">
        <v>19</v>
      </c>
      <c r="B152" s="651" t="s">
        <v>329</v>
      </c>
      <c r="C152" s="83" t="s">
        <v>661</v>
      </c>
      <c r="D152" s="644" t="s">
        <v>78</v>
      </c>
      <c r="E152" s="645">
        <v>35000</v>
      </c>
      <c r="F152" s="645">
        <v>35000</v>
      </c>
      <c r="G152" s="645">
        <v>35000</v>
      </c>
      <c r="H152" s="645">
        <v>35000</v>
      </c>
      <c r="I152" s="645">
        <v>35000</v>
      </c>
      <c r="J152" s="645">
        <v>35000</v>
      </c>
      <c r="K152" s="646">
        <f t="shared" si="22"/>
        <v>210000</v>
      </c>
      <c r="L152" s="857"/>
    </row>
    <row r="153" ht="25" customHeight="1" spans="1:12">
      <c r="A153" s="886">
        <v>20</v>
      </c>
      <c r="B153" s="651" t="s">
        <v>331</v>
      </c>
      <c r="C153" s="83" t="s">
        <v>662</v>
      </c>
      <c r="D153" s="644" t="s">
        <v>86</v>
      </c>
      <c r="E153" s="645">
        <v>35000</v>
      </c>
      <c r="F153" s="645">
        <v>35000</v>
      </c>
      <c r="G153" s="645">
        <v>35000</v>
      </c>
      <c r="H153" s="645">
        <v>35000</v>
      </c>
      <c r="I153" s="645">
        <v>35000</v>
      </c>
      <c r="J153" s="645">
        <v>35000</v>
      </c>
      <c r="K153" s="646">
        <f t="shared" si="22"/>
        <v>210000</v>
      </c>
      <c r="L153" s="857"/>
    </row>
    <row r="154" ht="25" customHeight="1" spans="1:12">
      <c r="A154" s="886">
        <v>21</v>
      </c>
      <c r="B154" s="651" t="s">
        <v>333</v>
      </c>
      <c r="C154" s="83" t="s">
        <v>663</v>
      </c>
      <c r="D154" s="644" t="s">
        <v>78</v>
      </c>
      <c r="E154" s="645">
        <v>35000</v>
      </c>
      <c r="F154" s="645">
        <v>35000</v>
      </c>
      <c r="G154" s="645">
        <v>35000</v>
      </c>
      <c r="H154" s="645">
        <v>35000</v>
      </c>
      <c r="I154" s="645">
        <v>35000</v>
      </c>
      <c r="J154" s="645">
        <v>35000</v>
      </c>
      <c r="K154" s="646">
        <f t="shared" si="22"/>
        <v>210000</v>
      </c>
      <c r="L154" s="857"/>
    </row>
    <row r="155" ht="25" customHeight="1" spans="1:12">
      <c r="A155" s="886">
        <v>22</v>
      </c>
      <c r="B155" s="651" t="s">
        <v>334</v>
      </c>
      <c r="C155" s="83" t="s">
        <v>664</v>
      </c>
      <c r="D155" s="644" t="s">
        <v>86</v>
      </c>
      <c r="E155" s="645">
        <v>35000</v>
      </c>
      <c r="F155" s="645">
        <v>35000</v>
      </c>
      <c r="G155" s="645">
        <v>35000</v>
      </c>
      <c r="H155" s="645">
        <v>35000</v>
      </c>
      <c r="I155" s="645">
        <v>35000</v>
      </c>
      <c r="J155" s="645">
        <v>35000</v>
      </c>
      <c r="K155" s="646">
        <f t="shared" si="22"/>
        <v>210000</v>
      </c>
      <c r="L155" s="857"/>
    </row>
    <row r="156" ht="25" customHeight="1" spans="1:12">
      <c r="A156" s="886">
        <v>23</v>
      </c>
      <c r="B156" s="351" t="s">
        <v>336</v>
      </c>
      <c r="C156" s="83" t="s">
        <v>337</v>
      </c>
      <c r="D156" s="644" t="s">
        <v>225</v>
      </c>
      <c r="E156" s="645">
        <v>35000</v>
      </c>
      <c r="F156" s="645">
        <v>35000</v>
      </c>
      <c r="G156" s="645">
        <v>35000</v>
      </c>
      <c r="H156" s="645">
        <v>35000</v>
      </c>
      <c r="I156" s="645">
        <v>35000</v>
      </c>
      <c r="J156" s="645">
        <v>35000</v>
      </c>
      <c r="K156" s="646">
        <f t="shared" si="22"/>
        <v>210000</v>
      </c>
      <c r="L156" s="857"/>
    </row>
    <row r="157" ht="25" customHeight="1" spans="1:12">
      <c r="A157" s="886">
        <v>24</v>
      </c>
      <c r="B157" s="351" t="s">
        <v>343</v>
      </c>
      <c r="C157" s="83" t="s">
        <v>344</v>
      </c>
      <c r="D157" s="644" t="s">
        <v>111</v>
      </c>
      <c r="E157" s="645">
        <v>35000</v>
      </c>
      <c r="F157" s="645">
        <v>35000</v>
      </c>
      <c r="G157" s="645">
        <v>35000</v>
      </c>
      <c r="H157" s="645">
        <v>35000</v>
      </c>
      <c r="I157" s="645">
        <v>35000</v>
      </c>
      <c r="J157" s="645">
        <v>35000</v>
      </c>
      <c r="K157" s="646">
        <f t="shared" si="22"/>
        <v>210000</v>
      </c>
      <c r="L157" s="857"/>
    </row>
    <row r="158" ht="25" customHeight="1" spans="1:12">
      <c r="A158" s="886">
        <v>25</v>
      </c>
      <c r="B158" s="351" t="s">
        <v>345</v>
      </c>
      <c r="C158" s="83" t="s">
        <v>346</v>
      </c>
      <c r="D158" s="644" t="s">
        <v>111</v>
      </c>
      <c r="E158" s="645">
        <v>35000</v>
      </c>
      <c r="F158" s="645">
        <v>35000</v>
      </c>
      <c r="G158" s="645">
        <v>35000</v>
      </c>
      <c r="H158" s="645">
        <v>35000</v>
      </c>
      <c r="I158" s="645">
        <v>35000</v>
      </c>
      <c r="J158" s="645">
        <v>35000</v>
      </c>
      <c r="K158" s="646">
        <f t="shared" si="22"/>
        <v>210000</v>
      </c>
      <c r="L158" s="857"/>
    </row>
    <row r="159" ht="25" customHeight="1" spans="1:12">
      <c r="A159" s="886">
        <v>26</v>
      </c>
      <c r="B159" s="351" t="s">
        <v>347</v>
      </c>
      <c r="C159" s="83" t="s">
        <v>348</v>
      </c>
      <c r="D159" s="644" t="s">
        <v>111</v>
      </c>
      <c r="E159" s="645">
        <v>35000</v>
      </c>
      <c r="F159" s="645">
        <v>35000</v>
      </c>
      <c r="G159" s="645">
        <v>35000</v>
      </c>
      <c r="H159" s="645">
        <v>35000</v>
      </c>
      <c r="I159" s="645">
        <v>35000</v>
      </c>
      <c r="J159" s="645">
        <v>35000</v>
      </c>
      <c r="K159" s="646">
        <f t="shared" si="22"/>
        <v>210000</v>
      </c>
      <c r="L159" s="857"/>
    </row>
    <row r="160" ht="25" customHeight="1" spans="1:12">
      <c r="A160" s="886">
        <v>27</v>
      </c>
      <c r="B160" s="351" t="s">
        <v>349</v>
      </c>
      <c r="C160" s="83" t="s">
        <v>665</v>
      </c>
      <c r="D160" s="644" t="s">
        <v>108</v>
      </c>
      <c r="E160" s="645">
        <v>35000</v>
      </c>
      <c r="F160" s="645">
        <v>35000</v>
      </c>
      <c r="G160" s="645">
        <v>35000</v>
      </c>
      <c r="H160" s="645">
        <v>35000</v>
      </c>
      <c r="I160" s="645">
        <v>35000</v>
      </c>
      <c r="J160" s="645">
        <v>35000</v>
      </c>
      <c r="K160" s="646">
        <f t="shared" si="22"/>
        <v>210000</v>
      </c>
      <c r="L160" s="857"/>
    </row>
    <row r="161" ht="25" customHeight="1" spans="1:12">
      <c r="A161" s="886">
        <v>28</v>
      </c>
      <c r="B161" s="351" t="s">
        <v>350</v>
      </c>
      <c r="C161" s="83" t="s">
        <v>346</v>
      </c>
      <c r="D161" s="644" t="s">
        <v>111</v>
      </c>
      <c r="E161" s="645">
        <v>35000</v>
      </c>
      <c r="F161" s="645">
        <v>35000</v>
      </c>
      <c r="G161" s="645">
        <v>35000</v>
      </c>
      <c r="H161" s="645">
        <v>35000</v>
      </c>
      <c r="I161" s="645">
        <v>35000</v>
      </c>
      <c r="J161" s="645">
        <v>35000</v>
      </c>
      <c r="K161" s="646">
        <f t="shared" si="22"/>
        <v>210000</v>
      </c>
      <c r="L161" s="857"/>
    </row>
    <row r="162" ht="25" customHeight="1" spans="1:12">
      <c r="A162" s="886">
        <v>29</v>
      </c>
      <c r="B162" s="651" t="s">
        <v>359</v>
      </c>
      <c r="C162" s="83" t="s">
        <v>512</v>
      </c>
      <c r="D162" s="644" t="s">
        <v>384</v>
      </c>
      <c r="E162" s="645">
        <v>35000</v>
      </c>
      <c r="F162" s="645">
        <v>35000</v>
      </c>
      <c r="G162" s="645">
        <v>35000</v>
      </c>
      <c r="H162" s="645">
        <v>35000</v>
      </c>
      <c r="I162" s="645">
        <v>35000</v>
      </c>
      <c r="J162" s="645">
        <v>35000</v>
      </c>
      <c r="K162" s="646">
        <f t="shared" si="22"/>
        <v>210000</v>
      </c>
      <c r="L162" s="857"/>
    </row>
    <row r="163" ht="25" customHeight="1" spans="1:12">
      <c r="A163" s="886">
        <v>30</v>
      </c>
      <c r="B163" s="651" t="s">
        <v>362</v>
      </c>
      <c r="C163" s="83" t="s">
        <v>512</v>
      </c>
      <c r="D163" s="644" t="s">
        <v>384</v>
      </c>
      <c r="E163" s="645">
        <v>35000</v>
      </c>
      <c r="F163" s="645">
        <v>35000</v>
      </c>
      <c r="G163" s="645">
        <v>35000</v>
      </c>
      <c r="H163" s="645">
        <v>35000</v>
      </c>
      <c r="I163" s="645">
        <v>35000</v>
      </c>
      <c r="J163" s="645">
        <v>35000</v>
      </c>
      <c r="K163" s="646">
        <f t="shared" si="22"/>
        <v>210000</v>
      </c>
      <c r="L163" s="857"/>
    </row>
    <row r="164" ht="25" customHeight="1" spans="1:12">
      <c r="A164" s="886">
        <v>31</v>
      </c>
      <c r="B164" s="651" t="s">
        <v>666</v>
      </c>
      <c r="C164" s="83" t="s">
        <v>512</v>
      </c>
      <c r="D164" s="644" t="s">
        <v>384</v>
      </c>
      <c r="E164" s="645">
        <v>35000</v>
      </c>
      <c r="F164" s="645">
        <v>35000</v>
      </c>
      <c r="G164" s="645">
        <v>35000</v>
      </c>
      <c r="H164" s="645">
        <v>35000</v>
      </c>
      <c r="I164" s="645">
        <v>35000</v>
      </c>
      <c r="J164" s="645">
        <v>35000</v>
      </c>
      <c r="K164" s="646">
        <f t="shared" si="22"/>
        <v>210000</v>
      </c>
      <c r="L164" s="857"/>
    </row>
    <row r="165" ht="25" customHeight="1" spans="1:12">
      <c r="A165" s="886">
        <v>32</v>
      </c>
      <c r="B165" s="651" t="s">
        <v>363</v>
      </c>
      <c r="C165" s="83" t="s">
        <v>512</v>
      </c>
      <c r="D165" s="644" t="s">
        <v>384</v>
      </c>
      <c r="E165" s="645">
        <v>35000</v>
      </c>
      <c r="F165" s="645">
        <v>35000</v>
      </c>
      <c r="G165" s="645">
        <v>35000</v>
      </c>
      <c r="H165" s="645">
        <v>35000</v>
      </c>
      <c r="I165" s="645">
        <v>35000</v>
      </c>
      <c r="J165" s="645">
        <v>35000</v>
      </c>
      <c r="K165" s="646">
        <f t="shared" si="22"/>
        <v>210000</v>
      </c>
      <c r="L165" s="857"/>
    </row>
    <row r="166" ht="25" customHeight="1" spans="1:12">
      <c r="A166" s="886">
        <v>33</v>
      </c>
      <c r="B166" s="651" t="s">
        <v>364</v>
      </c>
      <c r="C166" s="83" t="s">
        <v>512</v>
      </c>
      <c r="D166" s="644" t="s">
        <v>384</v>
      </c>
      <c r="E166" s="645">
        <v>35000</v>
      </c>
      <c r="F166" s="645">
        <v>35000</v>
      </c>
      <c r="G166" s="645">
        <v>35000</v>
      </c>
      <c r="H166" s="645">
        <v>35000</v>
      </c>
      <c r="I166" s="645">
        <v>35000</v>
      </c>
      <c r="J166" s="645">
        <v>35000</v>
      </c>
      <c r="K166" s="646">
        <f t="shared" si="22"/>
        <v>210000</v>
      </c>
      <c r="L166" s="857"/>
    </row>
    <row r="167" ht="25" customHeight="1" spans="1:12">
      <c r="A167" s="886">
        <v>34</v>
      </c>
      <c r="B167" s="651" t="s">
        <v>365</v>
      </c>
      <c r="C167" s="83" t="s">
        <v>512</v>
      </c>
      <c r="D167" s="644" t="s">
        <v>377</v>
      </c>
      <c r="E167" s="645">
        <v>35000</v>
      </c>
      <c r="F167" s="645">
        <v>35000</v>
      </c>
      <c r="G167" s="645">
        <v>35000</v>
      </c>
      <c r="H167" s="645">
        <v>35000</v>
      </c>
      <c r="I167" s="645">
        <v>35000</v>
      </c>
      <c r="J167" s="645">
        <v>35000</v>
      </c>
      <c r="K167" s="646">
        <f t="shared" si="22"/>
        <v>210000</v>
      </c>
      <c r="L167" s="857"/>
    </row>
    <row r="168" ht="25" customHeight="1" spans="1:12">
      <c r="A168" s="886">
        <v>35</v>
      </c>
      <c r="B168" s="651" t="s">
        <v>367</v>
      </c>
      <c r="C168" s="83" t="s">
        <v>512</v>
      </c>
      <c r="D168" s="644" t="s">
        <v>377</v>
      </c>
      <c r="E168" s="645">
        <v>35000</v>
      </c>
      <c r="F168" s="645">
        <v>35000</v>
      </c>
      <c r="G168" s="645">
        <v>35000</v>
      </c>
      <c r="H168" s="645">
        <v>35000</v>
      </c>
      <c r="I168" s="645">
        <v>35000</v>
      </c>
      <c r="J168" s="645">
        <v>35000</v>
      </c>
      <c r="K168" s="646">
        <f t="shared" si="22"/>
        <v>210000</v>
      </c>
      <c r="L168" s="857"/>
    </row>
    <row r="169" ht="25" customHeight="1" spans="1:12">
      <c r="A169" s="886">
        <v>36</v>
      </c>
      <c r="B169" s="643" t="s">
        <v>368</v>
      </c>
      <c r="C169" s="83" t="s">
        <v>512</v>
      </c>
      <c r="D169" s="644" t="s">
        <v>377</v>
      </c>
      <c r="E169" s="645">
        <v>35000</v>
      </c>
      <c r="F169" s="645">
        <v>35000</v>
      </c>
      <c r="G169" s="645">
        <v>35000</v>
      </c>
      <c r="H169" s="645">
        <v>35000</v>
      </c>
      <c r="I169" s="645">
        <v>35000</v>
      </c>
      <c r="J169" s="645">
        <v>35000</v>
      </c>
      <c r="K169" s="646">
        <f t="shared" si="22"/>
        <v>210000</v>
      </c>
      <c r="L169" s="857"/>
    </row>
    <row r="170" ht="25" customHeight="1" spans="1:12">
      <c r="A170" s="886">
        <v>37</v>
      </c>
      <c r="B170" s="651" t="s">
        <v>369</v>
      </c>
      <c r="C170" s="83" t="s">
        <v>512</v>
      </c>
      <c r="D170" s="644" t="s">
        <v>377</v>
      </c>
      <c r="E170" s="645">
        <v>35000</v>
      </c>
      <c r="F170" s="645">
        <v>35000</v>
      </c>
      <c r="G170" s="645">
        <v>35000</v>
      </c>
      <c r="H170" s="645">
        <v>35000</v>
      </c>
      <c r="I170" s="645">
        <v>35000</v>
      </c>
      <c r="J170" s="645">
        <v>35000</v>
      </c>
      <c r="K170" s="646">
        <f t="shared" si="22"/>
        <v>210000</v>
      </c>
      <c r="L170" s="857"/>
    </row>
    <row r="171" ht="25" customHeight="1" spans="1:12">
      <c r="A171" s="886">
        <v>38</v>
      </c>
      <c r="B171" s="351" t="s">
        <v>370</v>
      </c>
      <c r="C171" s="83" t="s">
        <v>512</v>
      </c>
      <c r="D171" s="644" t="s">
        <v>377</v>
      </c>
      <c r="E171" s="645">
        <v>35000</v>
      </c>
      <c r="F171" s="645">
        <v>35000</v>
      </c>
      <c r="G171" s="645">
        <v>35000</v>
      </c>
      <c r="H171" s="645">
        <v>35000</v>
      </c>
      <c r="I171" s="645">
        <v>35000</v>
      </c>
      <c r="J171" s="645">
        <v>35000</v>
      </c>
      <c r="K171" s="646">
        <f t="shared" si="22"/>
        <v>210000</v>
      </c>
      <c r="L171" s="857"/>
    </row>
    <row r="172" ht="25" customHeight="1" spans="1:12">
      <c r="A172" s="886">
        <v>39</v>
      </c>
      <c r="B172" s="351" t="s">
        <v>357</v>
      </c>
      <c r="C172" s="83" t="s">
        <v>512</v>
      </c>
      <c r="D172" s="644" t="s">
        <v>377</v>
      </c>
      <c r="E172" s="645">
        <v>35000</v>
      </c>
      <c r="F172" s="645">
        <v>35000</v>
      </c>
      <c r="G172" s="645">
        <v>35000</v>
      </c>
      <c r="H172" s="645">
        <v>35000</v>
      </c>
      <c r="I172" s="645">
        <v>35000</v>
      </c>
      <c r="J172" s="645">
        <v>35000</v>
      </c>
      <c r="K172" s="646">
        <f t="shared" si="22"/>
        <v>210000</v>
      </c>
      <c r="L172" s="857"/>
    </row>
    <row r="173" ht="25" customHeight="1" spans="1:12">
      <c r="A173" s="886">
        <v>40</v>
      </c>
      <c r="B173" s="651" t="s">
        <v>371</v>
      </c>
      <c r="C173" s="83" t="s">
        <v>360</v>
      </c>
      <c r="D173" s="644" t="s">
        <v>607</v>
      </c>
      <c r="E173" s="645">
        <v>35000</v>
      </c>
      <c r="F173" s="645">
        <v>35000</v>
      </c>
      <c r="G173" s="645">
        <v>35000</v>
      </c>
      <c r="H173" s="645">
        <v>35000</v>
      </c>
      <c r="I173" s="645">
        <v>35000</v>
      </c>
      <c r="J173" s="645">
        <v>35000</v>
      </c>
      <c r="K173" s="646">
        <f t="shared" si="22"/>
        <v>210000</v>
      </c>
      <c r="L173" s="857"/>
    </row>
    <row r="174" ht="25" customHeight="1" spans="1:12">
      <c r="A174" s="886">
        <v>41</v>
      </c>
      <c r="B174" s="651" t="s">
        <v>373</v>
      </c>
      <c r="C174" s="83" t="s">
        <v>360</v>
      </c>
      <c r="D174" s="644" t="s">
        <v>607</v>
      </c>
      <c r="E174" s="645">
        <v>35000</v>
      </c>
      <c r="F174" s="645">
        <v>35000</v>
      </c>
      <c r="G174" s="645">
        <v>35000</v>
      </c>
      <c r="H174" s="645">
        <v>35000</v>
      </c>
      <c r="I174" s="645">
        <v>35000</v>
      </c>
      <c r="J174" s="645">
        <v>35000</v>
      </c>
      <c r="K174" s="646">
        <f t="shared" si="22"/>
        <v>210000</v>
      </c>
      <c r="L174" s="857"/>
    </row>
    <row r="175" ht="25" customHeight="1" spans="1:12">
      <c r="A175" s="886">
        <v>42</v>
      </c>
      <c r="B175" s="351" t="s">
        <v>374</v>
      </c>
      <c r="C175" s="83" t="s">
        <v>360</v>
      </c>
      <c r="D175" s="644" t="s">
        <v>606</v>
      </c>
      <c r="E175" s="645">
        <v>35000</v>
      </c>
      <c r="F175" s="645">
        <v>35000</v>
      </c>
      <c r="G175" s="645">
        <v>35000</v>
      </c>
      <c r="H175" s="645">
        <v>35000</v>
      </c>
      <c r="I175" s="645">
        <v>35000</v>
      </c>
      <c r="J175" s="645">
        <v>35000</v>
      </c>
      <c r="K175" s="646">
        <f t="shared" si="22"/>
        <v>210000</v>
      </c>
      <c r="L175" s="857"/>
    </row>
    <row r="176" ht="25" customHeight="1" spans="1:12">
      <c r="A176" s="886">
        <v>43</v>
      </c>
      <c r="B176" s="651" t="s">
        <v>376</v>
      </c>
      <c r="C176" s="83" t="s">
        <v>387</v>
      </c>
      <c r="D176" s="644" t="s">
        <v>608</v>
      </c>
      <c r="E176" s="645">
        <v>35000</v>
      </c>
      <c r="F176" s="645">
        <v>35000</v>
      </c>
      <c r="G176" s="645">
        <v>35000</v>
      </c>
      <c r="H176" s="645">
        <v>35000</v>
      </c>
      <c r="I176" s="645">
        <v>35000</v>
      </c>
      <c r="J176" s="645">
        <v>35000</v>
      </c>
      <c r="K176" s="646">
        <f t="shared" si="22"/>
        <v>210000</v>
      </c>
      <c r="L176" s="857"/>
    </row>
    <row r="177" ht="25" customHeight="1" spans="1:12">
      <c r="A177" s="886">
        <v>44</v>
      </c>
      <c r="B177" s="651" t="s">
        <v>378</v>
      </c>
      <c r="C177" s="83" t="s">
        <v>514</v>
      </c>
      <c r="D177" s="644" t="s">
        <v>669</v>
      </c>
      <c r="E177" s="645">
        <v>35000</v>
      </c>
      <c r="F177" s="645">
        <v>35000</v>
      </c>
      <c r="G177" s="645">
        <v>35000</v>
      </c>
      <c r="H177" s="645">
        <v>35000</v>
      </c>
      <c r="I177" s="645">
        <v>35000</v>
      </c>
      <c r="J177" s="645">
        <v>35000</v>
      </c>
      <c r="K177" s="646">
        <f t="shared" si="22"/>
        <v>210000</v>
      </c>
      <c r="L177" s="857"/>
    </row>
    <row r="178" ht="25" customHeight="1" spans="1:12">
      <c r="A178" s="886">
        <v>45</v>
      </c>
      <c r="B178" s="651" t="s">
        <v>379</v>
      </c>
      <c r="C178" s="83" t="s">
        <v>514</v>
      </c>
      <c r="D178" s="644" t="s">
        <v>669</v>
      </c>
      <c r="E178" s="645">
        <v>35000</v>
      </c>
      <c r="F178" s="645">
        <v>35000</v>
      </c>
      <c r="G178" s="645">
        <v>35000</v>
      </c>
      <c r="H178" s="645">
        <v>35000</v>
      </c>
      <c r="I178" s="645">
        <v>35000</v>
      </c>
      <c r="J178" s="645">
        <v>35000</v>
      </c>
      <c r="K178" s="646">
        <f t="shared" si="22"/>
        <v>210000</v>
      </c>
      <c r="L178" s="857"/>
    </row>
    <row r="179" ht="25" customHeight="1" spans="1:12">
      <c r="A179" s="886">
        <v>46</v>
      </c>
      <c r="B179" s="651" t="s">
        <v>380</v>
      </c>
      <c r="C179" s="83" t="s">
        <v>514</v>
      </c>
      <c r="D179" s="644" t="s">
        <v>669</v>
      </c>
      <c r="E179" s="645">
        <v>35000</v>
      </c>
      <c r="F179" s="645">
        <v>35000</v>
      </c>
      <c r="G179" s="645">
        <v>35000</v>
      </c>
      <c r="H179" s="645">
        <v>35000</v>
      </c>
      <c r="I179" s="645">
        <v>35000</v>
      </c>
      <c r="J179" s="645">
        <v>35000</v>
      </c>
      <c r="K179" s="646">
        <f t="shared" si="22"/>
        <v>210000</v>
      </c>
      <c r="L179" s="857"/>
    </row>
    <row r="180" ht="25" customHeight="1" spans="1:12">
      <c r="A180" s="886">
        <v>47</v>
      </c>
      <c r="B180" s="651" t="s">
        <v>381</v>
      </c>
      <c r="C180" s="83" t="s">
        <v>514</v>
      </c>
      <c r="D180" s="644" t="s">
        <v>669</v>
      </c>
      <c r="E180" s="645">
        <v>35000</v>
      </c>
      <c r="F180" s="645">
        <v>35000</v>
      </c>
      <c r="G180" s="645">
        <v>35000</v>
      </c>
      <c r="H180" s="645">
        <v>35000</v>
      </c>
      <c r="I180" s="645">
        <v>35000</v>
      </c>
      <c r="J180" s="645">
        <v>35000</v>
      </c>
      <c r="K180" s="646">
        <f t="shared" si="22"/>
        <v>210000</v>
      </c>
      <c r="L180" s="857"/>
    </row>
    <row r="181" ht="25" customHeight="1" spans="1:12">
      <c r="A181" s="886">
        <v>48</v>
      </c>
      <c r="B181" s="651" t="s">
        <v>382</v>
      </c>
      <c r="C181" s="83" t="s">
        <v>514</v>
      </c>
      <c r="D181" s="644" t="s">
        <v>669</v>
      </c>
      <c r="E181" s="645">
        <v>35000</v>
      </c>
      <c r="F181" s="645">
        <v>35000</v>
      </c>
      <c r="G181" s="645">
        <v>35000</v>
      </c>
      <c r="H181" s="645">
        <v>35000</v>
      </c>
      <c r="I181" s="645">
        <v>35000</v>
      </c>
      <c r="J181" s="645">
        <v>35000</v>
      </c>
      <c r="K181" s="646">
        <f t="shared" si="22"/>
        <v>210000</v>
      </c>
      <c r="L181" s="857"/>
    </row>
    <row r="182" ht="25" customHeight="1" spans="1:12">
      <c r="A182" s="886">
        <v>49</v>
      </c>
      <c r="B182" s="351" t="s">
        <v>383</v>
      </c>
      <c r="C182" s="83" t="s">
        <v>514</v>
      </c>
      <c r="D182" s="644" t="s">
        <v>669</v>
      </c>
      <c r="E182" s="645">
        <v>35000</v>
      </c>
      <c r="F182" s="645">
        <v>35000</v>
      </c>
      <c r="G182" s="645">
        <v>35000</v>
      </c>
      <c r="H182" s="645">
        <v>35000</v>
      </c>
      <c r="I182" s="645">
        <v>35000</v>
      </c>
      <c r="J182" s="645">
        <v>35000</v>
      </c>
      <c r="K182" s="646">
        <f t="shared" si="22"/>
        <v>210000</v>
      </c>
      <c r="L182" s="857"/>
    </row>
    <row r="183" ht="25" customHeight="1" spans="1:12">
      <c r="A183" s="886">
        <v>50</v>
      </c>
      <c r="B183" s="351" t="s">
        <v>385</v>
      </c>
      <c r="C183" s="83" t="s">
        <v>514</v>
      </c>
      <c r="D183" s="644" t="s">
        <v>669</v>
      </c>
      <c r="E183" s="645">
        <v>35000</v>
      </c>
      <c r="F183" s="645">
        <v>35000</v>
      </c>
      <c r="G183" s="645">
        <v>35000</v>
      </c>
      <c r="H183" s="645">
        <v>35000</v>
      </c>
      <c r="I183" s="645">
        <v>35000</v>
      </c>
      <c r="J183" s="645">
        <v>35000</v>
      </c>
      <c r="K183" s="646">
        <f t="shared" si="22"/>
        <v>210000</v>
      </c>
      <c r="L183" s="857"/>
    </row>
    <row r="184" ht="25" customHeight="1" spans="1:12">
      <c r="A184" s="886">
        <v>51</v>
      </c>
      <c r="B184" s="651" t="s">
        <v>668</v>
      </c>
      <c r="C184" s="83" t="s">
        <v>387</v>
      </c>
      <c r="D184" s="644" t="s">
        <v>669</v>
      </c>
      <c r="E184" s="645">
        <v>35000</v>
      </c>
      <c r="F184" s="645">
        <v>35000</v>
      </c>
      <c r="G184" s="645">
        <v>35000</v>
      </c>
      <c r="H184" s="645">
        <v>35000</v>
      </c>
      <c r="I184" s="645">
        <v>35000</v>
      </c>
      <c r="J184" s="645">
        <v>35000</v>
      </c>
      <c r="K184" s="646">
        <f t="shared" si="22"/>
        <v>210000</v>
      </c>
      <c r="L184" s="857"/>
    </row>
    <row r="185" ht="25" customHeight="1" spans="1:12">
      <c r="A185" s="886">
        <v>52</v>
      </c>
      <c r="B185" s="651" t="s">
        <v>386</v>
      </c>
      <c r="C185" s="83" t="s">
        <v>387</v>
      </c>
      <c r="D185" s="644" t="s">
        <v>669</v>
      </c>
      <c r="E185" s="645">
        <v>35000</v>
      </c>
      <c r="F185" s="645">
        <v>35000</v>
      </c>
      <c r="G185" s="645">
        <v>35000</v>
      </c>
      <c r="H185" s="645">
        <v>35000</v>
      </c>
      <c r="I185" s="645">
        <v>35000</v>
      </c>
      <c r="J185" s="645">
        <v>35000</v>
      </c>
      <c r="K185" s="646">
        <f t="shared" si="22"/>
        <v>210000</v>
      </c>
      <c r="L185" s="857"/>
    </row>
    <row r="186" ht="25" customHeight="1" spans="1:12">
      <c r="A186" s="886">
        <v>53</v>
      </c>
      <c r="B186" s="351" t="s">
        <v>358</v>
      </c>
      <c r="C186" s="83" t="s">
        <v>390</v>
      </c>
      <c r="D186" s="644" t="s">
        <v>391</v>
      </c>
      <c r="E186" s="645">
        <v>35000</v>
      </c>
      <c r="F186" s="645">
        <v>35000</v>
      </c>
      <c r="G186" s="645">
        <v>35000</v>
      </c>
      <c r="H186" s="645">
        <v>35000</v>
      </c>
      <c r="I186" s="645">
        <v>35000</v>
      </c>
      <c r="J186" s="645">
        <v>35000</v>
      </c>
      <c r="K186" s="646">
        <f t="shared" si="22"/>
        <v>210000</v>
      </c>
      <c r="L186" s="857"/>
    </row>
    <row r="187" ht="25" customHeight="1" spans="1:12">
      <c r="A187" s="886">
        <v>54</v>
      </c>
      <c r="B187" s="351" t="s">
        <v>392</v>
      </c>
      <c r="C187" s="83" t="s">
        <v>514</v>
      </c>
      <c r="D187" s="644" t="s">
        <v>398</v>
      </c>
      <c r="E187" s="645">
        <v>35000</v>
      </c>
      <c r="F187" s="645">
        <v>35000</v>
      </c>
      <c r="G187" s="645">
        <v>35000</v>
      </c>
      <c r="H187" s="645">
        <v>35000</v>
      </c>
      <c r="I187" s="645">
        <v>35000</v>
      </c>
      <c r="J187" s="645">
        <v>35000</v>
      </c>
      <c r="K187" s="646">
        <f t="shared" si="22"/>
        <v>210000</v>
      </c>
      <c r="L187" s="857"/>
    </row>
    <row r="188" ht="25" customHeight="1" spans="1:12">
      <c r="A188" s="886">
        <v>55</v>
      </c>
      <c r="B188" s="351" t="s">
        <v>396</v>
      </c>
      <c r="C188" s="83" t="s">
        <v>397</v>
      </c>
      <c r="D188" s="644" t="s">
        <v>940</v>
      </c>
      <c r="E188" s="645">
        <v>35000</v>
      </c>
      <c r="F188" s="645">
        <v>35000</v>
      </c>
      <c r="G188" s="645">
        <v>35000</v>
      </c>
      <c r="H188" s="645">
        <v>35000</v>
      </c>
      <c r="I188" s="645">
        <v>35000</v>
      </c>
      <c r="J188" s="645">
        <v>35000</v>
      </c>
      <c r="K188" s="646">
        <f t="shared" si="22"/>
        <v>210000</v>
      </c>
      <c r="L188" s="857"/>
    </row>
    <row r="189" ht="25" customHeight="1" spans="1:12">
      <c r="A189" s="886">
        <v>56</v>
      </c>
      <c r="B189" s="351" t="s">
        <v>399</v>
      </c>
      <c r="C189" s="83" t="s">
        <v>397</v>
      </c>
      <c r="D189" s="644" t="s">
        <v>940</v>
      </c>
      <c r="E189" s="645">
        <v>35000</v>
      </c>
      <c r="F189" s="645">
        <v>35000</v>
      </c>
      <c r="G189" s="645">
        <v>35000</v>
      </c>
      <c r="H189" s="645">
        <v>35000</v>
      </c>
      <c r="I189" s="645">
        <v>35000</v>
      </c>
      <c r="J189" s="645">
        <v>35000</v>
      </c>
      <c r="K189" s="646">
        <f t="shared" si="22"/>
        <v>210000</v>
      </c>
      <c r="L189" s="857"/>
    </row>
    <row r="190" ht="25" customHeight="1" spans="1:12">
      <c r="A190" s="886">
        <v>57</v>
      </c>
      <c r="B190" s="351" t="s">
        <v>400</v>
      </c>
      <c r="C190" s="83" t="s">
        <v>397</v>
      </c>
      <c r="D190" s="644" t="s">
        <v>940</v>
      </c>
      <c r="E190" s="645">
        <v>35000</v>
      </c>
      <c r="F190" s="645">
        <v>35000</v>
      </c>
      <c r="G190" s="645">
        <v>35000</v>
      </c>
      <c r="H190" s="645">
        <v>35000</v>
      </c>
      <c r="I190" s="645">
        <v>35000</v>
      </c>
      <c r="J190" s="645">
        <v>35000</v>
      </c>
      <c r="K190" s="646">
        <f t="shared" si="22"/>
        <v>210000</v>
      </c>
      <c r="L190" s="857"/>
    </row>
    <row r="191" ht="25" customHeight="1" spans="1:12">
      <c r="A191" s="886">
        <v>58</v>
      </c>
      <c r="B191" s="351" t="s">
        <v>401</v>
      </c>
      <c r="C191" s="83" t="s">
        <v>402</v>
      </c>
      <c r="D191" s="644" t="s">
        <v>393</v>
      </c>
      <c r="E191" s="645">
        <v>35000</v>
      </c>
      <c r="F191" s="645">
        <v>35000</v>
      </c>
      <c r="G191" s="645">
        <v>35000</v>
      </c>
      <c r="H191" s="645">
        <v>35000</v>
      </c>
      <c r="I191" s="645">
        <v>35000</v>
      </c>
      <c r="J191" s="645">
        <v>35000</v>
      </c>
      <c r="K191" s="646">
        <f t="shared" si="22"/>
        <v>210000</v>
      </c>
      <c r="L191" s="857"/>
    </row>
    <row r="192" ht="25" customHeight="1" spans="1:12">
      <c r="A192" s="886">
        <v>59</v>
      </c>
      <c r="B192" s="351" t="s">
        <v>404</v>
      </c>
      <c r="C192" s="83" t="s">
        <v>402</v>
      </c>
      <c r="D192" s="644" t="s">
        <v>393</v>
      </c>
      <c r="E192" s="645">
        <v>35000</v>
      </c>
      <c r="F192" s="645">
        <v>35000</v>
      </c>
      <c r="G192" s="645">
        <v>35000</v>
      </c>
      <c r="H192" s="645">
        <v>35000</v>
      </c>
      <c r="I192" s="645">
        <v>35000</v>
      </c>
      <c r="J192" s="645">
        <v>35000</v>
      </c>
      <c r="K192" s="646">
        <f t="shared" si="22"/>
        <v>210000</v>
      </c>
      <c r="L192" s="857"/>
    </row>
    <row r="193" ht="25" customHeight="1" spans="1:12">
      <c r="A193" s="886"/>
      <c r="B193" s="81" t="s">
        <v>120</v>
      </c>
      <c r="C193" s="100" t="s">
        <v>941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89">
        <f t="shared" si="23"/>
        <v>12390000</v>
      </c>
      <c r="L193" s="857"/>
    </row>
    <row r="194" ht="38" customHeight="1" spans="1:12">
      <c r="A194" s="86"/>
      <c r="B194" s="890" t="s">
        <v>406</v>
      </c>
      <c r="C194" s="101">
        <f>C34+C40+C54+C59+C72+C82+C95+C102+C112+C131+C193</f>
        <v>151</v>
      </c>
      <c r="D194" s="891"/>
      <c r="E194" s="892">
        <f t="shared" ref="E194:J194" si="24">E193+E131+E118+E112+E102+E95+E82+E72+E59+E54+D40+E34</f>
        <v>5250000</v>
      </c>
      <c r="F194" s="892">
        <f t="shared" si="24"/>
        <v>5355000</v>
      </c>
      <c r="G194" s="892">
        <f t="shared" si="24"/>
        <v>5355000</v>
      </c>
      <c r="H194" s="892">
        <f t="shared" si="24"/>
        <v>5355000</v>
      </c>
      <c r="I194" s="892">
        <f t="shared" si="24"/>
        <v>5355000</v>
      </c>
      <c r="J194" s="892">
        <f t="shared" si="24"/>
        <v>5355000</v>
      </c>
      <c r="K194" s="892">
        <f>K193+K131+K118+K112+K102+K95+K82+K72+K59+K54+K40+K34</f>
        <v>32130000</v>
      </c>
      <c r="L194" s="857"/>
    </row>
    <row r="195" ht="25" customHeight="1" spans="1:12">
      <c r="A195" s="893"/>
      <c r="B195" s="894"/>
      <c r="C195" s="893"/>
      <c r="D195" s="895"/>
      <c r="E195" s="895"/>
      <c r="F195" s="895"/>
      <c r="G195" s="895"/>
      <c r="H195" s="895"/>
      <c r="I195" s="895"/>
      <c r="J195" s="895"/>
      <c r="K195" s="896"/>
    </row>
    <row r="196" ht="18" spans="1:12">
      <c r="A196" s="893"/>
      <c r="B196" s="894"/>
      <c r="C196" s="895"/>
      <c r="D196" s="895"/>
      <c r="E196" s="895"/>
      <c r="F196" s="895"/>
      <c r="G196" s="895"/>
      <c r="H196" s="895"/>
      <c r="I196" s="895"/>
      <c r="J196" s="895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942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943</v>
      </c>
    </row>
    <row r="5" ht="30" customHeight="1" spans="1:4">
      <c r="A5" s="4">
        <v>1</v>
      </c>
      <c r="B5" s="17" t="s">
        <v>944</v>
      </c>
      <c r="C5" s="838" t="s">
        <v>945</v>
      </c>
      <c r="D5" s="838">
        <v>1</v>
      </c>
    </row>
    <row r="6" ht="30" customHeight="1" spans="1:4">
      <c r="A6" s="4">
        <v>2</v>
      </c>
      <c r="B6" s="43" t="s">
        <v>946</v>
      </c>
      <c r="C6" s="1200" t="s">
        <v>947</v>
      </c>
      <c r="D6" s="49">
        <v>8</v>
      </c>
    </row>
    <row r="7" ht="30" customHeight="1" spans="1:4">
      <c r="A7" s="4">
        <v>3</v>
      </c>
      <c r="B7" s="43" t="s">
        <v>948</v>
      </c>
      <c r="C7" s="1200" t="s">
        <v>949</v>
      </c>
      <c r="D7" s="49">
        <v>11</v>
      </c>
    </row>
    <row r="8" ht="30" customHeight="1" spans="1:4">
      <c r="A8" s="4">
        <v>4</v>
      </c>
      <c r="B8" s="43" t="s">
        <v>950</v>
      </c>
      <c r="C8" s="1200" t="s">
        <v>951</v>
      </c>
      <c r="D8" s="49">
        <v>13</v>
      </c>
    </row>
    <row r="9" ht="30" customHeight="1" spans="1:4">
      <c r="A9" s="4">
        <v>5</v>
      </c>
      <c r="B9" s="43" t="s">
        <v>952</v>
      </c>
      <c r="C9" s="1200" t="s">
        <v>953</v>
      </c>
      <c r="D9" s="49">
        <v>11</v>
      </c>
    </row>
    <row r="10" ht="30" customHeight="1" spans="1:4">
      <c r="A10" s="4">
        <v>6</v>
      </c>
      <c r="B10" s="43" t="s">
        <v>954</v>
      </c>
      <c r="C10" s="1200" t="s">
        <v>955</v>
      </c>
      <c r="D10" s="49">
        <v>15</v>
      </c>
    </row>
    <row r="11" ht="30" customHeight="1" spans="1:4">
      <c r="A11" s="4">
        <v>7</v>
      </c>
      <c r="B11" s="43" t="s">
        <v>790</v>
      </c>
      <c r="C11" s="1200" t="s">
        <v>956</v>
      </c>
      <c r="D11" s="49">
        <v>22</v>
      </c>
    </row>
    <row r="12" ht="30" customHeight="1" spans="1:4">
      <c r="A12" s="4">
        <v>8</v>
      </c>
      <c r="B12" s="43" t="s">
        <v>957</v>
      </c>
      <c r="C12" s="1200" t="s">
        <v>958</v>
      </c>
      <c r="D12" s="49">
        <v>14</v>
      </c>
    </row>
    <row r="13" ht="30" customHeight="1" spans="1:4">
      <c r="A13" s="4">
        <v>9</v>
      </c>
      <c r="B13" s="43" t="s">
        <v>959</v>
      </c>
      <c r="C13" s="1200" t="s">
        <v>960</v>
      </c>
      <c r="D13" s="49">
        <v>27</v>
      </c>
    </row>
    <row r="14" ht="30" customHeight="1" spans="1:4">
      <c r="A14" s="4">
        <v>10</v>
      </c>
      <c r="B14" s="43" t="s">
        <v>961</v>
      </c>
      <c r="C14" s="1200" t="s">
        <v>962</v>
      </c>
      <c r="D14" s="49">
        <v>26</v>
      </c>
    </row>
    <row r="15" ht="30" customHeight="1" spans="1:4">
      <c r="A15" s="4">
        <v>11</v>
      </c>
      <c r="B15" s="43" t="s">
        <v>963</v>
      </c>
      <c r="C15" s="1200" t="s">
        <v>964</v>
      </c>
      <c r="D15" s="49">
        <v>15</v>
      </c>
    </row>
    <row r="16" ht="30" customHeight="1" spans="1:4">
      <c r="A16" s="4">
        <v>12</v>
      </c>
      <c r="B16" s="43" t="s">
        <v>965</v>
      </c>
      <c r="C16" s="1200" t="s">
        <v>966</v>
      </c>
      <c r="D16" s="49">
        <v>14</v>
      </c>
    </row>
    <row r="17" ht="30" customHeight="1" spans="1:4">
      <c r="A17" s="4">
        <v>13</v>
      </c>
      <c r="B17" s="43" t="s">
        <v>967</v>
      </c>
      <c r="C17" s="1200" t="s">
        <v>968</v>
      </c>
      <c r="D17" s="49">
        <v>3</v>
      </c>
    </row>
    <row r="18" ht="30" customHeight="1" spans="1:4">
      <c r="A18" s="43"/>
      <c r="B18" s="42" t="s">
        <v>969</v>
      </c>
      <c r="C18" s="42"/>
      <c r="D18" s="5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970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943</v>
      </c>
    </row>
    <row r="5" ht="25" customHeight="1" spans="1:4">
      <c r="A5" s="4">
        <v>1</v>
      </c>
      <c r="B5" s="17" t="s">
        <v>944</v>
      </c>
      <c r="C5" s="838" t="s">
        <v>945</v>
      </c>
      <c r="D5" s="838">
        <v>1</v>
      </c>
    </row>
    <row r="6" ht="25" customHeight="1" spans="1:4">
      <c r="A6" s="4">
        <v>2</v>
      </c>
      <c r="B6" s="43" t="s">
        <v>946</v>
      </c>
      <c r="C6" s="1200" t="s">
        <v>947</v>
      </c>
      <c r="D6" s="49">
        <v>10</v>
      </c>
    </row>
    <row r="7" ht="25" customHeight="1" spans="1:4">
      <c r="A7" s="4">
        <v>3</v>
      </c>
      <c r="B7" s="43" t="s">
        <v>948</v>
      </c>
      <c r="C7" s="1200" t="s">
        <v>949</v>
      </c>
      <c r="D7" s="49">
        <v>15</v>
      </c>
    </row>
    <row r="8" ht="25" customHeight="1" spans="1:4">
      <c r="A8" s="4">
        <v>4</v>
      </c>
      <c r="B8" s="43" t="s">
        <v>950</v>
      </c>
      <c r="C8" s="1200" t="s">
        <v>951</v>
      </c>
      <c r="D8" s="49">
        <v>19</v>
      </c>
    </row>
    <row r="9" ht="25" customHeight="1" spans="1:4">
      <c r="A9" s="4">
        <v>5</v>
      </c>
      <c r="B9" s="43" t="s">
        <v>952</v>
      </c>
      <c r="C9" s="1200" t="s">
        <v>953</v>
      </c>
      <c r="D9" s="49">
        <v>13</v>
      </c>
    </row>
    <row r="10" ht="25" customHeight="1" spans="1:4">
      <c r="A10" s="4">
        <v>6</v>
      </c>
      <c r="B10" s="43" t="s">
        <v>954</v>
      </c>
      <c r="C10" s="1200" t="s">
        <v>955</v>
      </c>
      <c r="D10" s="49">
        <v>17</v>
      </c>
    </row>
    <row r="11" ht="25" customHeight="1" spans="1:4">
      <c r="A11" s="4">
        <v>7</v>
      </c>
      <c r="B11" s="43" t="s">
        <v>790</v>
      </c>
      <c r="C11" s="1200" t="s">
        <v>956</v>
      </c>
      <c r="D11" s="49">
        <v>26</v>
      </c>
    </row>
    <row r="12" ht="25" customHeight="1" spans="1:4">
      <c r="A12" s="4">
        <v>8</v>
      </c>
      <c r="B12" s="43" t="s">
        <v>957</v>
      </c>
      <c r="C12" s="1200" t="s">
        <v>958</v>
      </c>
      <c r="D12" s="49">
        <v>17</v>
      </c>
    </row>
    <row r="13" ht="25" customHeight="1" spans="1:4">
      <c r="A13" s="4">
        <v>9</v>
      </c>
      <c r="B13" s="43" t="s">
        <v>959</v>
      </c>
      <c r="C13" s="1200" t="s">
        <v>960</v>
      </c>
      <c r="D13" s="49">
        <v>30</v>
      </c>
    </row>
    <row r="14" ht="25" customHeight="1" spans="1:4">
      <c r="A14" s="4">
        <v>10</v>
      </c>
      <c r="B14" s="43" t="s">
        <v>961</v>
      </c>
      <c r="C14" s="1200" t="s">
        <v>962</v>
      </c>
      <c r="D14" s="49">
        <f>26+14</f>
        <v>40</v>
      </c>
    </row>
    <row r="15" ht="25" customHeight="1" spans="1:4">
      <c r="A15" s="4">
        <v>11</v>
      </c>
      <c r="B15" s="43" t="s">
        <v>963</v>
      </c>
      <c r="C15" s="1200" t="s">
        <v>964</v>
      </c>
      <c r="D15" s="49">
        <v>15</v>
      </c>
    </row>
    <row r="16" ht="25" customHeight="1" spans="1:4">
      <c r="A16" s="4">
        <v>12</v>
      </c>
      <c r="B16" s="43" t="s">
        <v>965</v>
      </c>
      <c r="C16" s="1200" t="s">
        <v>966</v>
      </c>
      <c r="D16" s="49">
        <v>14</v>
      </c>
    </row>
    <row r="17" ht="25" customHeight="1" spans="1:4">
      <c r="A17" s="4">
        <v>13</v>
      </c>
      <c r="B17" s="43" t="s">
        <v>967</v>
      </c>
      <c r="C17" s="1200" t="s">
        <v>968</v>
      </c>
      <c r="D17" s="49">
        <v>3</v>
      </c>
    </row>
    <row r="18" ht="20" customHeight="1" spans="1:4">
      <c r="A18" s="839"/>
      <c r="B18" s="840" t="s">
        <v>971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972</v>
      </c>
      <c r="C20" s="384"/>
      <c r="D20" s="384"/>
    </row>
    <row r="21" ht="25" customHeight="1" spans="1:4">
      <c r="A21" s="4">
        <v>1</v>
      </c>
      <c r="B21" s="43" t="s">
        <v>973</v>
      </c>
      <c r="C21" s="844" t="s">
        <v>945</v>
      </c>
      <c r="D21" s="49">
        <v>18</v>
      </c>
    </row>
    <row r="22" ht="25" customHeight="1" spans="1:4">
      <c r="A22" s="4">
        <v>2</v>
      </c>
      <c r="B22" s="43" t="s">
        <v>974</v>
      </c>
      <c r="C22" s="844" t="s">
        <v>945</v>
      </c>
      <c r="D22" s="49">
        <v>11</v>
      </c>
    </row>
    <row r="23" ht="25" customHeight="1" spans="1:4">
      <c r="A23" s="4">
        <v>3</v>
      </c>
      <c r="B23" s="43" t="s">
        <v>975</v>
      </c>
      <c r="C23" s="844" t="s">
        <v>945</v>
      </c>
      <c r="D23" s="49">
        <v>15</v>
      </c>
    </row>
    <row r="24" ht="25" customHeight="1" spans="1:4">
      <c r="A24" s="4">
        <v>4</v>
      </c>
      <c r="B24" s="43" t="s">
        <v>976</v>
      </c>
      <c r="C24" s="844" t="s">
        <v>945</v>
      </c>
      <c r="D24" s="49">
        <v>41</v>
      </c>
    </row>
    <row r="25" ht="25" customHeight="1" spans="1:4">
      <c r="A25" s="4">
        <v>5</v>
      </c>
      <c r="B25" s="43" t="s">
        <v>977</v>
      </c>
      <c r="C25" s="844" t="s">
        <v>945</v>
      </c>
      <c r="D25" s="49">
        <v>4</v>
      </c>
    </row>
    <row r="26" ht="25" customHeight="1" spans="1:4">
      <c r="A26" s="4">
        <v>6</v>
      </c>
      <c r="B26" s="43" t="s">
        <v>978</v>
      </c>
      <c r="C26" s="844" t="s">
        <v>945</v>
      </c>
      <c r="D26" s="49">
        <v>5</v>
      </c>
    </row>
    <row r="27" ht="25" customHeight="1" spans="1:4">
      <c r="A27" s="845"/>
      <c r="B27" s="846" t="s">
        <v>979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980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1">
      <c r="A2" s="76" t="s">
        <v>981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1:11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982</v>
      </c>
      <c r="F4" s="218" t="s">
        <v>983</v>
      </c>
      <c r="G4" s="218" t="s">
        <v>984</v>
      </c>
      <c r="H4" s="218" t="s">
        <v>985</v>
      </c>
      <c r="I4" s="218" t="s">
        <v>986</v>
      </c>
      <c r="J4" s="218" t="s">
        <v>987</v>
      </c>
      <c r="K4" s="820" t="s">
        <v>988</v>
      </c>
    </row>
    <row r="5" ht="17.25" customHeight="1" spans="1:11">
      <c r="C5" s="8"/>
      <c r="D5" s="8"/>
      <c r="E5" s="82" t="s">
        <v>21</v>
      </c>
      <c r="F5" s="82"/>
      <c r="G5" s="82" t="s">
        <v>21</v>
      </c>
      <c r="H5" s="82" t="s">
        <v>21</v>
      </c>
      <c r="I5" s="82" t="s">
        <v>21</v>
      </c>
      <c r="J5" s="82"/>
      <c r="K5" s="820" t="s">
        <v>989</v>
      </c>
    </row>
    <row r="6" customHeight="1" spans="1:11">
      <c r="A6" s="9" t="s">
        <v>22</v>
      </c>
      <c r="B6" s="8" t="s">
        <v>23</v>
      </c>
      <c r="C6" s="8"/>
      <c r="D6" s="8"/>
      <c r="E6" s="82"/>
      <c r="F6" s="82"/>
      <c r="G6" s="821"/>
      <c r="H6" s="82"/>
      <c r="I6" s="21"/>
      <c r="J6" s="21"/>
      <c r="K6" s="820" t="s">
        <v>990</v>
      </c>
    </row>
    <row r="7" customHeight="1" spans="1:11">
      <c r="A7" s="10">
        <v>1</v>
      </c>
      <c r="B7" s="11" t="s">
        <v>24</v>
      </c>
      <c r="C7" s="12" t="s">
        <v>25</v>
      </c>
      <c r="D7" s="12" t="s">
        <v>26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0" t="s">
        <v>991</v>
      </c>
    </row>
    <row r="8" customHeight="1" spans="1:11">
      <c r="A8" s="10">
        <v>2</v>
      </c>
      <c r="B8" s="11" t="s">
        <v>27</v>
      </c>
      <c r="C8" s="12" t="s">
        <v>28</v>
      </c>
      <c r="D8" s="10" t="s">
        <v>29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0" t="s">
        <v>992</v>
      </c>
    </row>
    <row r="9" customHeight="1" spans="1:11">
      <c r="A9" s="10">
        <v>3</v>
      </c>
      <c r="B9" s="14" t="s">
        <v>30</v>
      </c>
      <c r="C9" s="4" t="s">
        <v>31</v>
      </c>
      <c r="D9" s="10" t="s">
        <v>29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2" t="s">
        <v>338</v>
      </c>
    </row>
    <row r="10" customHeight="1" spans="1:11">
      <c r="A10" s="10">
        <v>4</v>
      </c>
      <c r="B10" s="11" t="s">
        <v>32</v>
      </c>
      <c r="C10" s="17" t="s">
        <v>33</v>
      </c>
      <c r="D10" s="10" t="s">
        <v>29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0" t="s">
        <v>993</v>
      </c>
    </row>
    <row r="11" customHeight="1" spans="1:11">
      <c r="A11" s="10">
        <v>6</v>
      </c>
      <c r="B11" s="11" t="s">
        <v>34</v>
      </c>
      <c r="C11" s="12" t="s">
        <v>910</v>
      </c>
      <c r="D11" s="15" t="s">
        <v>39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0" t="s">
        <v>994</v>
      </c>
    </row>
    <row r="12" customHeight="1" spans="1:11">
      <c r="A12" s="10">
        <v>7</v>
      </c>
      <c r="B12" s="11" t="s">
        <v>37</v>
      </c>
      <c r="C12" s="4" t="s">
        <v>38</v>
      </c>
      <c r="D12" s="10" t="s">
        <v>42</v>
      </c>
      <c r="E12" s="85">
        <v>582118.083333333</v>
      </c>
      <c r="F12" s="10" t="s">
        <v>50</v>
      </c>
      <c r="G12" s="823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4" t="s">
        <v>995</v>
      </c>
    </row>
    <row r="13" customHeight="1" spans="1:11">
      <c r="A13" s="10">
        <v>8</v>
      </c>
      <c r="B13" s="11" t="s">
        <v>40</v>
      </c>
      <c r="C13" s="4" t="s">
        <v>643</v>
      </c>
      <c r="D13" s="15" t="s">
        <v>192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0" t="s">
        <v>996</v>
      </c>
    </row>
    <row r="14" customHeight="1" spans="1:11">
      <c r="A14" s="10">
        <v>9</v>
      </c>
      <c r="B14" s="14" t="s">
        <v>43</v>
      </c>
      <c r="C14" s="17" t="s">
        <v>44</v>
      </c>
      <c r="D14" s="15" t="s">
        <v>42</v>
      </c>
      <c r="E14" s="85">
        <v>582118.083333333</v>
      </c>
      <c r="F14" s="10" t="s">
        <v>50</v>
      </c>
      <c r="G14" s="823">
        <v>601396.833333333</v>
      </c>
      <c r="H14" s="85">
        <f t="shared" si="0"/>
        <v>19278.75</v>
      </c>
      <c r="I14" s="85">
        <f t="shared" si="1"/>
        <v>77115</v>
      </c>
      <c r="J14" s="85"/>
      <c r="K14" s="820" t="s">
        <v>997</v>
      </c>
    </row>
    <row r="15" customHeight="1" spans="1:11">
      <c r="A15" s="10">
        <v>10</v>
      </c>
      <c r="B15" s="11" t="s">
        <v>45</v>
      </c>
      <c r="C15" s="4" t="s">
        <v>46</v>
      </c>
      <c r="D15" s="10" t="s">
        <v>53</v>
      </c>
      <c r="E15" s="85">
        <v>442746.5</v>
      </c>
      <c r="F15" s="10" t="s">
        <v>214</v>
      </c>
      <c r="G15" s="825">
        <v>456622.25</v>
      </c>
      <c r="H15" s="85">
        <f t="shared" si="0"/>
        <v>13875.75</v>
      </c>
      <c r="I15" s="85">
        <f t="shared" si="1"/>
        <v>55503</v>
      </c>
      <c r="J15" s="85"/>
      <c r="K15" s="820" t="s">
        <v>307</v>
      </c>
    </row>
    <row r="16" customHeight="1" spans="1:11">
      <c r="A16" s="10">
        <v>11</v>
      </c>
      <c r="B16" s="11" t="s">
        <v>48</v>
      </c>
      <c r="C16" s="4" t="s">
        <v>49</v>
      </c>
      <c r="D16" s="10" t="s">
        <v>42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0" t="s">
        <v>998</v>
      </c>
    </row>
    <row r="17" customHeight="1" spans="1:11">
      <c r="A17" s="10">
        <v>12</v>
      </c>
      <c r="B17" s="11" t="s">
        <v>51</v>
      </c>
      <c r="C17" s="12" t="s">
        <v>61</v>
      </c>
      <c r="D17" s="15" t="s">
        <v>601</v>
      </c>
      <c r="E17" s="85">
        <v>428915.916666667</v>
      </c>
      <c r="F17" s="15" t="s">
        <v>56</v>
      </c>
      <c r="G17" s="823">
        <v>441804.916666667</v>
      </c>
      <c r="H17" s="85">
        <f t="shared" si="0"/>
        <v>12889</v>
      </c>
      <c r="I17" s="85">
        <f t="shared" si="1"/>
        <v>51556</v>
      </c>
      <c r="J17" s="85"/>
      <c r="K17" s="822" t="s">
        <v>999</v>
      </c>
    </row>
    <row r="18" customHeight="1" spans="1:11">
      <c r="A18" s="10">
        <v>13</v>
      </c>
      <c r="B18" s="18" t="s">
        <v>54</v>
      </c>
      <c r="C18" s="4" t="s">
        <v>55</v>
      </c>
      <c r="D18" s="15" t="s">
        <v>59</v>
      </c>
      <c r="E18" s="85">
        <v>416026.916666667</v>
      </c>
      <c r="F18" s="15" t="s">
        <v>644</v>
      </c>
      <c r="G18" s="825">
        <v>428915.916666667</v>
      </c>
      <c r="H18" s="85">
        <f t="shared" si="0"/>
        <v>12889</v>
      </c>
      <c r="I18" s="85">
        <f t="shared" si="1"/>
        <v>51556</v>
      </c>
      <c r="J18" s="85"/>
      <c r="K18" s="822" t="s">
        <v>1000</v>
      </c>
    </row>
    <row r="19" customHeight="1" spans="1:11">
      <c r="A19" s="10">
        <v>14</v>
      </c>
      <c r="B19" s="18" t="s">
        <v>57</v>
      </c>
      <c r="C19" s="4" t="s">
        <v>58</v>
      </c>
      <c r="D19" s="15" t="s">
        <v>1001</v>
      </c>
      <c r="E19" s="680">
        <f>'[3]Annual &amp; Monthly'!$H$40</f>
        <v>390248.916666667</v>
      </c>
      <c r="F19" s="15" t="s">
        <v>602</v>
      </c>
      <c r="G19" s="826">
        <v>403138</v>
      </c>
      <c r="H19" s="85">
        <f t="shared" si="0"/>
        <v>12889.0833333333</v>
      </c>
      <c r="I19" s="85">
        <f t="shared" si="1"/>
        <v>51556.3333333333</v>
      </c>
      <c r="J19" s="85"/>
      <c r="K19" s="820" t="s">
        <v>1002</v>
      </c>
    </row>
    <row r="20" customHeight="1" spans="1:11">
      <c r="A20" s="10">
        <v>15</v>
      </c>
      <c r="B20" s="18" t="s">
        <v>60</v>
      </c>
      <c r="C20" s="4" t="s">
        <v>61</v>
      </c>
      <c r="D20" s="15" t="s">
        <v>1001</v>
      </c>
      <c r="E20" s="680">
        <v>390248.916666667</v>
      </c>
      <c r="F20" s="15" t="s">
        <v>602</v>
      </c>
      <c r="G20" s="826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0" t="s">
        <v>1003</v>
      </c>
    </row>
    <row r="21" customHeight="1" spans="1:11">
      <c r="A21" s="27">
        <v>11</v>
      </c>
      <c r="B21" s="11" t="s">
        <v>62</v>
      </c>
      <c r="C21" s="12" t="s">
        <v>645</v>
      </c>
      <c r="D21" s="15" t="s">
        <v>173</v>
      </c>
      <c r="E21" s="85">
        <v>390086.5</v>
      </c>
      <c r="F21" s="15" t="s">
        <v>261</v>
      </c>
      <c r="G21" s="825">
        <v>402278</v>
      </c>
      <c r="H21" s="85">
        <f t="shared" si="0"/>
        <v>12191.5</v>
      </c>
      <c r="I21" s="85">
        <f t="shared" si="1"/>
        <v>48766</v>
      </c>
      <c r="J21" s="85"/>
      <c r="K21" s="820" t="s">
        <v>193</v>
      </c>
    </row>
    <row r="22" ht="18.75" customHeight="1" spans="1:11">
      <c r="A22" s="10">
        <v>16</v>
      </c>
      <c r="B22" s="11" t="s">
        <v>65</v>
      </c>
      <c r="C22" s="12" t="s">
        <v>178</v>
      </c>
      <c r="D22" s="15" t="s">
        <v>70</v>
      </c>
      <c r="E22" s="85">
        <v>377895.166666667</v>
      </c>
      <c r="F22" s="15" t="s">
        <v>173</v>
      </c>
      <c r="G22" s="825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1">
      <c r="A23" s="10">
        <v>17</v>
      </c>
      <c r="B23" s="14" t="s">
        <v>68</v>
      </c>
      <c r="C23" s="17" t="s">
        <v>69</v>
      </c>
      <c r="D23" s="10" t="s">
        <v>180</v>
      </c>
      <c r="E23" s="85">
        <v>353512.5</v>
      </c>
      <c r="F23" s="10" t="s">
        <v>131</v>
      </c>
      <c r="G23" s="825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1">
      <c r="A24" s="10">
        <v>18</v>
      </c>
      <c r="B24" s="11" t="s">
        <v>71</v>
      </c>
      <c r="C24" s="17" t="s">
        <v>72</v>
      </c>
      <c r="D24" s="15" t="s">
        <v>180</v>
      </c>
      <c r="E24" s="85">
        <v>353512.5</v>
      </c>
      <c r="F24" s="15" t="s">
        <v>131</v>
      </c>
      <c r="G24" s="825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1">
      <c r="A25" s="10">
        <v>19</v>
      </c>
      <c r="B25" s="14" t="s">
        <v>73</v>
      </c>
      <c r="C25" s="17" t="s">
        <v>74</v>
      </c>
      <c r="D25" s="10" t="s">
        <v>81</v>
      </c>
      <c r="E25" s="85">
        <v>293029.666666667</v>
      </c>
      <c r="F25" s="10"/>
      <c r="G25" s="10"/>
      <c r="H25" s="10"/>
      <c r="I25" s="10"/>
      <c r="J25" s="85"/>
    </row>
    <row r="26" customHeight="1" spans="1:11">
      <c r="A26" s="10">
        <v>20</v>
      </c>
      <c r="B26" s="14" t="s">
        <v>76</v>
      </c>
      <c r="C26" s="17" t="s">
        <v>77</v>
      </c>
      <c r="D26" s="10" t="s">
        <v>81</v>
      </c>
      <c r="E26" s="85">
        <v>293029.666666667</v>
      </c>
      <c r="F26" s="10" t="s">
        <v>75</v>
      </c>
      <c r="G26" s="825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1">
      <c r="A27" s="10">
        <v>21</v>
      </c>
      <c r="B27" s="4" t="s">
        <v>478</v>
      </c>
      <c r="C27" s="4" t="s">
        <v>94</v>
      </c>
      <c r="D27" s="10" t="s">
        <v>86</v>
      </c>
      <c r="E27" s="85">
        <v>270481.666666667</v>
      </c>
      <c r="F27" s="10" t="s">
        <v>156</v>
      </c>
      <c r="G27" s="823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1">
      <c r="A28" s="10">
        <v>22</v>
      </c>
      <c r="B28" s="18" t="s">
        <v>79</v>
      </c>
      <c r="C28" s="12" t="s">
        <v>94</v>
      </c>
      <c r="D28" s="15" t="s">
        <v>86</v>
      </c>
      <c r="E28" s="85">
        <v>270481.666666667</v>
      </c>
      <c r="F28" s="15" t="s">
        <v>156</v>
      </c>
      <c r="G28" s="823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1">
      <c r="A29" s="10">
        <v>23</v>
      </c>
      <c r="B29" s="11" t="s">
        <v>82</v>
      </c>
      <c r="C29" s="17" t="s">
        <v>69</v>
      </c>
      <c r="D29" s="10" t="s">
        <v>86</v>
      </c>
      <c r="E29" s="85">
        <v>270481.666666667</v>
      </c>
      <c r="F29" s="10" t="s">
        <v>156</v>
      </c>
      <c r="G29" s="823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1">
      <c r="A30" s="10">
        <v>24</v>
      </c>
      <c r="B30" s="18" t="s">
        <v>84</v>
      </c>
      <c r="C30" s="12" t="s">
        <v>85</v>
      </c>
      <c r="D30" s="15" t="s">
        <v>99</v>
      </c>
      <c r="E30" s="85">
        <v>263165.333333333</v>
      </c>
      <c r="F30" s="15" t="s">
        <v>86</v>
      </c>
      <c r="G30" s="825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1">
      <c r="A31" s="10">
        <v>25</v>
      </c>
      <c r="B31" s="18" t="s">
        <v>87</v>
      </c>
      <c r="C31" s="4" t="s">
        <v>88</v>
      </c>
      <c r="D31" s="10" t="s">
        <v>225</v>
      </c>
      <c r="E31" s="85">
        <v>255849</v>
      </c>
      <c r="F31" s="10" t="s">
        <v>99</v>
      </c>
      <c r="G31" s="825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1">
      <c r="A32" s="10">
        <v>26</v>
      </c>
      <c r="B32" s="18" t="s">
        <v>89</v>
      </c>
      <c r="C32" s="4" t="s">
        <v>88</v>
      </c>
      <c r="D32" s="10" t="s">
        <v>225</v>
      </c>
      <c r="E32" s="85">
        <v>255849</v>
      </c>
      <c r="F32" s="10" t="s">
        <v>99</v>
      </c>
      <c r="G32" s="825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91</v>
      </c>
      <c r="C33" s="17" t="s">
        <v>646</v>
      </c>
      <c r="D33" s="15" t="s">
        <v>86</v>
      </c>
      <c r="E33" s="85">
        <v>270481.666666667</v>
      </c>
      <c r="F33" s="15" t="s">
        <v>156</v>
      </c>
      <c r="G33" s="823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93</v>
      </c>
      <c r="C34" s="4" t="s">
        <v>94</v>
      </c>
      <c r="D34" s="10" t="s">
        <v>225</v>
      </c>
      <c r="E34" s="85">
        <v>255849</v>
      </c>
      <c r="F34" s="10" t="s">
        <v>99</v>
      </c>
      <c r="G34" s="825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95</v>
      </c>
      <c r="C35" s="4" t="s">
        <v>647</v>
      </c>
      <c r="D35" s="10" t="s">
        <v>225</v>
      </c>
      <c r="E35" s="85">
        <v>255849</v>
      </c>
      <c r="F35" s="10" t="s">
        <v>99</v>
      </c>
      <c r="G35" s="825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103</v>
      </c>
      <c r="C36" s="12" t="s">
        <v>104</v>
      </c>
      <c r="D36" s="15" t="s">
        <v>111</v>
      </c>
      <c r="E36" s="85">
        <v>224459.75</v>
      </c>
      <c r="F36" s="15" t="s">
        <v>108</v>
      </c>
      <c r="G36" s="823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106</v>
      </c>
      <c r="C37" s="12" t="s">
        <v>107</v>
      </c>
      <c r="D37" s="15" t="s">
        <v>275</v>
      </c>
      <c r="E37" s="680">
        <v>218287.583333333</v>
      </c>
      <c r="F37" s="15" t="s">
        <v>111</v>
      </c>
      <c r="G37" s="825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120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7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121</v>
      </c>
      <c r="C40" s="4"/>
      <c r="D40" s="15"/>
      <c r="E40" s="85"/>
      <c r="F40" s="85"/>
      <c r="G40" s="825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122</v>
      </c>
      <c r="C41" s="4" t="s">
        <v>123</v>
      </c>
      <c r="D41" s="10" t="s">
        <v>124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127</v>
      </c>
      <c r="C42" s="4" t="s">
        <v>128</v>
      </c>
      <c r="D42" s="10" t="s">
        <v>81</v>
      </c>
      <c r="E42" s="85">
        <v>293029.666666667</v>
      </c>
      <c r="F42" s="10" t="s">
        <v>75</v>
      </c>
      <c r="G42" s="825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129</v>
      </c>
      <c r="C43" s="4" t="s">
        <v>128</v>
      </c>
      <c r="D43" s="15" t="s">
        <v>75</v>
      </c>
      <c r="E43" s="85">
        <v>300965.583333333</v>
      </c>
      <c r="F43" s="15" t="s">
        <v>78</v>
      </c>
      <c r="G43" s="825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133</v>
      </c>
      <c r="C44" s="4" t="s">
        <v>134</v>
      </c>
      <c r="D44" s="15" t="s">
        <v>225</v>
      </c>
      <c r="E44" s="680">
        <f>'[3]Annual &amp; Monthly'!$H$37</f>
        <v>255849</v>
      </c>
      <c r="F44" s="15" t="s">
        <v>99</v>
      </c>
      <c r="G44" s="826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23188.1666666661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7"/>
      <c r="H46" s="85">
        <f t="shared" si="2"/>
        <v>0</v>
      </c>
      <c r="I46" s="221"/>
      <c r="J46" s="221"/>
    </row>
    <row r="47" customHeight="1" spans="1:10">
      <c r="A47" s="10"/>
      <c r="B47" s="23" t="s">
        <v>137</v>
      </c>
      <c r="C47" s="5"/>
      <c r="D47" s="24"/>
      <c r="E47" s="221"/>
      <c r="F47" s="221"/>
      <c r="G47" s="827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138</v>
      </c>
      <c r="C48" s="4" t="s">
        <v>648</v>
      </c>
      <c r="D48" s="10" t="s">
        <v>210</v>
      </c>
      <c r="E48" s="85">
        <v>739203.583333333</v>
      </c>
      <c r="F48" s="10" t="s">
        <v>36</v>
      </c>
      <c r="G48" s="825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141</v>
      </c>
      <c r="C49" s="4" t="s">
        <v>145</v>
      </c>
      <c r="D49" s="10" t="s">
        <v>39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144</v>
      </c>
      <c r="C50" s="4" t="s">
        <v>145</v>
      </c>
      <c r="D50" s="10" t="s">
        <v>39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146</v>
      </c>
      <c r="C51" s="4" t="s">
        <v>145</v>
      </c>
      <c r="D51" s="10" t="s">
        <v>42</v>
      </c>
      <c r="E51" s="85">
        <v>582118.083333333</v>
      </c>
      <c r="F51" s="10" t="s">
        <v>50</v>
      </c>
      <c r="G51" s="825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147</v>
      </c>
      <c r="C52" s="4" t="s">
        <v>145</v>
      </c>
      <c r="D52" s="10" t="s">
        <v>42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1004</v>
      </c>
    </row>
    <row r="53" customHeight="1" spans="1:10">
      <c r="A53" s="10">
        <v>7</v>
      </c>
      <c r="B53" s="11" t="s">
        <v>151</v>
      </c>
      <c r="C53" s="4" t="s">
        <v>152</v>
      </c>
      <c r="D53" s="10" t="s">
        <v>75</v>
      </c>
      <c r="E53" s="85">
        <v>300965.583333333</v>
      </c>
      <c r="F53" s="10" t="s">
        <v>78</v>
      </c>
      <c r="G53" s="825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155</v>
      </c>
      <c r="C54" s="4" t="s">
        <v>152</v>
      </c>
      <c r="D54" s="10" t="s">
        <v>99</v>
      </c>
      <c r="E54" s="85">
        <v>263165.333333333</v>
      </c>
      <c r="F54" s="10" t="s">
        <v>86</v>
      </c>
      <c r="G54" s="825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157</v>
      </c>
      <c r="C55" s="4" t="s">
        <v>152</v>
      </c>
      <c r="D55" s="10" t="s">
        <v>99</v>
      </c>
      <c r="E55" s="85">
        <v>263165.333333333</v>
      </c>
      <c r="F55" s="10" t="s">
        <v>86</v>
      </c>
      <c r="G55" s="825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120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56"/>
      <c r="F57" s="21"/>
      <c r="G57" s="828"/>
      <c r="H57" s="85"/>
      <c r="I57" s="156"/>
      <c r="J57" s="156"/>
    </row>
    <row r="58" customHeight="1" spans="1:10">
      <c r="A58" s="10"/>
      <c r="B58" s="20" t="s">
        <v>159</v>
      </c>
      <c r="C58" s="21"/>
      <c r="D58" s="21"/>
      <c r="E58" s="156"/>
      <c r="F58" s="21"/>
      <c r="G58" s="828"/>
      <c r="H58" s="85"/>
      <c r="I58" s="156"/>
      <c r="J58" s="156"/>
    </row>
    <row r="59" customHeight="1" spans="1:10">
      <c r="A59" s="10">
        <v>1</v>
      </c>
      <c r="B59" s="11" t="s">
        <v>160</v>
      </c>
      <c r="C59" s="12" t="s">
        <v>161</v>
      </c>
      <c r="D59" s="15" t="s">
        <v>124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162</v>
      </c>
      <c r="C60" s="12" t="s">
        <v>485</v>
      </c>
      <c r="D60" s="15" t="s">
        <v>486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120</v>
      </c>
      <c r="C61" s="21">
        <v>2</v>
      </c>
      <c r="D61" s="21"/>
      <c r="E61" s="93">
        <f>SUM(E59:E60)</f>
        <v>2056395.58333333</v>
      </c>
      <c r="F61" s="21"/>
      <c r="G61" s="829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56"/>
      <c r="F62" s="21"/>
      <c r="G62" s="828"/>
      <c r="H62" s="85"/>
      <c r="I62" s="156"/>
      <c r="J62" s="156"/>
    </row>
    <row r="63" customHeight="1" spans="1:10">
      <c r="A63" s="10"/>
      <c r="B63" s="20" t="s">
        <v>164</v>
      </c>
      <c r="C63" s="21"/>
      <c r="D63" s="21"/>
      <c r="E63" s="156"/>
      <c r="F63" s="21"/>
      <c r="G63" s="828"/>
      <c r="H63" s="85"/>
      <c r="I63" s="156"/>
      <c r="J63" s="156"/>
    </row>
    <row r="64" customHeight="1" spans="1:10">
      <c r="A64" s="10">
        <v>1</v>
      </c>
      <c r="B64" s="14" t="s">
        <v>165</v>
      </c>
      <c r="C64" s="4" t="s">
        <v>166</v>
      </c>
      <c r="D64" s="10" t="s">
        <v>36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167</v>
      </c>
      <c r="C65" s="4" t="s">
        <v>52</v>
      </c>
      <c r="D65" s="10" t="s">
        <v>53</v>
      </c>
      <c r="E65" s="85">
        <v>442746.5</v>
      </c>
      <c r="F65" s="10" t="s">
        <v>214</v>
      </c>
      <c r="G65" s="825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171</v>
      </c>
      <c r="C66" s="4" t="s">
        <v>152</v>
      </c>
      <c r="D66" s="10" t="s">
        <v>131</v>
      </c>
      <c r="E66" s="85">
        <v>365703.833333333</v>
      </c>
      <c r="F66" s="10" t="s">
        <v>70</v>
      </c>
      <c r="G66" s="825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172</v>
      </c>
      <c r="C67" s="17" t="s">
        <v>72</v>
      </c>
      <c r="D67" s="10" t="s">
        <v>131</v>
      </c>
      <c r="E67" s="85">
        <v>365703.833333333</v>
      </c>
      <c r="F67" s="10" t="s">
        <v>70</v>
      </c>
      <c r="G67" s="825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174</v>
      </c>
      <c r="C68" s="17" t="s">
        <v>72</v>
      </c>
      <c r="D68" s="10" t="s">
        <v>131</v>
      </c>
      <c r="E68" s="85">
        <v>365703.833333333</v>
      </c>
      <c r="F68" s="10" t="s">
        <v>70</v>
      </c>
      <c r="G68" s="825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175</v>
      </c>
      <c r="C69" s="4" t="s">
        <v>649</v>
      </c>
      <c r="D69" s="10" t="s">
        <v>70</v>
      </c>
      <c r="E69" s="457">
        <v>377895.166666667</v>
      </c>
      <c r="F69" s="10" t="s">
        <v>173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179</v>
      </c>
      <c r="C70" s="4" t="s">
        <v>152</v>
      </c>
      <c r="D70" s="10" t="s">
        <v>75</v>
      </c>
      <c r="E70" s="220">
        <v>300965.583333333</v>
      </c>
      <c r="F70" s="10" t="s">
        <v>78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120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56"/>
      <c r="F72" s="21"/>
      <c r="G72" s="828"/>
      <c r="H72" s="85">
        <f t="shared" ref="H71:H103" si="5">G72-E72</f>
        <v>0</v>
      </c>
      <c r="I72" s="156"/>
      <c r="J72" s="156"/>
    </row>
    <row r="73" customHeight="1" spans="1:10">
      <c r="A73" s="10"/>
      <c r="B73" s="20" t="s">
        <v>183</v>
      </c>
      <c r="C73" s="21"/>
      <c r="D73" s="21"/>
      <c r="E73" s="156"/>
      <c r="F73" s="21"/>
      <c r="G73" s="828"/>
      <c r="H73" s="85">
        <f t="shared" si="5"/>
        <v>0</v>
      </c>
      <c r="I73" s="156"/>
      <c r="J73" s="156"/>
    </row>
    <row r="74" customHeight="1" spans="1:10">
      <c r="A74" s="10">
        <v>1</v>
      </c>
      <c r="B74" s="11" t="s">
        <v>184</v>
      </c>
      <c r="C74" s="4" t="s">
        <v>185</v>
      </c>
      <c r="D74" s="10" t="s">
        <v>124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188</v>
      </c>
      <c r="C75" s="4" t="s">
        <v>189</v>
      </c>
      <c r="D75" s="10" t="s">
        <v>42</v>
      </c>
      <c r="E75" s="85">
        <v>582118.083333333</v>
      </c>
      <c r="F75" s="10"/>
      <c r="G75" s="825"/>
      <c r="H75" s="85"/>
      <c r="I75" s="85"/>
      <c r="J75" s="85"/>
    </row>
    <row r="76" customHeight="1" spans="1:10">
      <c r="A76" s="10">
        <v>3</v>
      </c>
      <c r="B76" s="11" t="s">
        <v>190</v>
      </c>
      <c r="C76" s="4" t="s">
        <v>191</v>
      </c>
      <c r="D76" s="15" t="s">
        <v>214</v>
      </c>
      <c r="E76" s="85">
        <v>456622.25</v>
      </c>
      <c r="F76" s="15" t="s">
        <v>47</v>
      </c>
      <c r="G76" s="825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197</v>
      </c>
      <c r="C77" s="4" t="s">
        <v>198</v>
      </c>
      <c r="D77" s="10" t="s">
        <v>180</v>
      </c>
      <c r="E77" s="85">
        <v>353512.5</v>
      </c>
      <c r="F77" s="189" t="s">
        <v>131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1004</v>
      </c>
    </row>
    <row r="78" customHeight="1" spans="1:10">
      <c r="A78" s="10">
        <v>5</v>
      </c>
      <c r="B78" s="11" t="s">
        <v>201</v>
      </c>
      <c r="C78" s="4" t="s">
        <v>182</v>
      </c>
      <c r="D78" s="10" t="s">
        <v>99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1004</v>
      </c>
    </row>
    <row r="79" customHeight="1" spans="1:10">
      <c r="A79" s="10">
        <v>6</v>
      </c>
      <c r="B79" s="11" t="s">
        <v>203</v>
      </c>
      <c r="C79" s="4" t="s">
        <v>204</v>
      </c>
      <c r="D79" s="10" t="s">
        <v>111</v>
      </c>
      <c r="E79" s="85">
        <v>224459.75</v>
      </c>
      <c r="F79" s="10" t="s">
        <v>108</v>
      </c>
      <c r="G79" s="825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120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56"/>
      <c r="F81" s="21"/>
      <c r="G81" s="828"/>
      <c r="H81" s="85">
        <f t="shared" si="5"/>
        <v>0</v>
      </c>
      <c r="I81" s="156"/>
      <c r="J81" s="156"/>
    </row>
    <row r="82" customHeight="1" spans="1:10">
      <c r="A82" s="10"/>
      <c r="B82" s="20" t="s">
        <v>205</v>
      </c>
      <c r="C82" s="25"/>
      <c r="D82" s="21"/>
      <c r="E82" s="156"/>
      <c r="F82" s="21"/>
      <c r="G82" s="828"/>
      <c r="H82" s="85">
        <f t="shared" si="5"/>
        <v>0</v>
      </c>
      <c r="I82" s="156"/>
      <c r="J82" s="156"/>
    </row>
    <row r="83" customHeight="1" spans="1:10">
      <c r="A83" s="10">
        <v>1</v>
      </c>
      <c r="B83" s="11" t="s">
        <v>206</v>
      </c>
      <c r="C83" s="4" t="s">
        <v>145</v>
      </c>
      <c r="D83" s="10" t="s">
        <v>143</v>
      </c>
      <c r="E83" s="680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208</v>
      </c>
      <c r="C84" s="4" t="s">
        <v>145</v>
      </c>
      <c r="D84" s="10" t="s">
        <v>39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479</v>
      </c>
      <c r="C85" s="4" t="s">
        <v>145</v>
      </c>
      <c r="D85" s="10" t="s">
        <v>42</v>
      </c>
      <c r="E85" s="85">
        <v>582118.083333333</v>
      </c>
      <c r="F85" s="10" t="s">
        <v>50</v>
      </c>
      <c r="G85" s="825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211</v>
      </c>
      <c r="C86" s="4" t="s">
        <v>52</v>
      </c>
      <c r="D86" s="15" t="s">
        <v>53</v>
      </c>
      <c r="E86" s="85">
        <v>442746.5</v>
      </c>
      <c r="F86" s="832" t="s">
        <v>214</v>
      </c>
      <c r="G86" s="825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1004</v>
      </c>
    </row>
    <row r="87" ht="21.6" customHeight="1" spans="1:10">
      <c r="A87" s="10">
        <v>5</v>
      </c>
      <c r="B87" s="11" t="s">
        <v>212</v>
      </c>
      <c r="C87" s="4" t="s">
        <v>52</v>
      </c>
      <c r="D87" s="15" t="s">
        <v>53</v>
      </c>
      <c r="E87" s="85">
        <v>442746.5</v>
      </c>
      <c r="F87" s="15" t="s">
        <v>214</v>
      </c>
      <c r="G87" s="825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213</v>
      </c>
      <c r="C88" s="12" t="s">
        <v>52</v>
      </c>
      <c r="D88" s="15" t="s">
        <v>600</v>
      </c>
      <c r="E88" s="85">
        <v>428870.75</v>
      </c>
      <c r="F88" s="15" t="s">
        <v>53</v>
      </c>
      <c r="G88" s="825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215</v>
      </c>
      <c r="C89" s="17" t="s">
        <v>72</v>
      </c>
      <c r="D89" s="15" t="s">
        <v>131</v>
      </c>
      <c r="E89" s="85">
        <v>365703.833333333</v>
      </c>
      <c r="F89" s="15" t="s">
        <v>70</v>
      </c>
      <c r="G89" s="825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216</v>
      </c>
      <c r="C90" s="17" t="s">
        <v>217</v>
      </c>
      <c r="D90" s="15" t="s">
        <v>67</v>
      </c>
      <c r="E90" s="85">
        <v>390248.916666667</v>
      </c>
      <c r="F90" s="15" t="s">
        <v>64</v>
      </c>
      <c r="G90" s="825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220</v>
      </c>
      <c r="C91" s="4" t="s">
        <v>221</v>
      </c>
      <c r="D91" s="10" t="s">
        <v>75</v>
      </c>
      <c r="E91" s="220">
        <v>300965.583333333</v>
      </c>
      <c r="F91" s="10" t="s">
        <v>78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224</v>
      </c>
      <c r="C92" s="17" t="s">
        <v>505</v>
      </c>
      <c r="D92" s="15" t="s">
        <v>108</v>
      </c>
      <c r="E92" s="220">
        <v>230631.916666667</v>
      </c>
      <c r="F92" s="15" t="s">
        <v>105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120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56"/>
      <c r="F94" s="21"/>
      <c r="G94" s="828"/>
      <c r="H94" s="85"/>
      <c r="I94" s="156"/>
      <c r="J94" s="156"/>
    </row>
    <row r="95" customHeight="1" spans="1:10">
      <c r="A95" s="10"/>
      <c r="B95" s="20" t="s">
        <v>226</v>
      </c>
      <c r="C95" s="21"/>
      <c r="D95" s="21"/>
      <c r="E95" s="156"/>
      <c r="F95" s="21"/>
      <c r="G95" s="828"/>
      <c r="H95" s="85"/>
      <c r="I95" s="156"/>
      <c r="J95" s="156"/>
    </row>
    <row r="96" customHeight="1" spans="1:10">
      <c r="A96" s="10">
        <v>1</v>
      </c>
      <c r="B96" s="14" t="s">
        <v>227</v>
      </c>
      <c r="C96" s="4" t="s">
        <v>650</v>
      </c>
      <c r="D96" s="16" t="s">
        <v>304</v>
      </c>
      <c r="E96" s="85">
        <f>'[3]Annual &amp; Monthly'!$H$44</f>
        <v>1352042.66666667</v>
      </c>
      <c r="F96" s="16" t="s">
        <v>140</v>
      </c>
      <c r="G96" s="825">
        <v>1393881.33333333</v>
      </c>
      <c r="H96" s="85">
        <f t="shared" si="5"/>
        <v>41838.6666666633</v>
      </c>
      <c r="I96" s="85">
        <f>H96*4</f>
        <v>167354.666666653</v>
      </c>
      <c r="J96" s="85"/>
    </row>
    <row r="97" customHeight="1" spans="1:10">
      <c r="A97" s="10">
        <v>2</v>
      </c>
      <c r="B97" s="11" t="s">
        <v>229</v>
      </c>
      <c r="C97" s="4" t="s">
        <v>230</v>
      </c>
      <c r="D97" s="15" t="s">
        <v>214</v>
      </c>
      <c r="E97" s="85">
        <v>456622.25</v>
      </c>
      <c r="F97" s="15" t="s">
        <v>47</v>
      </c>
      <c r="G97" s="825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231</v>
      </c>
      <c r="C98" s="12" t="s">
        <v>232</v>
      </c>
      <c r="D98" s="15" t="s">
        <v>67</v>
      </c>
      <c r="E98" s="85">
        <v>390248.916666667</v>
      </c>
      <c r="F98" s="15" t="s">
        <v>64</v>
      </c>
      <c r="G98" s="825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235</v>
      </c>
      <c r="C99" s="4" t="s">
        <v>651</v>
      </c>
      <c r="D99" s="15" t="s">
        <v>70</v>
      </c>
      <c r="E99" s="85">
        <v>377895.166666667</v>
      </c>
      <c r="F99" s="15" t="s">
        <v>173</v>
      </c>
      <c r="G99" s="825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236</v>
      </c>
      <c r="C100" s="4" t="s">
        <v>200</v>
      </c>
      <c r="D100" s="15" t="s">
        <v>75</v>
      </c>
      <c r="E100" s="220">
        <v>300965.583333333</v>
      </c>
      <c r="F100" s="15" t="s">
        <v>78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120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88730.666666666</v>
      </c>
      <c r="I101" s="93">
        <f>SUM(I96:I100)</f>
        <v>354922.666666653</v>
      </c>
      <c r="J101" s="93"/>
    </row>
    <row r="102" customHeight="1" spans="1:10">
      <c r="A102" s="4"/>
      <c r="B102" s="22"/>
      <c r="C102" s="21"/>
      <c r="D102" s="26"/>
      <c r="E102" s="156"/>
      <c r="F102" s="26"/>
      <c r="G102" s="828"/>
      <c r="H102" s="85">
        <f t="shared" si="5"/>
        <v>0</v>
      </c>
      <c r="I102" s="156"/>
      <c r="J102" s="156"/>
    </row>
    <row r="103" customHeight="1" spans="1:10">
      <c r="A103" s="4"/>
      <c r="B103" s="20" t="s">
        <v>239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652</v>
      </c>
      <c r="C104" s="12" t="s">
        <v>241</v>
      </c>
      <c r="D104" s="15" t="s">
        <v>124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242</v>
      </c>
      <c r="C105" s="4" t="s">
        <v>243</v>
      </c>
      <c r="D105" s="16" t="s">
        <v>36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244</v>
      </c>
      <c r="C106" s="4" t="s">
        <v>653</v>
      </c>
      <c r="D106" s="10" t="s">
        <v>56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246</v>
      </c>
      <c r="C107" s="4" t="s">
        <v>653</v>
      </c>
      <c r="D107" s="10" t="s">
        <v>56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249</v>
      </c>
      <c r="C108" s="4" t="s">
        <v>250</v>
      </c>
      <c r="D108" s="15" t="s">
        <v>928</v>
      </c>
      <c r="E108" s="220">
        <v>249148.416666667</v>
      </c>
      <c r="F108" s="15" t="s">
        <v>603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252</v>
      </c>
      <c r="C109" s="4" t="s">
        <v>250</v>
      </c>
      <c r="D109" s="10" t="s">
        <v>506</v>
      </c>
      <c r="E109" s="220">
        <v>242976.25</v>
      </c>
      <c r="F109" s="834" t="s">
        <v>928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253</v>
      </c>
      <c r="C110" s="4" t="s">
        <v>250</v>
      </c>
      <c r="D110" s="15" t="s">
        <v>108</v>
      </c>
      <c r="E110" s="220">
        <v>230631.916666667</v>
      </c>
      <c r="F110" s="15" t="s">
        <v>105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120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257</v>
      </c>
      <c r="C113" s="21"/>
      <c r="D113" s="21"/>
      <c r="E113" s="156"/>
      <c r="F113" s="21"/>
      <c r="G113" s="828"/>
      <c r="H113" s="85"/>
      <c r="I113" s="156"/>
      <c r="J113" s="156"/>
    </row>
    <row r="114" ht="18.75" customHeight="1" spans="1:10">
      <c r="A114" s="10">
        <v>1</v>
      </c>
      <c r="B114" s="11" t="s">
        <v>259</v>
      </c>
      <c r="C114" s="4" t="s">
        <v>260</v>
      </c>
      <c r="D114" s="15" t="s">
        <v>70</v>
      </c>
      <c r="E114" s="85">
        <v>377895.166666667</v>
      </c>
      <c r="F114" s="15" t="s">
        <v>173</v>
      </c>
      <c r="G114" s="825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193</v>
      </c>
      <c r="C115" s="12" t="s">
        <v>194</v>
      </c>
      <c r="D115" s="15" t="s">
        <v>67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120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9"/>
      <c r="H117" s="85"/>
      <c r="I117" s="93"/>
      <c r="J117" s="93"/>
    </row>
    <row r="118" ht="24.75" customHeight="1" spans="1:10">
      <c r="A118" s="10"/>
      <c r="B118" s="20" t="s">
        <v>268</v>
      </c>
      <c r="C118" s="21"/>
      <c r="D118" s="21"/>
      <c r="E118" s="156"/>
      <c r="F118" s="21"/>
      <c r="G118" s="828"/>
      <c r="H118" s="85"/>
      <c r="I118" s="156"/>
      <c r="J118" s="156"/>
    </row>
    <row r="119" ht="24.75" customHeight="1" spans="1:10">
      <c r="A119" s="10">
        <v>1</v>
      </c>
      <c r="B119" s="14" t="s">
        <v>1005</v>
      </c>
      <c r="C119" s="4" t="s">
        <v>1006</v>
      </c>
      <c r="D119" s="10" t="s">
        <v>275</v>
      </c>
      <c r="E119" s="85">
        <v>218287.583333333</v>
      </c>
      <c r="F119" s="834"/>
      <c r="G119" s="825"/>
      <c r="H119" s="85"/>
      <c r="I119" s="85"/>
      <c r="J119" s="85"/>
    </row>
    <row r="120" ht="24.75" customHeight="1" spans="1:10">
      <c r="A120" s="10">
        <v>2</v>
      </c>
      <c r="B120" s="11" t="s">
        <v>271</v>
      </c>
      <c r="C120" s="4" t="s">
        <v>272</v>
      </c>
      <c r="D120" s="10" t="s">
        <v>275</v>
      </c>
      <c r="E120" s="85">
        <v>218287.583333333</v>
      </c>
      <c r="F120" s="834"/>
      <c r="G120" s="825"/>
      <c r="H120" s="85"/>
      <c r="I120" s="85"/>
      <c r="J120" s="85"/>
    </row>
    <row r="121" ht="24.75" customHeight="1" spans="1:10">
      <c r="A121" s="10">
        <v>3</v>
      </c>
      <c r="B121" s="11" t="s">
        <v>276</v>
      </c>
      <c r="C121" s="4" t="s">
        <v>277</v>
      </c>
      <c r="D121" s="10" t="s">
        <v>275</v>
      </c>
      <c r="E121" s="85">
        <v>218287.583333333</v>
      </c>
      <c r="F121" s="834"/>
      <c r="G121" s="825"/>
      <c r="H121" s="85"/>
      <c r="I121" s="85"/>
      <c r="J121" s="85"/>
    </row>
    <row r="122" customHeight="1" spans="1:10">
      <c r="A122" s="4"/>
      <c r="B122" s="20" t="s">
        <v>120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9"/>
      <c r="H123" s="85">
        <f>G123-E123</f>
        <v>0</v>
      </c>
      <c r="I123" s="93"/>
      <c r="J123" s="93"/>
    </row>
    <row r="124" customHeight="1" spans="1:10">
      <c r="A124" s="4"/>
      <c r="B124" s="20" t="s">
        <v>278</v>
      </c>
      <c r="C124" s="21"/>
      <c r="D124" s="21"/>
      <c r="E124" s="156"/>
      <c r="F124" s="21"/>
      <c r="G124" s="828"/>
      <c r="H124" s="85">
        <f>G124-E124</f>
        <v>0</v>
      </c>
      <c r="I124" s="156"/>
      <c r="J124" s="156"/>
    </row>
    <row r="125" customHeight="1" spans="1:10">
      <c r="A125" s="4">
        <v>1</v>
      </c>
      <c r="B125" s="11" t="s">
        <v>279</v>
      </c>
      <c r="C125" s="12" t="s">
        <v>280</v>
      </c>
      <c r="D125" s="15" t="s">
        <v>124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281</v>
      </c>
      <c r="C126" s="12" t="s">
        <v>654</v>
      </c>
      <c r="D126" s="15" t="s">
        <v>210</v>
      </c>
      <c r="E126" s="85">
        <v>739203.583333333</v>
      </c>
      <c r="F126" s="15" t="s">
        <v>36</v>
      </c>
      <c r="G126" s="825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283</v>
      </c>
      <c r="C127" s="12" t="s">
        <v>655</v>
      </c>
      <c r="D127" s="15" t="s">
        <v>39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286</v>
      </c>
      <c r="C128" s="12" t="s">
        <v>288</v>
      </c>
      <c r="D128" s="15" t="s">
        <v>47</v>
      </c>
      <c r="E128" s="85">
        <v>470498</v>
      </c>
      <c r="F128" s="15" t="s">
        <v>192</v>
      </c>
      <c r="G128" s="825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287</v>
      </c>
      <c r="C129" s="12" t="s">
        <v>656</v>
      </c>
      <c r="D129" s="15" t="s">
        <v>53</v>
      </c>
      <c r="E129" s="85">
        <v>442746.5</v>
      </c>
      <c r="F129" s="15" t="s">
        <v>214</v>
      </c>
      <c r="G129" s="825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289</v>
      </c>
      <c r="C130" s="12" t="s">
        <v>288</v>
      </c>
      <c r="D130" s="15" t="s">
        <v>214</v>
      </c>
      <c r="E130" s="85">
        <v>456622.25</v>
      </c>
      <c r="F130" s="15" t="s">
        <v>47</v>
      </c>
      <c r="G130" s="825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292</v>
      </c>
      <c r="C131" s="12" t="s">
        <v>657</v>
      </c>
      <c r="D131" s="10" t="s">
        <v>86</v>
      </c>
      <c r="E131" s="85">
        <v>270481.666666667</v>
      </c>
      <c r="F131" s="10" t="s">
        <v>156</v>
      </c>
      <c r="G131" s="825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294</v>
      </c>
      <c r="C132" s="12" t="s">
        <v>295</v>
      </c>
      <c r="D132" s="15" t="s">
        <v>111</v>
      </c>
      <c r="E132" s="85">
        <v>224459.75</v>
      </c>
      <c r="F132" s="15" t="s">
        <v>108</v>
      </c>
      <c r="G132" s="825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296</v>
      </c>
      <c r="C133" s="12" t="s">
        <v>291</v>
      </c>
      <c r="D133" s="15" t="s">
        <v>111</v>
      </c>
      <c r="E133" s="85">
        <v>224459.75</v>
      </c>
      <c r="F133" s="15" t="s">
        <v>108</v>
      </c>
      <c r="G133" s="825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297</v>
      </c>
      <c r="C134" s="12" t="s">
        <v>295</v>
      </c>
      <c r="D134" s="15" t="s">
        <v>275</v>
      </c>
      <c r="E134" s="85">
        <v>218287.583333333</v>
      </c>
      <c r="F134" s="15" t="s">
        <v>111</v>
      </c>
      <c r="G134" s="825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120</v>
      </c>
      <c r="C135" s="26" t="s">
        <v>658</v>
      </c>
      <c r="D135" s="15"/>
      <c r="E135" s="156">
        <f>SUM(E125:E134)</f>
        <v>5103154.66666667</v>
      </c>
      <c r="F135" s="156"/>
      <c r="G135" s="156">
        <f>SUM(G125:G134)</f>
        <v>3137388.75</v>
      </c>
      <c r="H135" s="156">
        <f>SUM(H125:H134)</f>
        <v>90629.666666668</v>
      </c>
      <c r="I135" s="85">
        <f t="shared" si="7"/>
        <v>362518.666666672</v>
      </c>
      <c r="J135" s="156"/>
    </row>
    <row r="136" customHeight="1" spans="1:10">
      <c r="A136" s="4"/>
      <c r="B136" s="22"/>
      <c r="C136" s="26"/>
      <c r="D136" s="15"/>
      <c r="E136" s="156"/>
      <c r="F136" s="15"/>
      <c r="G136" s="828"/>
      <c r="H136" s="156"/>
      <c r="I136" s="156"/>
      <c r="J136" s="156"/>
    </row>
    <row r="137" customHeight="1" spans="1:10">
      <c r="A137" s="4"/>
      <c r="B137" s="20" t="s">
        <v>299</v>
      </c>
      <c r="C137" s="12"/>
      <c r="D137" s="15"/>
      <c r="E137" s="85"/>
      <c r="F137" s="15"/>
      <c r="G137" s="825"/>
      <c r="H137" s="85"/>
      <c r="I137" s="85"/>
      <c r="J137" s="85"/>
    </row>
    <row r="138" customHeight="1" spans="1:10">
      <c r="A138" s="27">
        <v>2</v>
      </c>
      <c r="B138" s="14" t="s">
        <v>300</v>
      </c>
      <c r="C138" s="4" t="s">
        <v>301</v>
      </c>
      <c r="D138" s="10" t="s">
        <v>511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302</v>
      </c>
      <c r="C139" s="4" t="s">
        <v>488</v>
      </c>
      <c r="D139" s="16" t="s">
        <v>36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305</v>
      </c>
      <c r="C140" s="12" t="s">
        <v>306</v>
      </c>
      <c r="D140" s="15" t="s">
        <v>42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307</v>
      </c>
      <c r="C141" s="4" t="s">
        <v>489</v>
      </c>
      <c r="D141" s="15" t="s">
        <v>42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309</v>
      </c>
      <c r="C142" s="4" t="s">
        <v>489</v>
      </c>
      <c r="D142" s="15" t="s">
        <v>42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312</v>
      </c>
      <c r="C143" s="12" t="s">
        <v>232</v>
      </c>
      <c r="D143" s="15" t="s">
        <v>67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313</v>
      </c>
      <c r="C144" s="4" t="s">
        <v>659</v>
      </c>
      <c r="D144" s="15" t="s">
        <v>67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315</v>
      </c>
      <c r="C145" s="12" t="s">
        <v>660</v>
      </c>
      <c r="D145" s="15" t="s">
        <v>70</v>
      </c>
      <c r="E145" s="85">
        <v>377895.166666667</v>
      </c>
      <c r="F145" s="15" t="s">
        <v>173</v>
      </c>
      <c r="G145" s="825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317</v>
      </c>
      <c r="C146" s="12" t="s">
        <v>318</v>
      </c>
      <c r="D146" s="15" t="s">
        <v>131</v>
      </c>
      <c r="E146" s="85">
        <v>365703.833333333</v>
      </c>
      <c r="F146" s="15" t="s">
        <v>70</v>
      </c>
      <c r="G146" s="825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319</v>
      </c>
      <c r="C147" s="4" t="s">
        <v>320</v>
      </c>
      <c r="D147" s="15" t="s">
        <v>180</v>
      </c>
      <c r="E147" s="220">
        <v>353512.5</v>
      </c>
      <c r="F147" s="15" t="s">
        <v>131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321</v>
      </c>
      <c r="C148" s="4" t="s">
        <v>320</v>
      </c>
      <c r="D148" s="15" t="s">
        <v>180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322</v>
      </c>
      <c r="C149" s="4" t="s">
        <v>320</v>
      </c>
      <c r="D149" s="15" t="s">
        <v>180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324</v>
      </c>
      <c r="C150" s="4" t="s">
        <v>320</v>
      </c>
      <c r="D150" s="15" t="s">
        <v>180</v>
      </c>
      <c r="E150" s="220">
        <v>353512.5</v>
      </c>
      <c r="F150" s="15" t="s">
        <v>131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325</v>
      </c>
      <c r="C151" s="12" t="s">
        <v>326</v>
      </c>
      <c r="D151" s="15" t="s">
        <v>75</v>
      </c>
      <c r="E151" s="220">
        <v>300965.583333333</v>
      </c>
      <c r="F151" s="15" t="s">
        <v>78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327</v>
      </c>
      <c r="C152" s="12" t="s">
        <v>328</v>
      </c>
      <c r="D152" s="10" t="s">
        <v>99</v>
      </c>
      <c r="E152" s="85">
        <v>263165.333333333</v>
      </c>
      <c r="F152" s="10" t="s">
        <v>86</v>
      </c>
      <c r="G152" s="825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329</v>
      </c>
      <c r="C153" s="12" t="s">
        <v>661</v>
      </c>
      <c r="D153" s="15" t="s">
        <v>78</v>
      </c>
      <c r="E153" s="220">
        <v>308901.5</v>
      </c>
      <c r="F153" s="15" t="s">
        <v>153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331</v>
      </c>
      <c r="C154" s="12" t="s">
        <v>662</v>
      </c>
      <c r="D154" s="15" t="s">
        <v>86</v>
      </c>
      <c r="E154" s="220">
        <v>270481.666666667</v>
      </c>
      <c r="F154" s="15" t="s">
        <v>156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333</v>
      </c>
      <c r="C155" s="12" t="s">
        <v>663</v>
      </c>
      <c r="D155" s="15" t="s">
        <v>78</v>
      </c>
      <c r="E155" s="220">
        <v>308901.5</v>
      </c>
      <c r="F155" s="15" t="s">
        <v>153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334</v>
      </c>
      <c r="C156" s="12" t="s">
        <v>664</v>
      </c>
      <c r="D156" s="15" t="s">
        <v>86</v>
      </c>
      <c r="E156" s="220">
        <v>270481.666666667</v>
      </c>
      <c r="F156" s="15" t="s">
        <v>156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336</v>
      </c>
      <c r="C157" s="12" t="s">
        <v>337</v>
      </c>
      <c r="D157" s="15" t="s">
        <v>225</v>
      </c>
      <c r="E157" s="220">
        <v>255849</v>
      </c>
      <c r="F157" s="15" t="s">
        <v>99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338</v>
      </c>
      <c r="C158" s="12" t="s">
        <v>337</v>
      </c>
      <c r="D158" s="15" t="s">
        <v>225</v>
      </c>
      <c r="E158" s="220">
        <v>255849</v>
      </c>
      <c r="F158" s="15" t="s">
        <v>99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343</v>
      </c>
      <c r="C159" s="12" t="s">
        <v>344</v>
      </c>
      <c r="D159" s="15" t="s">
        <v>111</v>
      </c>
      <c r="E159" s="85">
        <v>224459.75</v>
      </c>
      <c r="F159" s="15" t="s">
        <v>108</v>
      </c>
      <c r="G159" s="825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345</v>
      </c>
      <c r="C160" s="12" t="s">
        <v>346</v>
      </c>
      <c r="D160" s="15" t="s">
        <v>111</v>
      </c>
      <c r="E160" s="85">
        <v>224459.75</v>
      </c>
      <c r="F160" s="15" t="s">
        <v>108</v>
      </c>
      <c r="G160" s="825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347</v>
      </c>
      <c r="C161" s="12" t="s">
        <v>348</v>
      </c>
      <c r="D161" s="15" t="s">
        <v>111</v>
      </c>
      <c r="E161" s="85">
        <v>224459.75</v>
      </c>
      <c r="F161" s="15" t="s">
        <v>108</v>
      </c>
      <c r="G161" s="825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349</v>
      </c>
      <c r="C162" s="12" t="s">
        <v>665</v>
      </c>
      <c r="D162" s="15" t="s">
        <v>108</v>
      </c>
      <c r="E162" s="85">
        <v>230631.916666667</v>
      </c>
      <c r="F162" s="15" t="s">
        <v>105</v>
      </c>
      <c r="G162" s="825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350</v>
      </c>
      <c r="C163" s="12" t="s">
        <v>346</v>
      </c>
      <c r="D163" s="15" t="s">
        <v>111</v>
      </c>
      <c r="E163" s="85">
        <v>224459.75</v>
      </c>
      <c r="F163" s="15" t="s">
        <v>108</v>
      </c>
      <c r="G163" s="825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351</v>
      </c>
      <c r="C164" s="12" t="s">
        <v>352</v>
      </c>
      <c r="D164" s="15" t="s">
        <v>275</v>
      </c>
      <c r="E164" s="680">
        <f>218287.583333333</f>
        <v>218287.583333333</v>
      </c>
      <c r="F164" s="15" t="s">
        <v>111</v>
      </c>
      <c r="G164" s="826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353</v>
      </c>
      <c r="C165" s="12" t="s">
        <v>352</v>
      </c>
      <c r="D165" s="15" t="s">
        <v>275</v>
      </c>
      <c r="E165" s="680">
        <f>218287.583333333</f>
        <v>218287.583333333</v>
      </c>
      <c r="F165" s="15" t="s">
        <v>111</v>
      </c>
      <c r="G165" s="826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359</v>
      </c>
      <c r="C166" s="12" t="s">
        <v>512</v>
      </c>
      <c r="D166" s="15" t="s">
        <v>384</v>
      </c>
      <c r="E166" s="226">
        <v>168598.166666667</v>
      </c>
      <c r="F166" s="15" t="s">
        <v>372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362</v>
      </c>
      <c r="C167" s="12" t="s">
        <v>512</v>
      </c>
      <c r="D167" s="15" t="s">
        <v>384</v>
      </c>
      <c r="E167" s="226">
        <v>168598.166666667</v>
      </c>
      <c r="F167" s="15" t="s">
        <v>372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666</v>
      </c>
      <c r="C168" s="12" t="s">
        <v>512</v>
      </c>
      <c r="D168" s="15" t="s">
        <v>384</v>
      </c>
      <c r="E168" s="226">
        <v>168598.166666667</v>
      </c>
      <c r="F168" s="15" t="s">
        <v>372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363</v>
      </c>
      <c r="C169" s="12" t="s">
        <v>512</v>
      </c>
      <c r="D169" s="15" t="s">
        <v>384</v>
      </c>
      <c r="E169" s="226">
        <v>168598.166666667</v>
      </c>
      <c r="F169" s="15" t="s">
        <v>372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364</v>
      </c>
      <c r="C170" s="12" t="s">
        <v>512</v>
      </c>
      <c r="D170" s="15" t="s">
        <v>384</v>
      </c>
      <c r="E170" s="226">
        <v>168598.166666667</v>
      </c>
      <c r="F170" s="15" t="s">
        <v>372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365</v>
      </c>
      <c r="C171" s="12" t="s">
        <v>512</v>
      </c>
      <c r="D171" s="15" t="s">
        <v>377</v>
      </c>
      <c r="E171" s="226">
        <v>163336.833333333</v>
      </c>
      <c r="F171" s="15" t="s">
        <v>384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367</v>
      </c>
      <c r="C172" s="12" t="s">
        <v>512</v>
      </c>
      <c r="D172" s="15" t="s">
        <v>377</v>
      </c>
      <c r="E172" s="226">
        <v>163336.833333333</v>
      </c>
      <c r="F172" s="15" t="s">
        <v>384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368</v>
      </c>
      <c r="C173" s="12" t="s">
        <v>512</v>
      </c>
      <c r="D173" s="15" t="s">
        <v>377</v>
      </c>
      <c r="E173" s="226">
        <v>163336.833333333</v>
      </c>
      <c r="F173" s="15" t="s">
        <v>384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369</v>
      </c>
      <c r="C174" s="12" t="s">
        <v>512</v>
      </c>
      <c r="D174" s="15" t="s">
        <v>377</v>
      </c>
      <c r="E174" s="226">
        <v>163336.833333333</v>
      </c>
      <c r="F174" s="15" t="s">
        <v>384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370</v>
      </c>
      <c r="C175" s="12" t="s">
        <v>512</v>
      </c>
      <c r="D175" s="15" t="s">
        <v>377</v>
      </c>
      <c r="E175" s="226">
        <v>163336.833333333</v>
      </c>
      <c r="F175" s="15" t="s">
        <v>384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357</v>
      </c>
      <c r="C176" s="12" t="s">
        <v>512</v>
      </c>
      <c r="D176" s="15" t="s">
        <v>377</v>
      </c>
      <c r="E176" s="226">
        <v>163336.833333333</v>
      </c>
      <c r="F176" s="15" t="s">
        <v>384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371</v>
      </c>
      <c r="C177" s="12" t="s">
        <v>360</v>
      </c>
      <c r="D177" s="15" t="s">
        <v>607</v>
      </c>
      <c r="E177" s="85">
        <v>152814.166666667</v>
      </c>
      <c r="F177" s="15" t="s">
        <v>606</v>
      </c>
      <c r="G177" s="825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373</v>
      </c>
      <c r="C178" s="12" t="s">
        <v>360</v>
      </c>
      <c r="D178" s="15" t="s">
        <v>607</v>
      </c>
      <c r="E178" s="85">
        <v>152814.166666667</v>
      </c>
      <c r="F178" s="15" t="s">
        <v>606</v>
      </c>
      <c r="G178" s="825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374</v>
      </c>
      <c r="C179" s="12" t="s">
        <v>360</v>
      </c>
      <c r="D179" s="15" t="s">
        <v>606</v>
      </c>
      <c r="E179" s="85">
        <v>158075.5</v>
      </c>
      <c r="F179" s="15" t="s">
        <v>377</v>
      </c>
      <c r="G179" s="825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376</v>
      </c>
      <c r="C180" s="12" t="s">
        <v>387</v>
      </c>
      <c r="D180" s="15" t="s">
        <v>607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378</v>
      </c>
      <c r="C181" s="12" t="s">
        <v>514</v>
      </c>
      <c r="D181" s="15" t="s">
        <v>669</v>
      </c>
      <c r="E181" s="85">
        <v>91598</v>
      </c>
      <c r="F181" s="15" t="s">
        <v>667</v>
      </c>
      <c r="G181" s="825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379</v>
      </c>
      <c r="C182" s="12" t="s">
        <v>514</v>
      </c>
      <c r="D182" s="15" t="s">
        <v>669</v>
      </c>
      <c r="E182" s="85">
        <v>91598</v>
      </c>
      <c r="F182" s="15" t="s">
        <v>667</v>
      </c>
      <c r="G182" s="825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380</v>
      </c>
      <c r="C183" s="12" t="s">
        <v>514</v>
      </c>
      <c r="D183" s="15" t="s">
        <v>669</v>
      </c>
      <c r="E183" s="85">
        <v>91598</v>
      </c>
      <c r="F183" s="15" t="s">
        <v>667</v>
      </c>
      <c r="G183" s="825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381</v>
      </c>
      <c r="C184" s="12" t="s">
        <v>514</v>
      </c>
      <c r="D184" s="15" t="s">
        <v>669</v>
      </c>
      <c r="E184" s="85">
        <v>91598</v>
      </c>
      <c r="F184" s="15" t="s">
        <v>667</v>
      </c>
      <c r="G184" s="825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382</v>
      </c>
      <c r="C185" s="12" t="s">
        <v>514</v>
      </c>
      <c r="D185" s="15" t="s">
        <v>669</v>
      </c>
      <c r="E185" s="85">
        <v>91598</v>
      </c>
      <c r="F185" s="15" t="s">
        <v>667</v>
      </c>
      <c r="G185" s="825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383</v>
      </c>
      <c r="C186" s="12" t="s">
        <v>514</v>
      </c>
      <c r="D186" s="15" t="s">
        <v>669</v>
      </c>
      <c r="E186" s="85">
        <v>91598</v>
      </c>
      <c r="F186" s="15" t="s">
        <v>667</v>
      </c>
      <c r="G186" s="825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385</v>
      </c>
      <c r="C187" s="12" t="s">
        <v>514</v>
      </c>
      <c r="D187" s="15" t="s">
        <v>669</v>
      </c>
      <c r="E187" s="85">
        <v>91598</v>
      </c>
      <c r="F187" s="15" t="s">
        <v>667</v>
      </c>
      <c r="G187" s="825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668</v>
      </c>
      <c r="C188" s="12" t="s">
        <v>387</v>
      </c>
      <c r="D188" s="15" t="s">
        <v>669</v>
      </c>
      <c r="E188" s="85">
        <v>91598</v>
      </c>
      <c r="F188" s="15"/>
      <c r="G188" s="825"/>
      <c r="H188" s="85"/>
      <c r="I188" s="85"/>
      <c r="J188" s="220"/>
    </row>
    <row r="189" customHeight="1" spans="1:10">
      <c r="A189" s="27">
        <v>54</v>
      </c>
      <c r="B189" s="11" t="s">
        <v>386</v>
      </c>
      <c r="C189" s="12" t="s">
        <v>387</v>
      </c>
      <c r="D189" s="15" t="s">
        <v>669</v>
      </c>
      <c r="E189" s="85">
        <v>91598</v>
      </c>
      <c r="F189" s="15" t="s">
        <v>667</v>
      </c>
      <c r="G189" s="825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358</v>
      </c>
      <c r="C190" s="12" t="s">
        <v>390</v>
      </c>
      <c r="D190" s="15" t="s">
        <v>391</v>
      </c>
      <c r="E190" s="85">
        <v>89050.25</v>
      </c>
      <c r="F190" s="15" t="s">
        <v>669</v>
      </c>
      <c r="G190" s="825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389</v>
      </c>
      <c r="C191" s="12" t="s">
        <v>390</v>
      </c>
      <c r="D191" s="15" t="s">
        <v>395</v>
      </c>
      <c r="E191" s="85">
        <v>83955</v>
      </c>
      <c r="F191" s="15" t="s">
        <v>393</v>
      </c>
      <c r="G191" s="825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392</v>
      </c>
      <c r="C192" s="12" t="s">
        <v>360</v>
      </c>
      <c r="D192" s="15" t="s">
        <v>607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396</v>
      </c>
      <c r="C193" s="12" t="s">
        <v>397</v>
      </c>
      <c r="D193" s="15" t="s">
        <v>940</v>
      </c>
      <c r="E193" s="85">
        <v>76540.75</v>
      </c>
      <c r="F193" s="15" t="s">
        <v>609</v>
      </c>
      <c r="G193" s="825">
        <v>78733.8333333333</v>
      </c>
      <c r="H193" s="85">
        <f t="shared" si="11"/>
        <v>2193.0833333333</v>
      </c>
      <c r="I193" s="85">
        <f t="shared" si="12"/>
        <v>8772.3333333332</v>
      </c>
      <c r="J193" s="122"/>
    </row>
    <row r="194" customHeight="1" spans="1:10">
      <c r="A194" s="27">
        <v>59</v>
      </c>
      <c r="B194" s="18" t="s">
        <v>399</v>
      </c>
      <c r="C194" s="12" t="s">
        <v>397</v>
      </c>
      <c r="D194" s="15" t="s">
        <v>940</v>
      </c>
      <c r="E194" s="85">
        <v>76540.75</v>
      </c>
      <c r="F194" s="15" t="s">
        <v>609</v>
      </c>
      <c r="G194" s="825">
        <v>78733.8333333333</v>
      </c>
      <c r="H194" s="85">
        <f t="shared" si="11"/>
        <v>2193.0833333333</v>
      </c>
      <c r="I194" s="85">
        <f t="shared" si="12"/>
        <v>8772.3333333332</v>
      </c>
      <c r="J194" s="122"/>
    </row>
    <row r="195" customHeight="1" spans="1:10">
      <c r="A195" s="27">
        <v>60</v>
      </c>
      <c r="B195" s="18" t="s">
        <v>400</v>
      </c>
      <c r="C195" s="12" t="s">
        <v>397</v>
      </c>
      <c r="D195" s="15" t="s">
        <v>940</v>
      </c>
      <c r="E195" s="85">
        <v>76540.75</v>
      </c>
      <c r="F195" s="15" t="s">
        <v>609</v>
      </c>
      <c r="G195" s="825">
        <v>78733.8333333333</v>
      </c>
      <c r="H195" s="85">
        <f t="shared" si="11"/>
        <v>2193.0833333333</v>
      </c>
      <c r="I195" s="85">
        <f t="shared" si="12"/>
        <v>8772.3333333332</v>
      </c>
      <c r="J195" s="122"/>
    </row>
    <row r="196" customHeight="1" spans="1:10">
      <c r="A196" s="27">
        <v>61</v>
      </c>
      <c r="B196" s="18" t="s">
        <v>401</v>
      </c>
      <c r="C196" s="12" t="s">
        <v>402</v>
      </c>
      <c r="D196" s="15" t="s">
        <v>393</v>
      </c>
      <c r="E196" s="85">
        <v>86502.5</v>
      </c>
      <c r="F196" s="15" t="s">
        <v>391</v>
      </c>
      <c r="G196" s="825">
        <v>89050.25</v>
      </c>
      <c r="H196" s="85">
        <f t="shared" si="11"/>
        <v>2547.75</v>
      </c>
      <c r="I196" s="85">
        <f t="shared" si="12"/>
        <v>10191</v>
      </c>
      <c r="J196" s="122"/>
    </row>
    <row r="197" customHeight="1" spans="1:10">
      <c r="A197" s="27">
        <v>62</v>
      </c>
      <c r="B197" s="18" t="s">
        <v>404</v>
      </c>
      <c r="C197" s="12" t="s">
        <v>402</v>
      </c>
      <c r="D197" s="15" t="s">
        <v>393</v>
      </c>
      <c r="E197" s="85">
        <v>86502.5</v>
      </c>
      <c r="F197" s="15" t="s">
        <v>391</v>
      </c>
      <c r="G197" s="825">
        <v>89050.25</v>
      </c>
      <c r="H197" s="85">
        <f t="shared" si="11"/>
        <v>2547.75</v>
      </c>
      <c r="I197" s="85">
        <f t="shared" si="12"/>
        <v>10191</v>
      </c>
      <c r="J197" s="122"/>
    </row>
    <row r="198" ht="30.75" customHeight="1" spans="1:10">
      <c r="A198" s="27"/>
      <c r="B198" s="8" t="s">
        <v>120</v>
      </c>
      <c r="C198" s="28" t="s">
        <v>1007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406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997064.833333336</v>
      </c>
      <c r="I199" s="227">
        <f>I198+I135+I122+I116+I111+I101+I93+I80+I71+I61+I56+I45+I38</f>
        <v>4009861.91666666</v>
      </c>
      <c r="J199" s="227"/>
    </row>
    <row r="200" ht="38.25" customHeight="1" spans="1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1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172" activePane="bottomRight" state="frozen"/>
      <selection/>
      <selection pane="topRight"/>
      <selection pane="bottomLeft"/>
      <selection pane="bottomRight" activeCell="A1" sqref="A1:E5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1008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809" t="s">
        <v>484</v>
      </c>
    </row>
    <row r="5" ht="17.25" customHeight="1" spans="1:5">
      <c r="C5" s="8"/>
      <c r="D5" s="8"/>
      <c r="E5" s="810" t="s">
        <v>21</v>
      </c>
    </row>
    <row r="6" customHeight="1" spans="1:5">
      <c r="A6" s="9" t="s">
        <v>22</v>
      </c>
      <c r="B6" s="8" t="s">
        <v>23</v>
      </c>
      <c r="C6" s="8"/>
      <c r="D6" s="8"/>
      <c r="E6" s="810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11">
        <v>648000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11">
        <v>216000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11">
        <v>216000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11">
        <v>216000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143</v>
      </c>
      <c r="E11" s="811">
        <v>216000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50</v>
      </c>
      <c r="E12" s="811">
        <v>151200</v>
      </c>
    </row>
    <row r="13" customHeight="1" spans="1:5">
      <c r="A13" s="10">
        <v>7</v>
      </c>
      <c r="B13" s="11" t="s">
        <v>40</v>
      </c>
      <c r="C13" s="4" t="s">
        <v>643</v>
      </c>
      <c r="D13" s="15" t="s">
        <v>192</v>
      </c>
      <c r="E13" s="811">
        <v>108000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50</v>
      </c>
      <c r="E14" s="811">
        <v>151200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214</v>
      </c>
      <c r="E15" s="811">
        <v>108000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42</v>
      </c>
      <c r="E16" s="811">
        <v>151200</v>
      </c>
    </row>
    <row r="17" customHeight="1" spans="1:5">
      <c r="A17" s="10">
        <v>11</v>
      </c>
      <c r="B17" s="11" t="s">
        <v>51</v>
      </c>
      <c r="C17" s="12" t="s">
        <v>61</v>
      </c>
      <c r="D17" s="15" t="s">
        <v>56</v>
      </c>
      <c r="E17" s="811">
        <v>108000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644</v>
      </c>
      <c r="E18" s="811">
        <v>108000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602</v>
      </c>
      <c r="E19" s="811">
        <v>108000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602</v>
      </c>
      <c r="E20" s="811">
        <v>108000</v>
      </c>
    </row>
    <row r="21" customHeight="1" spans="1:5">
      <c r="A21" s="10">
        <v>15</v>
      </c>
      <c r="B21" s="11" t="s">
        <v>62</v>
      </c>
      <c r="C21" s="12" t="s">
        <v>645</v>
      </c>
      <c r="D21" s="15" t="s">
        <v>261</v>
      </c>
      <c r="E21" s="811">
        <v>81600</v>
      </c>
    </row>
    <row r="22" ht="18.75" customHeight="1" spans="1:5">
      <c r="A22" s="10">
        <v>16</v>
      </c>
      <c r="B22" s="11" t="s">
        <v>65</v>
      </c>
      <c r="C22" s="12" t="s">
        <v>178</v>
      </c>
      <c r="D22" s="15" t="s">
        <v>173</v>
      </c>
      <c r="E22" s="811">
        <v>81600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131</v>
      </c>
      <c r="E23" s="811">
        <v>81600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131</v>
      </c>
      <c r="E24" s="811">
        <v>81600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811">
        <v>81600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75</v>
      </c>
      <c r="E26" s="811">
        <v>81600</v>
      </c>
    </row>
    <row r="27" ht="18.75" customHeight="1" spans="1:5">
      <c r="A27" s="10">
        <v>21</v>
      </c>
      <c r="B27" s="4" t="s">
        <v>478</v>
      </c>
      <c r="C27" s="4" t="s">
        <v>94</v>
      </c>
      <c r="D27" s="10" t="s">
        <v>156</v>
      </c>
      <c r="E27" s="811">
        <v>64800</v>
      </c>
    </row>
    <row r="28" ht="18.75" customHeight="1" spans="1:5">
      <c r="A28" s="10">
        <v>22</v>
      </c>
      <c r="B28" s="18" t="s">
        <v>79</v>
      </c>
      <c r="C28" s="12" t="s">
        <v>94</v>
      </c>
      <c r="D28" s="15" t="s">
        <v>156</v>
      </c>
      <c r="E28" s="811">
        <v>64800</v>
      </c>
    </row>
    <row r="29" customHeight="1" spans="1:5">
      <c r="A29" s="10">
        <v>23</v>
      </c>
      <c r="B29" s="11" t="s">
        <v>82</v>
      </c>
      <c r="C29" s="17" t="s">
        <v>69</v>
      </c>
      <c r="D29" s="10" t="s">
        <v>156</v>
      </c>
      <c r="E29" s="811">
        <v>64800</v>
      </c>
    </row>
    <row r="30" ht="18.75" customHeight="1" spans="1:5">
      <c r="A30" s="10">
        <v>24</v>
      </c>
      <c r="B30" s="18" t="s">
        <v>84</v>
      </c>
      <c r="C30" s="12" t="s">
        <v>85</v>
      </c>
      <c r="D30" s="15" t="s">
        <v>86</v>
      </c>
      <c r="E30" s="811">
        <v>64800</v>
      </c>
    </row>
    <row r="31" ht="18.75" customHeight="1" spans="1:5">
      <c r="A31" s="10">
        <v>25</v>
      </c>
      <c r="B31" s="18" t="s">
        <v>87</v>
      </c>
      <c r="C31" s="4" t="s">
        <v>88</v>
      </c>
      <c r="D31" s="10" t="s">
        <v>99</v>
      </c>
      <c r="E31" s="811">
        <v>64800</v>
      </c>
    </row>
    <row r="32" ht="18.75" customHeight="1" spans="1:5">
      <c r="A32" s="10">
        <v>26</v>
      </c>
      <c r="B32" s="18" t="s">
        <v>89</v>
      </c>
      <c r="C32" s="4" t="s">
        <v>88</v>
      </c>
      <c r="D32" s="10" t="s">
        <v>99</v>
      </c>
      <c r="E32" s="811">
        <v>64800</v>
      </c>
    </row>
    <row r="33" ht="18.75" customHeight="1" spans="1:5">
      <c r="A33" s="10">
        <v>27</v>
      </c>
      <c r="B33" s="18" t="s">
        <v>91</v>
      </c>
      <c r="C33" s="17" t="s">
        <v>646</v>
      </c>
      <c r="D33" s="15" t="s">
        <v>156</v>
      </c>
      <c r="E33" s="811">
        <v>64800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99</v>
      </c>
      <c r="E34" s="811">
        <v>64800</v>
      </c>
    </row>
    <row r="35" ht="18.75" customHeight="1" spans="1:5">
      <c r="A35" s="10">
        <v>29</v>
      </c>
      <c r="B35" s="18" t="s">
        <v>95</v>
      </c>
      <c r="C35" s="4" t="s">
        <v>647</v>
      </c>
      <c r="D35" s="10" t="s">
        <v>99</v>
      </c>
      <c r="E35" s="811">
        <v>64800</v>
      </c>
    </row>
    <row r="36" ht="18.75" customHeight="1" spans="1:5">
      <c r="A36" s="10">
        <v>30</v>
      </c>
      <c r="B36" s="18" t="s">
        <v>103</v>
      </c>
      <c r="C36" s="12" t="s">
        <v>104</v>
      </c>
      <c r="D36" s="15" t="s">
        <v>108</v>
      </c>
      <c r="E36" s="811">
        <v>64800</v>
      </c>
    </row>
    <row r="37" ht="18.75" customHeight="1" spans="1:5">
      <c r="A37" s="10">
        <v>31</v>
      </c>
      <c r="B37" s="18" t="s">
        <v>106</v>
      </c>
      <c r="C37" s="12" t="s">
        <v>107</v>
      </c>
      <c r="D37" s="15" t="s">
        <v>111</v>
      </c>
      <c r="E37" s="811">
        <v>64800</v>
      </c>
    </row>
    <row r="38" ht="26.25" customHeight="1" spans="1:5">
      <c r="A38" s="10"/>
      <c r="B38" s="20" t="s">
        <v>120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121</v>
      </c>
      <c r="C40" s="4"/>
      <c r="D40" s="15"/>
      <c r="E40" s="811"/>
    </row>
    <row r="41" ht="18.75" customHeight="1" spans="1:5">
      <c r="A41" s="10">
        <v>1</v>
      </c>
      <c r="B41" s="18" t="s">
        <v>122</v>
      </c>
      <c r="C41" s="4" t="s">
        <v>123</v>
      </c>
      <c r="D41" s="10" t="s">
        <v>124</v>
      </c>
      <c r="E41" s="811">
        <f>270000*1.2</f>
        <v>324000</v>
      </c>
    </row>
    <row r="42" ht="18.75" customHeight="1" spans="1:5">
      <c r="A42" s="10">
        <v>2</v>
      </c>
      <c r="B42" s="18" t="s">
        <v>127</v>
      </c>
      <c r="C42" s="4" t="s">
        <v>128</v>
      </c>
      <c r="D42" s="10" t="s">
        <v>75</v>
      </c>
      <c r="E42" s="811">
        <f>68000*1.2</f>
        <v>81600</v>
      </c>
    </row>
    <row r="43" ht="18.75" customHeight="1" spans="1:5">
      <c r="A43" s="10">
        <v>3</v>
      </c>
      <c r="B43" s="11" t="s">
        <v>129</v>
      </c>
      <c r="C43" s="4" t="s">
        <v>128</v>
      </c>
      <c r="D43" s="15" t="s">
        <v>78</v>
      </c>
      <c r="E43" s="811">
        <f>68000*1.2</f>
        <v>81600</v>
      </c>
    </row>
    <row r="44" ht="18.75" customHeight="1" spans="1:5">
      <c r="A44" s="10">
        <v>4</v>
      </c>
      <c r="B44" s="11" t="s">
        <v>133</v>
      </c>
      <c r="C44" s="4" t="s">
        <v>134</v>
      </c>
      <c r="D44" s="15" t="s">
        <v>99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137</v>
      </c>
      <c r="C47" s="5"/>
      <c r="D47" s="24"/>
      <c r="E47" s="812"/>
    </row>
    <row r="48" customHeight="1" spans="1:5">
      <c r="A48" s="10">
        <v>1</v>
      </c>
      <c r="B48" s="11" t="s">
        <v>138</v>
      </c>
      <c r="C48" s="4" t="s">
        <v>648</v>
      </c>
      <c r="D48" s="10" t="s">
        <v>36</v>
      </c>
      <c r="E48" s="811">
        <v>216000</v>
      </c>
    </row>
    <row r="49" customHeight="1" spans="1:5">
      <c r="A49" s="10">
        <v>2</v>
      </c>
      <c r="B49" s="11" t="s">
        <v>141</v>
      </c>
      <c r="C49" s="4" t="s">
        <v>145</v>
      </c>
      <c r="D49" s="10" t="s">
        <v>39</v>
      </c>
      <c r="E49" s="811">
        <v>151200</v>
      </c>
    </row>
    <row r="50" customHeight="1" spans="1:5">
      <c r="A50" s="10">
        <v>3</v>
      </c>
      <c r="B50" s="11" t="s">
        <v>144</v>
      </c>
      <c r="C50" s="4" t="s">
        <v>145</v>
      </c>
      <c r="D50" s="10" t="s">
        <v>39</v>
      </c>
      <c r="E50" s="811">
        <v>151200</v>
      </c>
    </row>
    <row r="51" customHeight="1" spans="1:5">
      <c r="A51" s="10">
        <v>4</v>
      </c>
      <c r="B51" s="11" t="s">
        <v>146</v>
      </c>
      <c r="C51" s="4" t="s">
        <v>145</v>
      </c>
      <c r="D51" s="10" t="s">
        <v>50</v>
      </c>
      <c r="E51" s="811">
        <v>151200</v>
      </c>
    </row>
    <row r="52" customHeight="1" spans="1:5">
      <c r="A52" s="10">
        <v>5</v>
      </c>
      <c r="B52" s="14" t="s">
        <v>147</v>
      </c>
      <c r="C52" s="4" t="s">
        <v>145</v>
      </c>
      <c r="D52" s="10" t="s">
        <v>42</v>
      </c>
      <c r="E52" s="811">
        <v>151200</v>
      </c>
    </row>
    <row r="53" customHeight="1" spans="1:5">
      <c r="A53" s="10">
        <v>6</v>
      </c>
      <c r="B53" s="11" t="s">
        <v>151</v>
      </c>
      <c r="C53" s="4" t="s">
        <v>152</v>
      </c>
      <c r="D53" s="10" t="s">
        <v>78</v>
      </c>
      <c r="E53" s="811">
        <v>81600</v>
      </c>
    </row>
    <row r="54" customHeight="1" spans="1:5">
      <c r="A54" s="10">
        <v>7</v>
      </c>
      <c r="B54" s="11" t="s">
        <v>155</v>
      </c>
      <c r="C54" s="4" t="s">
        <v>152</v>
      </c>
      <c r="D54" s="10" t="s">
        <v>86</v>
      </c>
      <c r="E54" s="811">
        <v>64800</v>
      </c>
    </row>
    <row r="55" customHeight="1" spans="1:5">
      <c r="A55" s="10">
        <v>8</v>
      </c>
      <c r="B55" s="11" t="s">
        <v>157</v>
      </c>
      <c r="C55" s="4" t="s">
        <v>152</v>
      </c>
      <c r="D55" s="10" t="s">
        <v>86</v>
      </c>
      <c r="E55" s="811">
        <v>64800</v>
      </c>
    </row>
    <row r="56" ht="25.5" customHeight="1" spans="1:5">
      <c r="A56" s="10"/>
      <c r="B56" s="20" t="s">
        <v>120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159</v>
      </c>
      <c r="C58" s="21"/>
      <c r="D58" s="21"/>
      <c r="E58" s="815"/>
    </row>
    <row r="59" customHeight="1" spans="1:5">
      <c r="A59" s="10">
        <v>1</v>
      </c>
      <c r="B59" s="11" t="s">
        <v>160</v>
      </c>
      <c r="C59" s="12" t="s">
        <v>161</v>
      </c>
      <c r="D59" s="15" t="s">
        <v>124</v>
      </c>
      <c r="E59" s="811">
        <v>324000</v>
      </c>
    </row>
    <row r="60" customHeight="1" spans="1:5">
      <c r="A60" s="10">
        <v>2</v>
      </c>
      <c r="B60" s="11" t="s">
        <v>162</v>
      </c>
      <c r="C60" s="12" t="s">
        <v>485</v>
      </c>
      <c r="D60" s="15" t="s">
        <v>486</v>
      </c>
      <c r="E60" s="811">
        <v>151200</v>
      </c>
    </row>
    <row r="61" customHeight="1" spans="1:5">
      <c r="A61" s="10"/>
      <c r="B61" s="20" t="s">
        <v>120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164</v>
      </c>
      <c r="C63" s="21"/>
      <c r="D63" s="21"/>
      <c r="E63" s="815"/>
    </row>
    <row r="64" customHeight="1" spans="1:5">
      <c r="A64" s="10">
        <v>1</v>
      </c>
      <c r="B64" s="14" t="s">
        <v>165</v>
      </c>
      <c r="C64" s="4" t="s">
        <v>166</v>
      </c>
      <c r="D64" s="10" t="s">
        <v>36</v>
      </c>
      <c r="E64" s="811">
        <v>216000</v>
      </c>
    </row>
    <row r="65" customHeight="1" spans="1:5">
      <c r="A65" s="10">
        <v>2</v>
      </c>
      <c r="B65" s="11" t="s">
        <v>167</v>
      </c>
      <c r="C65" s="4" t="s">
        <v>52</v>
      </c>
      <c r="D65" s="10" t="s">
        <v>214</v>
      </c>
      <c r="E65" s="811">
        <v>108000</v>
      </c>
    </row>
    <row r="66" customHeight="1" spans="1:5">
      <c r="A66" s="10">
        <v>3</v>
      </c>
      <c r="B66" s="11" t="s">
        <v>171</v>
      </c>
      <c r="C66" s="4" t="s">
        <v>152</v>
      </c>
      <c r="D66" s="10" t="s">
        <v>70</v>
      </c>
      <c r="E66" s="811">
        <v>81600</v>
      </c>
    </row>
    <row r="67" customHeight="1" spans="1:5">
      <c r="A67" s="10">
        <v>4</v>
      </c>
      <c r="B67" s="11" t="s">
        <v>172</v>
      </c>
      <c r="C67" s="17" t="s">
        <v>72</v>
      </c>
      <c r="D67" s="10" t="s">
        <v>70</v>
      </c>
      <c r="E67" s="811">
        <v>81600</v>
      </c>
    </row>
    <row r="68" customHeight="1" spans="1:5">
      <c r="A68" s="10">
        <v>5</v>
      </c>
      <c r="B68" s="11" t="s">
        <v>174</v>
      </c>
      <c r="C68" s="17" t="s">
        <v>72</v>
      </c>
      <c r="D68" s="10" t="s">
        <v>70</v>
      </c>
      <c r="E68" s="811">
        <v>81600</v>
      </c>
    </row>
    <row r="69" customHeight="1" spans="1:5">
      <c r="A69" s="10">
        <v>6</v>
      </c>
      <c r="B69" s="11" t="s">
        <v>175</v>
      </c>
      <c r="C69" s="4" t="s">
        <v>649</v>
      </c>
      <c r="D69" s="10" t="s">
        <v>173</v>
      </c>
      <c r="E69" s="811">
        <v>81600</v>
      </c>
    </row>
    <row r="70" ht="21.6" customHeight="1" spans="1:5">
      <c r="A70" s="10">
        <v>7</v>
      </c>
      <c r="B70" s="11" t="s">
        <v>179</v>
      </c>
      <c r="C70" s="4" t="s">
        <v>152</v>
      </c>
      <c r="D70" s="10" t="s">
        <v>78</v>
      </c>
      <c r="E70" s="811">
        <v>81600</v>
      </c>
    </row>
    <row r="71" ht="27" customHeight="1" spans="1:5">
      <c r="A71" s="10"/>
      <c r="B71" s="20" t="s">
        <v>120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183</v>
      </c>
      <c r="C73" s="21"/>
      <c r="D73" s="21"/>
      <c r="E73" s="815"/>
    </row>
    <row r="74" customHeight="1" spans="1:5">
      <c r="A74" s="10">
        <v>1</v>
      </c>
      <c r="B74" s="11" t="s">
        <v>184</v>
      </c>
      <c r="C74" s="4" t="s">
        <v>185</v>
      </c>
      <c r="D74" s="10" t="s">
        <v>124</v>
      </c>
      <c r="E74" s="811">
        <v>324000</v>
      </c>
    </row>
    <row r="75" customHeight="1" spans="1:5">
      <c r="A75" s="10">
        <v>2</v>
      </c>
      <c r="B75" s="11" t="s">
        <v>188</v>
      </c>
      <c r="C75" s="4" t="s">
        <v>189</v>
      </c>
      <c r="D75" s="10" t="s">
        <v>42</v>
      </c>
      <c r="E75" s="811">
        <v>151200</v>
      </c>
    </row>
    <row r="76" customHeight="1" spans="1:5">
      <c r="A76" s="10">
        <v>3</v>
      </c>
      <c r="B76" s="11" t="s">
        <v>190</v>
      </c>
      <c r="C76" s="4" t="s">
        <v>191</v>
      </c>
      <c r="D76" s="15" t="s">
        <v>47</v>
      </c>
      <c r="E76" s="811">
        <v>108000</v>
      </c>
    </row>
    <row r="77" customHeight="1" spans="1:5">
      <c r="A77" s="10">
        <v>4</v>
      </c>
      <c r="B77" s="11" t="s">
        <v>197</v>
      </c>
      <c r="C77" s="4" t="s">
        <v>198</v>
      </c>
      <c r="D77" s="10" t="s">
        <v>131</v>
      </c>
      <c r="E77" s="811">
        <v>81600</v>
      </c>
    </row>
    <row r="78" customHeight="1" spans="1:5">
      <c r="A78" s="10">
        <v>5</v>
      </c>
      <c r="B78" s="11" t="s">
        <v>201</v>
      </c>
      <c r="C78" s="4" t="s">
        <v>182</v>
      </c>
      <c r="D78" s="10" t="s">
        <v>99</v>
      </c>
      <c r="E78" s="811">
        <v>64800</v>
      </c>
    </row>
    <row r="79" customHeight="1" spans="1:5">
      <c r="A79" s="10">
        <v>6</v>
      </c>
      <c r="B79" s="11" t="s">
        <v>203</v>
      </c>
      <c r="C79" s="4" t="s">
        <v>204</v>
      </c>
      <c r="D79" s="10" t="s">
        <v>108</v>
      </c>
      <c r="E79" s="811">
        <v>64800</v>
      </c>
    </row>
    <row r="80" customHeight="1" spans="1:5">
      <c r="A80" s="10"/>
      <c r="B80" s="20" t="s">
        <v>120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205</v>
      </c>
      <c r="C82" s="25"/>
      <c r="D82" s="21"/>
      <c r="E82" s="815"/>
    </row>
    <row r="83" customHeight="1" spans="1:5">
      <c r="A83" s="10">
        <v>1</v>
      </c>
      <c r="B83" s="11" t="s">
        <v>206</v>
      </c>
      <c r="C83" s="4" t="s">
        <v>145</v>
      </c>
      <c r="D83" s="10" t="s">
        <v>304</v>
      </c>
      <c r="E83" s="811">
        <v>324000</v>
      </c>
    </row>
    <row r="84" customHeight="1" spans="1:5">
      <c r="A84" s="10">
        <v>2</v>
      </c>
      <c r="B84" s="11" t="s">
        <v>208</v>
      </c>
      <c r="C84" s="4" t="s">
        <v>209</v>
      </c>
      <c r="D84" s="10" t="s">
        <v>143</v>
      </c>
      <c r="E84" s="811">
        <v>216000</v>
      </c>
    </row>
    <row r="85" customHeight="1" spans="1:5">
      <c r="A85" s="10">
        <v>3</v>
      </c>
      <c r="B85" s="11" t="s">
        <v>479</v>
      </c>
      <c r="C85" s="4" t="s">
        <v>145</v>
      </c>
      <c r="D85" s="10" t="s">
        <v>50</v>
      </c>
      <c r="E85" s="811">
        <v>151200</v>
      </c>
    </row>
    <row r="86" ht="21.6" customHeight="1" spans="1:5">
      <c r="A86" s="10">
        <v>4</v>
      </c>
      <c r="B86" s="11" t="s">
        <v>211</v>
      </c>
      <c r="C86" s="4" t="s">
        <v>52</v>
      </c>
      <c r="D86" s="15" t="s">
        <v>214</v>
      </c>
      <c r="E86" s="811">
        <v>108000</v>
      </c>
    </row>
    <row r="87" ht="21.6" customHeight="1" spans="1:5">
      <c r="A87" s="10">
        <v>5</v>
      </c>
      <c r="B87" s="11" t="s">
        <v>212</v>
      </c>
      <c r="C87" s="4" t="s">
        <v>52</v>
      </c>
      <c r="D87" s="15" t="s">
        <v>214</v>
      </c>
      <c r="E87" s="811">
        <v>108000</v>
      </c>
    </row>
    <row r="88" ht="21.6" customHeight="1" spans="1:5">
      <c r="A88" s="10">
        <v>6</v>
      </c>
      <c r="B88" s="11" t="s">
        <v>213</v>
      </c>
      <c r="C88" s="12" t="s">
        <v>52</v>
      </c>
      <c r="D88" s="15" t="s">
        <v>53</v>
      </c>
      <c r="E88" s="811">
        <v>108000</v>
      </c>
    </row>
    <row r="89" ht="21.6" customHeight="1" spans="1:5">
      <c r="A89" s="10">
        <v>7</v>
      </c>
      <c r="B89" s="11" t="s">
        <v>215</v>
      </c>
      <c r="C89" s="17" t="s">
        <v>72</v>
      </c>
      <c r="D89" s="15" t="s">
        <v>70</v>
      </c>
      <c r="E89" s="811">
        <v>81600</v>
      </c>
    </row>
    <row r="90" ht="21.6" customHeight="1" spans="1:5">
      <c r="A90" s="10">
        <v>8</v>
      </c>
      <c r="B90" s="11" t="s">
        <v>216</v>
      </c>
      <c r="C90" s="17" t="s">
        <v>217</v>
      </c>
      <c r="D90" s="15" t="s">
        <v>64</v>
      </c>
      <c r="E90" s="811">
        <v>108000</v>
      </c>
    </row>
    <row r="91" ht="21.6" customHeight="1" spans="1:5">
      <c r="A91" s="10">
        <v>9</v>
      </c>
      <c r="B91" s="11" t="s">
        <v>220</v>
      </c>
      <c r="C91" s="4" t="s">
        <v>221</v>
      </c>
      <c r="D91" s="10" t="s">
        <v>78</v>
      </c>
      <c r="E91" s="816">
        <v>81600</v>
      </c>
    </row>
    <row r="92" ht="21.6" customHeight="1" spans="1:5">
      <c r="A92" s="10">
        <v>10</v>
      </c>
      <c r="B92" s="11" t="s">
        <v>224</v>
      </c>
      <c r="C92" s="17" t="s">
        <v>505</v>
      </c>
      <c r="D92" s="15" t="s">
        <v>105</v>
      </c>
      <c r="E92" s="816">
        <v>64800</v>
      </c>
    </row>
    <row r="93" customHeight="1" spans="1:5">
      <c r="A93" s="10"/>
      <c r="B93" s="20" t="s">
        <v>120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226</v>
      </c>
      <c r="C95" s="21"/>
      <c r="D95" s="21"/>
      <c r="E95" s="815"/>
    </row>
    <row r="96" customHeight="1" spans="1:5">
      <c r="A96" s="10">
        <v>1</v>
      </c>
      <c r="B96" s="14" t="s">
        <v>227</v>
      </c>
      <c r="C96" s="4" t="s">
        <v>650</v>
      </c>
      <c r="D96" s="16" t="s">
        <v>140</v>
      </c>
      <c r="E96" s="811">
        <v>324000</v>
      </c>
    </row>
    <row r="97" customHeight="1" spans="1:5">
      <c r="A97" s="10">
        <v>2</v>
      </c>
      <c r="B97" s="11" t="s">
        <v>229</v>
      </c>
      <c r="C97" s="4" t="s">
        <v>230</v>
      </c>
      <c r="D97" s="15" t="s">
        <v>47</v>
      </c>
      <c r="E97" s="811">
        <v>108000</v>
      </c>
    </row>
    <row r="98" customHeight="1" spans="1:5">
      <c r="A98" s="10">
        <v>3</v>
      </c>
      <c r="B98" s="11" t="s">
        <v>231</v>
      </c>
      <c r="C98" s="12" t="s">
        <v>232</v>
      </c>
      <c r="D98" s="15" t="s">
        <v>64</v>
      </c>
      <c r="E98" s="811">
        <v>108000</v>
      </c>
    </row>
    <row r="99" customHeight="1" spans="1:5">
      <c r="A99" s="10">
        <v>4</v>
      </c>
      <c r="B99" s="11" t="s">
        <v>235</v>
      </c>
      <c r="C99" s="4" t="s">
        <v>651</v>
      </c>
      <c r="D99" s="15" t="s">
        <v>173</v>
      </c>
      <c r="E99" s="811">
        <v>81600</v>
      </c>
    </row>
    <row r="100" customHeight="1" spans="1:5">
      <c r="A100" s="10">
        <v>5</v>
      </c>
      <c r="B100" s="11" t="s">
        <v>236</v>
      </c>
      <c r="C100" s="4" t="s">
        <v>200</v>
      </c>
      <c r="D100" s="15" t="s">
        <v>78</v>
      </c>
      <c r="E100" s="816">
        <v>81600</v>
      </c>
    </row>
    <row r="101" customHeight="1" spans="1:5">
      <c r="A101" s="4"/>
      <c r="B101" s="20" t="s">
        <v>120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239</v>
      </c>
      <c r="C103" s="4"/>
      <c r="D103" s="4"/>
      <c r="E103" s="817"/>
    </row>
    <row r="104" customHeight="1" spans="1:5">
      <c r="A104" s="4">
        <v>1</v>
      </c>
      <c r="B104" s="11" t="s">
        <v>652</v>
      </c>
      <c r="C104" s="12" t="s">
        <v>241</v>
      </c>
      <c r="D104" s="15" t="s">
        <v>124</v>
      </c>
      <c r="E104" s="811">
        <v>324000</v>
      </c>
    </row>
    <row r="105" customHeight="1" spans="1:5">
      <c r="A105" s="4">
        <v>2</v>
      </c>
      <c r="B105" s="11" t="s">
        <v>242</v>
      </c>
      <c r="C105" s="4" t="s">
        <v>243</v>
      </c>
      <c r="D105" s="16" t="s">
        <v>36</v>
      </c>
      <c r="E105" s="811">
        <v>216000</v>
      </c>
    </row>
    <row r="106" customHeight="1" spans="1:5">
      <c r="A106" s="4">
        <v>3</v>
      </c>
      <c r="B106" s="11" t="s">
        <v>244</v>
      </c>
      <c r="C106" s="4" t="s">
        <v>653</v>
      </c>
      <c r="D106" s="10" t="s">
        <v>56</v>
      </c>
      <c r="E106" s="811">
        <v>108000</v>
      </c>
    </row>
    <row r="107" customHeight="1" spans="1:5">
      <c r="A107" s="4">
        <v>4</v>
      </c>
      <c r="B107" s="11" t="s">
        <v>246</v>
      </c>
      <c r="C107" s="4" t="s">
        <v>653</v>
      </c>
      <c r="D107" s="10" t="s">
        <v>56</v>
      </c>
      <c r="E107" s="811">
        <v>108000</v>
      </c>
    </row>
    <row r="108" customHeight="1" spans="1:5">
      <c r="A108" s="4">
        <v>5</v>
      </c>
      <c r="B108" s="11" t="s">
        <v>249</v>
      </c>
      <c r="C108" s="4" t="s">
        <v>250</v>
      </c>
      <c r="D108" s="15" t="s">
        <v>603</v>
      </c>
      <c r="E108" s="816">
        <v>64800</v>
      </c>
    </row>
    <row r="109" customHeight="1" spans="1:5">
      <c r="A109" s="4">
        <v>6</v>
      </c>
      <c r="B109" s="18" t="s">
        <v>252</v>
      </c>
      <c r="C109" s="4" t="s">
        <v>250</v>
      </c>
      <c r="D109" s="10" t="s">
        <v>225</v>
      </c>
      <c r="E109" s="816">
        <v>64800</v>
      </c>
    </row>
    <row r="110" customHeight="1" spans="1:5">
      <c r="A110" s="4">
        <v>7</v>
      </c>
      <c r="B110" s="18" t="s">
        <v>253</v>
      </c>
      <c r="C110" s="4" t="s">
        <v>250</v>
      </c>
      <c r="D110" s="15" t="s">
        <v>105</v>
      </c>
      <c r="E110" s="816">
        <v>64800</v>
      </c>
    </row>
    <row r="111" ht="25.5" customHeight="1" spans="1:5">
      <c r="A111" s="4"/>
      <c r="B111" s="20" t="s">
        <v>120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257</v>
      </c>
      <c r="C113" s="21"/>
      <c r="D113" s="21"/>
      <c r="E113" s="815"/>
    </row>
    <row r="114" ht="18.75" customHeight="1" spans="1:5">
      <c r="A114" s="10">
        <v>1</v>
      </c>
      <c r="B114" s="11" t="s">
        <v>259</v>
      </c>
      <c r="C114" s="4" t="s">
        <v>260</v>
      </c>
      <c r="D114" s="15" t="s">
        <v>173</v>
      </c>
      <c r="E114" s="811">
        <v>81600</v>
      </c>
    </row>
    <row r="115" ht="18.75" customHeight="1" spans="1:5">
      <c r="A115" s="10">
        <v>2</v>
      </c>
      <c r="B115" s="11" t="s">
        <v>480</v>
      </c>
      <c r="C115" s="4" t="s">
        <v>72</v>
      </c>
      <c r="D115" s="15" t="s">
        <v>70</v>
      </c>
      <c r="E115" s="811">
        <v>81600</v>
      </c>
    </row>
    <row r="116" customHeight="1" spans="1:5">
      <c r="A116" s="10">
        <v>3</v>
      </c>
      <c r="B116" s="11" t="s">
        <v>193</v>
      </c>
      <c r="C116" s="12" t="s">
        <v>194</v>
      </c>
      <c r="D116" s="15" t="s">
        <v>67</v>
      </c>
      <c r="E116" s="811">
        <v>108000</v>
      </c>
    </row>
    <row r="117" ht="24.75" customHeight="1" spans="1:5">
      <c r="A117" s="4"/>
      <c r="B117" s="20" t="s">
        <v>120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268</v>
      </c>
      <c r="C119" s="21"/>
      <c r="D119" s="21"/>
      <c r="E119" s="815"/>
    </row>
    <row r="120" ht="24.75" customHeight="1" spans="1:5">
      <c r="A120" s="10">
        <v>1</v>
      </c>
      <c r="B120" s="11" t="s">
        <v>271</v>
      </c>
      <c r="C120" s="4" t="s">
        <v>272</v>
      </c>
      <c r="D120" s="10" t="s">
        <v>275</v>
      </c>
      <c r="E120" s="811">
        <v>64800</v>
      </c>
    </row>
    <row r="121" ht="24.75" customHeight="1" spans="1:5">
      <c r="A121" s="10">
        <v>2</v>
      </c>
      <c r="B121" s="11" t="s">
        <v>276</v>
      </c>
      <c r="C121" s="4" t="s">
        <v>277</v>
      </c>
      <c r="D121" s="10" t="s">
        <v>275</v>
      </c>
      <c r="E121" s="811">
        <v>64800</v>
      </c>
    </row>
    <row r="122" customHeight="1" spans="1:5">
      <c r="A122" s="4"/>
      <c r="B122" s="20" t="s">
        <v>120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278</v>
      </c>
      <c r="C124" s="21"/>
      <c r="D124" s="21"/>
      <c r="E124" s="815"/>
    </row>
    <row r="125" customHeight="1" spans="1:5">
      <c r="A125" s="4">
        <v>1</v>
      </c>
      <c r="B125" s="11" t="s">
        <v>279</v>
      </c>
      <c r="C125" s="12" t="s">
        <v>280</v>
      </c>
      <c r="D125" s="15" t="s">
        <v>124</v>
      </c>
      <c r="E125" s="811">
        <v>324000</v>
      </c>
    </row>
    <row r="126" customHeight="1" spans="1:5">
      <c r="A126" s="4">
        <v>2</v>
      </c>
      <c r="B126" s="11" t="s">
        <v>281</v>
      </c>
      <c r="C126" s="12" t="s">
        <v>654</v>
      </c>
      <c r="D126" s="15" t="s">
        <v>36</v>
      </c>
      <c r="E126" s="811">
        <v>216000</v>
      </c>
    </row>
    <row r="127" customHeight="1" spans="1:5">
      <c r="A127" s="4">
        <v>3</v>
      </c>
      <c r="B127" s="14" t="s">
        <v>283</v>
      </c>
      <c r="C127" s="12" t="s">
        <v>655</v>
      </c>
      <c r="D127" s="15" t="s">
        <v>143</v>
      </c>
      <c r="E127" s="811">
        <v>216000</v>
      </c>
    </row>
    <row r="128" customHeight="1" spans="1:5">
      <c r="A128" s="4">
        <v>4</v>
      </c>
      <c r="B128" s="11" t="s">
        <v>286</v>
      </c>
      <c r="C128" s="12" t="s">
        <v>288</v>
      </c>
      <c r="D128" s="15" t="s">
        <v>192</v>
      </c>
      <c r="E128" s="811">
        <v>108000</v>
      </c>
    </row>
    <row r="129" customHeight="1" spans="1:5">
      <c r="A129" s="4">
        <v>5</v>
      </c>
      <c r="B129" s="11" t="s">
        <v>287</v>
      </c>
      <c r="C129" s="12" t="s">
        <v>656</v>
      </c>
      <c r="D129" s="15" t="s">
        <v>214</v>
      </c>
      <c r="E129" s="811">
        <v>108000</v>
      </c>
    </row>
    <row r="130" customHeight="1" spans="1:5">
      <c r="A130" s="4">
        <v>6</v>
      </c>
      <c r="B130" s="11" t="s">
        <v>289</v>
      </c>
      <c r="C130" s="12" t="s">
        <v>288</v>
      </c>
      <c r="D130" s="15" t="s">
        <v>47</v>
      </c>
      <c r="E130" s="811">
        <v>108000</v>
      </c>
    </row>
    <row r="131" customHeight="1" spans="1:5">
      <c r="A131" s="4">
        <v>7</v>
      </c>
      <c r="B131" s="11" t="s">
        <v>292</v>
      </c>
      <c r="C131" s="12" t="s">
        <v>657</v>
      </c>
      <c r="D131" s="10" t="s">
        <v>156</v>
      </c>
      <c r="E131" s="811">
        <v>64800</v>
      </c>
    </row>
    <row r="132" customHeight="1" spans="1:5">
      <c r="A132" s="4">
        <v>8</v>
      </c>
      <c r="B132" s="18" t="s">
        <v>294</v>
      </c>
      <c r="C132" s="12" t="s">
        <v>295</v>
      </c>
      <c r="D132" s="15" t="s">
        <v>108</v>
      </c>
      <c r="E132" s="811">
        <v>64800</v>
      </c>
    </row>
    <row r="133" customHeight="1" spans="1:5">
      <c r="A133" s="4">
        <v>9</v>
      </c>
      <c r="B133" s="18" t="s">
        <v>296</v>
      </c>
      <c r="C133" s="12" t="s">
        <v>291</v>
      </c>
      <c r="D133" s="15" t="s">
        <v>108</v>
      </c>
      <c r="E133" s="811">
        <v>64800</v>
      </c>
    </row>
    <row r="134" customHeight="1" spans="1:5">
      <c r="A134" s="4">
        <v>10</v>
      </c>
      <c r="B134" s="18" t="s">
        <v>297</v>
      </c>
      <c r="C134" s="12" t="s">
        <v>295</v>
      </c>
      <c r="D134" s="15" t="s">
        <v>111</v>
      </c>
      <c r="E134" s="811">
        <v>64800</v>
      </c>
    </row>
    <row r="135" ht="28.5" customHeight="1" spans="1:5">
      <c r="A135" s="4"/>
      <c r="B135" s="20" t="s">
        <v>120</v>
      </c>
      <c r="C135" s="26" t="s">
        <v>658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299</v>
      </c>
      <c r="C137" s="12"/>
      <c r="D137" s="15"/>
      <c r="E137" s="811"/>
    </row>
    <row r="138" customHeight="1" spans="1:5">
      <c r="A138" s="27">
        <v>1</v>
      </c>
      <c r="B138" s="14" t="s">
        <v>300</v>
      </c>
      <c r="C138" s="4" t="s">
        <v>301</v>
      </c>
      <c r="D138" s="10" t="s">
        <v>511</v>
      </c>
      <c r="E138" s="811">
        <v>324000</v>
      </c>
    </row>
    <row r="139" customHeight="1" spans="1:5">
      <c r="A139" s="27">
        <v>2</v>
      </c>
      <c r="B139" s="14" t="s">
        <v>302</v>
      </c>
      <c r="C139" s="4" t="s">
        <v>488</v>
      </c>
      <c r="D139" s="16" t="s">
        <v>36</v>
      </c>
      <c r="E139" s="811">
        <v>216000</v>
      </c>
    </row>
    <row r="140" customHeight="1" spans="1:5">
      <c r="A140" s="27">
        <v>3</v>
      </c>
      <c r="B140" s="11" t="s">
        <v>305</v>
      </c>
      <c r="C140" s="12" t="s">
        <v>306</v>
      </c>
      <c r="D140" s="15" t="s">
        <v>42</v>
      </c>
      <c r="E140" s="811">
        <v>151200</v>
      </c>
    </row>
    <row r="141" customHeight="1" spans="1:5">
      <c r="A141" s="27">
        <v>4</v>
      </c>
      <c r="B141" s="11" t="s">
        <v>307</v>
      </c>
      <c r="C141" s="4" t="s">
        <v>489</v>
      </c>
      <c r="D141" s="15" t="s">
        <v>42</v>
      </c>
      <c r="E141" s="811">
        <v>151200</v>
      </c>
    </row>
    <row r="142" customHeight="1" spans="1:5">
      <c r="A142" s="27">
        <v>5</v>
      </c>
      <c r="B142" s="11" t="s">
        <v>309</v>
      </c>
      <c r="C142" s="4" t="s">
        <v>489</v>
      </c>
      <c r="D142" s="15" t="s">
        <v>42</v>
      </c>
      <c r="E142" s="811">
        <v>151200</v>
      </c>
    </row>
    <row r="143" customHeight="1" spans="1:5">
      <c r="A143" s="27">
        <v>6</v>
      </c>
      <c r="B143" s="11" t="s">
        <v>312</v>
      </c>
      <c r="C143" s="12" t="s">
        <v>232</v>
      </c>
      <c r="D143" s="15" t="s">
        <v>67</v>
      </c>
      <c r="E143" s="811">
        <v>108000</v>
      </c>
    </row>
    <row r="144" customHeight="1" spans="1:5">
      <c r="A144" s="27">
        <v>7</v>
      </c>
      <c r="B144" s="11" t="s">
        <v>313</v>
      </c>
      <c r="C144" s="4" t="s">
        <v>659</v>
      </c>
      <c r="D144" s="15" t="s">
        <v>67</v>
      </c>
      <c r="E144" s="811">
        <v>108000</v>
      </c>
    </row>
    <row r="145" customHeight="1" spans="1:5">
      <c r="A145" s="27">
        <v>8</v>
      </c>
      <c r="B145" s="11" t="s">
        <v>315</v>
      </c>
      <c r="C145" s="12" t="s">
        <v>660</v>
      </c>
      <c r="D145" s="15" t="s">
        <v>173</v>
      </c>
      <c r="E145" s="811">
        <v>81600</v>
      </c>
    </row>
    <row r="146" customHeight="1" spans="1:5">
      <c r="A146" s="27">
        <v>9</v>
      </c>
      <c r="B146" s="11" t="s">
        <v>317</v>
      </c>
      <c r="C146" s="12" t="s">
        <v>318</v>
      </c>
      <c r="D146" s="15" t="s">
        <v>70</v>
      </c>
      <c r="E146" s="811">
        <v>81600</v>
      </c>
    </row>
    <row r="147" customHeight="1" spans="1:5">
      <c r="A147" s="27">
        <v>10</v>
      </c>
      <c r="B147" s="18" t="s">
        <v>319</v>
      </c>
      <c r="C147" s="4" t="s">
        <v>320</v>
      </c>
      <c r="D147" s="15" t="s">
        <v>131</v>
      </c>
      <c r="E147" s="811">
        <v>81600</v>
      </c>
    </row>
    <row r="148" customHeight="1" spans="1:5">
      <c r="A148" s="27">
        <v>11</v>
      </c>
      <c r="B148" s="11" t="s">
        <v>321</v>
      </c>
      <c r="C148" s="4" t="s">
        <v>320</v>
      </c>
      <c r="D148" s="15" t="s">
        <v>180</v>
      </c>
      <c r="E148" s="811">
        <v>81600</v>
      </c>
    </row>
    <row r="149" customHeight="1" spans="1:5">
      <c r="A149" s="27">
        <v>12</v>
      </c>
      <c r="B149" s="11" t="s">
        <v>322</v>
      </c>
      <c r="C149" s="4" t="s">
        <v>320</v>
      </c>
      <c r="D149" s="15" t="s">
        <v>180</v>
      </c>
      <c r="E149" s="811">
        <v>81600</v>
      </c>
    </row>
    <row r="150" customHeight="1" spans="1:5">
      <c r="A150" s="27">
        <v>13</v>
      </c>
      <c r="B150" s="11" t="s">
        <v>324</v>
      </c>
      <c r="C150" s="4" t="s">
        <v>320</v>
      </c>
      <c r="D150" s="15" t="s">
        <v>131</v>
      </c>
      <c r="E150" s="811">
        <v>81600</v>
      </c>
    </row>
    <row r="151" customHeight="1" spans="1:5">
      <c r="A151" s="27">
        <v>14</v>
      </c>
      <c r="B151" s="11" t="s">
        <v>325</v>
      </c>
      <c r="C151" s="12" t="s">
        <v>326</v>
      </c>
      <c r="D151" s="15" t="s">
        <v>78</v>
      </c>
      <c r="E151" s="811">
        <v>81600</v>
      </c>
    </row>
    <row r="152" customHeight="1" spans="1:5">
      <c r="A152" s="27">
        <v>15</v>
      </c>
      <c r="B152" s="11" t="s">
        <v>327</v>
      </c>
      <c r="C152" s="12" t="s">
        <v>328</v>
      </c>
      <c r="D152" s="10" t="s">
        <v>86</v>
      </c>
      <c r="E152" s="811">
        <v>64800</v>
      </c>
    </row>
    <row r="153" customHeight="1" spans="1:5">
      <c r="A153" s="27">
        <v>16</v>
      </c>
      <c r="B153" s="11" t="s">
        <v>329</v>
      </c>
      <c r="C153" s="12" t="s">
        <v>661</v>
      </c>
      <c r="D153" s="15" t="s">
        <v>153</v>
      </c>
      <c r="E153" s="816">
        <v>81600</v>
      </c>
    </row>
    <row r="154" customHeight="1" spans="1:5">
      <c r="A154" s="27">
        <v>17</v>
      </c>
      <c r="B154" s="11" t="s">
        <v>331</v>
      </c>
      <c r="C154" s="12" t="s">
        <v>662</v>
      </c>
      <c r="D154" s="15" t="s">
        <v>156</v>
      </c>
      <c r="E154" s="816">
        <v>64800</v>
      </c>
    </row>
    <row r="155" customHeight="1" spans="1:5">
      <c r="A155" s="27">
        <v>18</v>
      </c>
      <c r="B155" s="11" t="s">
        <v>333</v>
      </c>
      <c r="C155" s="12" t="s">
        <v>663</v>
      </c>
      <c r="D155" s="15" t="s">
        <v>153</v>
      </c>
      <c r="E155" s="816">
        <v>81600</v>
      </c>
    </row>
    <row r="156" customHeight="1" spans="1:5">
      <c r="A156" s="27">
        <v>19</v>
      </c>
      <c r="B156" s="11" t="s">
        <v>334</v>
      </c>
      <c r="C156" s="12" t="s">
        <v>664</v>
      </c>
      <c r="D156" s="15" t="s">
        <v>156</v>
      </c>
      <c r="E156" s="816">
        <v>64800</v>
      </c>
    </row>
    <row r="157" customHeight="1" spans="1:5">
      <c r="A157" s="27">
        <v>20</v>
      </c>
      <c r="B157" s="18" t="s">
        <v>336</v>
      </c>
      <c r="C157" s="12" t="s">
        <v>337</v>
      </c>
      <c r="D157" s="15" t="s">
        <v>99</v>
      </c>
      <c r="E157" s="816">
        <v>64800</v>
      </c>
    </row>
    <row r="158" customHeight="1" spans="1:5">
      <c r="A158" s="27">
        <v>21</v>
      </c>
      <c r="B158" s="18" t="s">
        <v>338</v>
      </c>
      <c r="C158" s="12" t="s">
        <v>337</v>
      </c>
      <c r="D158" s="15" t="s">
        <v>99</v>
      </c>
      <c r="E158" s="816">
        <v>64800</v>
      </c>
    </row>
    <row r="159" customHeight="1" spans="1:5">
      <c r="A159" s="27">
        <v>22</v>
      </c>
      <c r="B159" s="18" t="s">
        <v>343</v>
      </c>
      <c r="C159" s="12" t="s">
        <v>344</v>
      </c>
      <c r="D159" s="15" t="s">
        <v>108</v>
      </c>
      <c r="E159" s="811">
        <v>64800</v>
      </c>
    </row>
    <row r="160" customHeight="1" spans="1:5">
      <c r="A160" s="27">
        <v>23</v>
      </c>
      <c r="B160" s="18" t="s">
        <v>345</v>
      </c>
      <c r="C160" s="12" t="s">
        <v>346</v>
      </c>
      <c r="D160" s="15" t="s">
        <v>108</v>
      </c>
      <c r="E160" s="811">
        <v>64800</v>
      </c>
    </row>
    <row r="161" customHeight="1" spans="1:5">
      <c r="A161" s="27">
        <v>24</v>
      </c>
      <c r="B161" s="18" t="s">
        <v>347</v>
      </c>
      <c r="C161" s="12" t="s">
        <v>348</v>
      </c>
      <c r="D161" s="15" t="s">
        <v>108</v>
      </c>
      <c r="E161" s="811">
        <v>64800</v>
      </c>
    </row>
    <row r="162" customHeight="1" spans="1:5">
      <c r="A162" s="27">
        <v>25</v>
      </c>
      <c r="B162" s="18" t="s">
        <v>349</v>
      </c>
      <c r="C162" s="12" t="s">
        <v>665</v>
      </c>
      <c r="D162" s="15" t="s">
        <v>105</v>
      </c>
      <c r="E162" s="811">
        <v>64800</v>
      </c>
    </row>
    <row r="163" customHeight="1" spans="1:5">
      <c r="A163" s="27">
        <v>26</v>
      </c>
      <c r="B163" s="18" t="s">
        <v>350</v>
      </c>
      <c r="C163" s="12" t="s">
        <v>346</v>
      </c>
      <c r="D163" s="15" t="s">
        <v>108</v>
      </c>
      <c r="E163" s="811">
        <v>64800</v>
      </c>
    </row>
    <row r="164" customHeight="1" spans="1:5">
      <c r="A164" s="27">
        <v>27</v>
      </c>
      <c r="B164" s="18" t="s">
        <v>351</v>
      </c>
      <c r="C164" s="12" t="s">
        <v>352</v>
      </c>
      <c r="D164" s="15" t="s">
        <v>111</v>
      </c>
      <c r="E164" s="813">
        <v>64800</v>
      </c>
    </row>
    <row r="165" customHeight="1" spans="1:5">
      <c r="A165" s="27">
        <v>28</v>
      </c>
      <c r="B165" s="18" t="s">
        <v>353</v>
      </c>
      <c r="C165" s="12" t="s">
        <v>352</v>
      </c>
      <c r="D165" s="15" t="s">
        <v>111</v>
      </c>
      <c r="E165" s="813">
        <v>64800</v>
      </c>
    </row>
    <row r="166" customHeight="1" spans="1:5">
      <c r="A166" s="27">
        <v>29</v>
      </c>
      <c r="B166" s="11" t="s">
        <v>359</v>
      </c>
      <c r="C166" s="12" t="s">
        <v>512</v>
      </c>
      <c r="D166" s="15" t="s">
        <v>372</v>
      </c>
      <c r="E166" s="813">
        <v>54000</v>
      </c>
    </row>
    <row r="167" customHeight="1" spans="1:5">
      <c r="A167" s="27">
        <v>30</v>
      </c>
      <c r="B167" s="11" t="s">
        <v>362</v>
      </c>
      <c r="C167" s="12" t="s">
        <v>512</v>
      </c>
      <c r="D167" s="15" t="s">
        <v>372</v>
      </c>
      <c r="E167" s="813">
        <v>54000</v>
      </c>
    </row>
    <row r="168" customHeight="1" spans="1:5">
      <c r="A168" s="27">
        <v>31</v>
      </c>
      <c r="B168" s="11" t="s">
        <v>666</v>
      </c>
      <c r="C168" s="12" t="s">
        <v>512</v>
      </c>
      <c r="D168" s="15" t="s">
        <v>372</v>
      </c>
      <c r="E168" s="813">
        <v>54000</v>
      </c>
    </row>
    <row r="169" customHeight="1" spans="1:5">
      <c r="A169" s="27">
        <v>32</v>
      </c>
      <c r="B169" s="11" t="s">
        <v>363</v>
      </c>
      <c r="C169" s="12" t="s">
        <v>512</v>
      </c>
      <c r="D169" s="15" t="s">
        <v>372</v>
      </c>
      <c r="E169" s="813">
        <v>54000</v>
      </c>
    </row>
    <row r="170" customHeight="1" spans="1:5">
      <c r="A170" s="27">
        <v>33</v>
      </c>
      <c r="B170" s="11" t="s">
        <v>364</v>
      </c>
      <c r="C170" s="12" t="s">
        <v>512</v>
      </c>
      <c r="D170" s="15" t="s">
        <v>372</v>
      </c>
      <c r="E170" s="813">
        <v>54000</v>
      </c>
    </row>
    <row r="171" customHeight="1" spans="1:5">
      <c r="A171" s="27">
        <v>34</v>
      </c>
      <c r="B171" s="11" t="s">
        <v>365</v>
      </c>
      <c r="C171" s="12" t="s">
        <v>512</v>
      </c>
      <c r="D171" s="15" t="s">
        <v>384</v>
      </c>
      <c r="E171" s="813">
        <v>54000</v>
      </c>
    </row>
    <row r="172" customHeight="1" spans="1:5">
      <c r="A172" s="27">
        <v>35</v>
      </c>
      <c r="B172" s="11" t="s">
        <v>367</v>
      </c>
      <c r="C172" s="12" t="s">
        <v>512</v>
      </c>
      <c r="D172" s="15" t="s">
        <v>384</v>
      </c>
      <c r="E172" s="813">
        <v>54000</v>
      </c>
    </row>
    <row r="173" customHeight="1" spans="1:5">
      <c r="A173" s="27">
        <v>36</v>
      </c>
      <c r="B173" s="14" t="s">
        <v>368</v>
      </c>
      <c r="C173" s="12" t="s">
        <v>512</v>
      </c>
      <c r="D173" s="15" t="s">
        <v>384</v>
      </c>
      <c r="E173" s="813">
        <v>54000</v>
      </c>
    </row>
    <row r="174" customHeight="1" spans="1:5">
      <c r="A174" s="27">
        <v>37</v>
      </c>
      <c r="B174" s="11" t="s">
        <v>369</v>
      </c>
      <c r="C174" s="12" t="s">
        <v>512</v>
      </c>
      <c r="D174" s="15" t="s">
        <v>384</v>
      </c>
      <c r="E174" s="813">
        <v>54000</v>
      </c>
    </row>
    <row r="175" customHeight="1" spans="1:5">
      <c r="A175" s="27">
        <v>38</v>
      </c>
      <c r="B175" s="18" t="s">
        <v>370</v>
      </c>
      <c r="C175" s="12" t="s">
        <v>512</v>
      </c>
      <c r="D175" s="15" t="s">
        <v>384</v>
      </c>
      <c r="E175" s="813">
        <v>54000</v>
      </c>
    </row>
    <row r="176" customHeight="1" spans="1:5">
      <c r="A176" s="27">
        <v>39</v>
      </c>
      <c r="B176" s="18" t="s">
        <v>357</v>
      </c>
      <c r="C176" s="12" t="s">
        <v>512</v>
      </c>
      <c r="D176" s="15" t="s">
        <v>384</v>
      </c>
      <c r="E176" s="813">
        <v>54000</v>
      </c>
    </row>
    <row r="177" customHeight="1" spans="1:6">
      <c r="A177" s="27">
        <v>40</v>
      </c>
      <c r="B177" s="11" t="s">
        <v>371</v>
      </c>
      <c r="C177" s="12" t="s">
        <v>360</v>
      </c>
      <c r="D177" s="15" t="s">
        <v>606</v>
      </c>
      <c r="E177" s="813">
        <v>54000</v>
      </c>
    </row>
    <row r="178" customHeight="1" spans="1:6">
      <c r="A178" s="27">
        <v>41</v>
      </c>
      <c r="B178" s="11" t="s">
        <v>373</v>
      </c>
      <c r="C178" s="12" t="s">
        <v>360</v>
      </c>
      <c r="D178" s="15" t="s">
        <v>606</v>
      </c>
      <c r="E178" s="813">
        <v>54000</v>
      </c>
    </row>
    <row r="179" customHeight="1" spans="1:6">
      <c r="A179" s="27">
        <v>42</v>
      </c>
      <c r="B179" s="18" t="s">
        <v>374</v>
      </c>
      <c r="C179" s="12" t="s">
        <v>360</v>
      </c>
      <c r="D179" s="15" t="s">
        <v>377</v>
      </c>
      <c r="E179" s="813">
        <v>54000</v>
      </c>
    </row>
    <row r="180" customHeight="1" spans="1:6">
      <c r="A180" s="27">
        <v>43</v>
      </c>
      <c r="B180" s="11" t="s">
        <v>376</v>
      </c>
      <c r="C180" s="12" t="s">
        <v>387</v>
      </c>
      <c r="D180" s="15" t="s">
        <v>607</v>
      </c>
      <c r="E180" s="813">
        <v>54000</v>
      </c>
    </row>
    <row r="181" customHeight="1" spans="1:6">
      <c r="A181" s="27">
        <v>44</v>
      </c>
      <c r="B181" s="11" t="s">
        <v>378</v>
      </c>
      <c r="C181" s="12" t="s">
        <v>514</v>
      </c>
      <c r="D181" s="15" t="s">
        <v>667</v>
      </c>
      <c r="E181" s="811">
        <v>43200</v>
      </c>
      <c r="F181" s="13"/>
    </row>
    <row r="182" customHeight="1" spans="1:6">
      <c r="A182" s="27">
        <v>45</v>
      </c>
      <c r="B182" s="11" t="s">
        <v>379</v>
      </c>
      <c r="C182" s="12" t="s">
        <v>514</v>
      </c>
      <c r="D182" s="15" t="s">
        <v>667</v>
      </c>
      <c r="E182" s="811">
        <v>43200</v>
      </c>
    </row>
    <row r="183" customHeight="1" spans="1:6">
      <c r="A183" s="27">
        <v>46</v>
      </c>
      <c r="B183" s="11" t="s">
        <v>380</v>
      </c>
      <c r="C183" s="12" t="s">
        <v>514</v>
      </c>
      <c r="D183" s="15" t="s">
        <v>667</v>
      </c>
      <c r="E183" s="811">
        <v>43200</v>
      </c>
    </row>
    <row r="184" customHeight="1" spans="1:6">
      <c r="A184" s="27">
        <v>47</v>
      </c>
      <c r="B184" s="11" t="s">
        <v>381</v>
      </c>
      <c r="C184" s="12" t="s">
        <v>514</v>
      </c>
      <c r="D184" s="15" t="s">
        <v>667</v>
      </c>
      <c r="E184" s="811">
        <v>43200</v>
      </c>
    </row>
    <row r="185" customHeight="1" spans="1:6">
      <c r="A185" s="27">
        <v>48</v>
      </c>
      <c r="B185" s="11" t="s">
        <v>382</v>
      </c>
      <c r="C185" s="12" t="s">
        <v>514</v>
      </c>
      <c r="D185" s="15" t="s">
        <v>667</v>
      </c>
      <c r="E185" s="811">
        <v>43200</v>
      </c>
    </row>
    <row r="186" customHeight="1" spans="1:6">
      <c r="A186" s="27">
        <v>49</v>
      </c>
      <c r="B186" s="18" t="s">
        <v>383</v>
      </c>
      <c r="C186" s="12" t="s">
        <v>514</v>
      </c>
      <c r="D186" s="15" t="s">
        <v>667</v>
      </c>
      <c r="E186" s="811">
        <v>43200</v>
      </c>
    </row>
    <row r="187" customHeight="1" spans="1:6">
      <c r="A187" s="27">
        <v>50</v>
      </c>
      <c r="B187" s="18" t="s">
        <v>385</v>
      </c>
      <c r="C187" s="12" t="s">
        <v>514</v>
      </c>
      <c r="D187" s="15" t="s">
        <v>667</v>
      </c>
      <c r="E187" s="811">
        <v>43200</v>
      </c>
    </row>
    <row r="188" customHeight="1" spans="1:6">
      <c r="A188" s="27">
        <v>51</v>
      </c>
      <c r="B188" s="11" t="s">
        <v>668</v>
      </c>
      <c r="C188" s="12" t="s">
        <v>387</v>
      </c>
      <c r="D188" s="15" t="s">
        <v>667</v>
      </c>
      <c r="E188" s="811">
        <v>43200</v>
      </c>
    </row>
    <row r="189" customHeight="1" spans="1:6">
      <c r="A189" s="27">
        <v>52</v>
      </c>
      <c r="B189" s="11" t="s">
        <v>386</v>
      </c>
      <c r="C189" s="12" t="s">
        <v>387</v>
      </c>
      <c r="D189" s="15" t="s">
        <v>667</v>
      </c>
      <c r="E189" s="811">
        <v>43200</v>
      </c>
    </row>
    <row r="190" customHeight="1" spans="1:6">
      <c r="A190" s="27">
        <v>53</v>
      </c>
      <c r="B190" s="18" t="s">
        <v>358</v>
      </c>
      <c r="C190" s="12" t="s">
        <v>390</v>
      </c>
      <c r="D190" s="15" t="s">
        <v>669</v>
      </c>
      <c r="E190" s="811">
        <v>43200</v>
      </c>
    </row>
    <row r="191" customHeight="1" spans="1:6">
      <c r="A191" s="27">
        <v>54</v>
      </c>
      <c r="B191" s="18" t="s">
        <v>389</v>
      </c>
      <c r="C191" s="12" t="s">
        <v>390</v>
      </c>
      <c r="D191" s="15" t="s">
        <v>393</v>
      </c>
      <c r="E191" s="811">
        <v>43200</v>
      </c>
    </row>
    <row r="192" customHeight="1" spans="1:6">
      <c r="A192" s="27">
        <v>55</v>
      </c>
      <c r="B192" s="18" t="s">
        <v>392</v>
      </c>
      <c r="C192" s="12" t="s">
        <v>360</v>
      </c>
      <c r="D192" s="15" t="s">
        <v>607</v>
      </c>
      <c r="E192" s="811">
        <v>43200</v>
      </c>
    </row>
    <row r="193" customHeight="1" spans="1:5">
      <c r="A193" s="27">
        <v>56</v>
      </c>
      <c r="B193" s="18" t="s">
        <v>396</v>
      </c>
      <c r="C193" s="12" t="s">
        <v>397</v>
      </c>
      <c r="D193" s="15" t="s">
        <v>609</v>
      </c>
      <c r="E193" s="811">
        <v>43200</v>
      </c>
    </row>
    <row r="194" customHeight="1" spans="1:5">
      <c r="A194" s="27">
        <v>57</v>
      </c>
      <c r="B194" s="18" t="s">
        <v>399</v>
      </c>
      <c r="C194" s="12" t="s">
        <v>397</v>
      </c>
      <c r="D194" s="15" t="s">
        <v>609</v>
      </c>
      <c r="E194" s="811">
        <v>43200</v>
      </c>
    </row>
    <row r="195" customHeight="1" spans="1:5">
      <c r="A195" s="27">
        <v>58</v>
      </c>
      <c r="B195" s="18" t="s">
        <v>400</v>
      </c>
      <c r="C195" s="12" t="s">
        <v>397</v>
      </c>
      <c r="D195" s="15" t="s">
        <v>609</v>
      </c>
      <c r="E195" s="811">
        <v>43200</v>
      </c>
    </row>
    <row r="196" customHeight="1" spans="1:5">
      <c r="A196" s="27">
        <v>59</v>
      </c>
      <c r="B196" s="18" t="s">
        <v>401</v>
      </c>
      <c r="C196" s="12" t="s">
        <v>402</v>
      </c>
      <c r="D196" s="15" t="s">
        <v>391</v>
      </c>
      <c r="E196" s="811">
        <v>43200</v>
      </c>
    </row>
    <row r="197" customHeight="1" spans="1:5">
      <c r="A197" s="27">
        <v>60</v>
      </c>
      <c r="B197" s="18" t="s">
        <v>404</v>
      </c>
      <c r="C197" s="12" t="s">
        <v>402</v>
      </c>
      <c r="D197" s="15" t="s">
        <v>391</v>
      </c>
      <c r="E197" s="811">
        <v>43200</v>
      </c>
    </row>
    <row r="198" ht="30.75" customHeight="1" spans="1:5">
      <c r="A198" s="27"/>
      <c r="B198" s="8" t="s">
        <v>120</v>
      </c>
      <c r="C198" s="28" t="s">
        <v>670</v>
      </c>
      <c r="D198" s="29"/>
      <c r="E198" s="814">
        <f>SUM(E138:E197)</f>
        <v>4266000</v>
      </c>
    </row>
    <row r="199" ht="30" customHeight="1" spans="1:5">
      <c r="A199" s="4"/>
      <c r="B199" s="30" t="s">
        <v>406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1:5">
      <c r="B200" s="33"/>
      <c r="D200" s="34"/>
      <c r="E200" s="34"/>
    </row>
    <row r="201" ht="36.75" customHeight="1" spans="1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1009</v>
      </c>
      <c r="B1" s="721"/>
      <c r="C1" s="721"/>
    </row>
    <row r="2" ht="23.1" customHeight="1" spans="1:3">
      <c r="A2" s="722">
        <v>1</v>
      </c>
      <c r="B2" s="722" t="s">
        <v>491</v>
      </c>
      <c r="C2" s="610">
        <f>'Welfare June 25'!E199</f>
        <v>16412400</v>
      </c>
    </row>
    <row r="3" ht="23.1" customHeight="1" spans="1:3">
      <c r="A3" s="722">
        <v>2</v>
      </c>
      <c r="B3" s="722" t="s">
        <v>492</v>
      </c>
      <c r="C3" s="610">
        <f>'[17]Sallah 2025'!$E$58</f>
        <v>1790400</v>
      </c>
    </row>
    <row r="4" ht="23.1" customHeight="1" spans="1:3">
      <c r="A4" s="722">
        <v>3</v>
      </c>
      <c r="B4" s="722" t="s">
        <v>493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494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495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496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497</v>
      </c>
      <c r="C8" s="610">
        <f>'[16]Revised Version'!$E$167</f>
        <v>2844000</v>
      </c>
    </row>
    <row r="9" ht="23.1" customHeight="1" spans="1:3">
      <c r="A9" s="722"/>
      <c r="B9" s="267" t="s">
        <v>498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694</v>
      </c>
      <c r="AA4" s="466"/>
      <c r="AB4" s="466" t="s">
        <v>883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/>
      <c r="D6" s="469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470"/>
      <c r="P6" s="470"/>
      <c r="Q6" s="470"/>
      <c r="R6" s="470"/>
      <c r="S6" s="470"/>
      <c r="T6" s="470"/>
      <c r="U6" s="470"/>
      <c r="V6" s="470"/>
      <c r="W6" s="471"/>
      <c r="X6" s="470"/>
      <c r="Y6" s="470"/>
      <c r="Z6" s="470"/>
      <c r="AA6" s="473"/>
      <c r="AB6" s="473"/>
      <c r="AC6" s="473"/>
      <c r="AD6" s="473"/>
      <c r="AE6" s="473"/>
    </row>
    <row r="7" ht="18" spans="1:31">
      <c r="A7" s="467">
        <v>4</v>
      </c>
      <c r="B7" s="11" t="s">
        <v>27</v>
      </c>
      <c r="C7" s="468"/>
      <c r="D7" s="469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1"/>
      <c r="X7" s="470"/>
      <c r="Y7" s="470"/>
      <c r="Z7" s="470"/>
      <c r="AA7" s="473"/>
      <c r="AB7" s="473"/>
      <c r="AC7" s="473"/>
      <c r="AD7" s="473"/>
      <c r="AE7" s="473"/>
    </row>
    <row r="8" ht="18" spans="1:31">
      <c r="A8" s="467">
        <v>5</v>
      </c>
      <c r="B8" s="14" t="s">
        <v>30</v>
      </c>
      <c r="C8" s="468"/>
      <c r="D8" s="469"/>
      <c r="E8" s="470"/>
      <c r="F8" s="470"/>
      <c r="G8" s="470"/>
      <c r="H8" s="470"/>
      <c r="I8" s="470"/>
      <c r="J8" s="470"/>
      <c r="K8" s="470"/>
      <c r="L8" s="470"/>
      <c r="M8" s="470"/>
      <c r="N8" s="470"/>
      <c r="O8" s="470"/>
      <c r="P8" s="470"/>
      <c r="Q8" s="470"/>
      <c r="R8" s="470"/>
      <c r="S8" s="470"/>
      <c r="T8" s="470"/>
      <c r="U8" s="470"/>
      <c r="V8" s="470"/>
      <c r="W8" s="471"/>
      <c r="X8" s="470"/>
      <c r="Y8" s="470"/>
      <c r="Z8" s="470"/>
      <c r="AA8" s="473"/>
      <c r="AB8" s="473"/>
      <c r="AC8" s="473"/>
      <c r="AD8" s="473"/>
      <c r="AE8" s="473"/>
    </row>
    <row r="9" ht="18" spans="1:31">
      <c r="A9" s="467">
        <v>6</v>
      </c>
      <c r="B9" s="11" t="s">
        <v>32</v>
      </c>
      <c r="C9" s="468"/>
      <c r="D9" s="469"/>
      <c r="E9" s="470"/>
      <c r="F9" s="470"/>
      <c r="G9" s="470"/>
      <c r="H9" s="470"/>
      <c r="I9" s="470"/>
      <c r="J9" s="470"/>
      <c r="K9" s="470"/>
      <c r="L9" s="470"/>
      <c r="M9" s="470"/>
      <c r="N9" s="470"/>
      <c r="O9" s="470"/>
      <c r="P9" s="470"/>
      <c r="Q9" s="470"/>
      <c r="R9" s="470"/>
      <c r="S9" s="470"/>
      <c r="T9" s="470"/>
      <c r="U9" s="470"/>
      <c r="V9" s="470"/>
      <c r="W9" s="471"/>
      <c r="X9" s="470"/>
      <c r="Y9" s="470"/>
      <c r="Z9" s="470"/>
      <c r="AA9" s="473"/>
      <c r="AB9" s="473"/>
      <c r="AC9" s="473"/>
      <c r="AD9" s="473"/>
      <c r="AE9" s="473"/>
    </row>
    <row r="10" ht="18" spans="1:31">
      <c r="A10" s="467">
        <v>7</v>
      </c>
      <c r="B10" s="11" t="s">
        <v>34</v>
      </c>
      <c r="C10" s="468"/>
      <c r="D10" s="469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70"/>
      <c r="P10" s="470"/>
      <c r="Q10" s="470"/>
      <c r="R10" s="470"/>
      <c r="S10" s="470"/>
      <c r="T10" s="470"/>
      <c r="U10" s="470"/>
      <c r="V10" s="470"/>
      <c r="W10" s="471"/>
      <c r="X10" s="470"/>
      <c r="Y10" s="470"/>
      <c r="Z10" s="470"/>
      <c r="AA10" s="473"/>
      <c r="AB10" s="473"/>
      <c r="AC10" s="473"/>
      <c r="AD10" s="473"/>
      <c r="AE10" s="473"/>
    </row>
    <row r="11" ht="18" spans="1:31">
      <c r="A11" s="467">
        <v>8</v>
      </c>
      <c r="B11" s="11" t="s">
        <v>37</v>
      </c>
      <c r="C11" s="468">
        <v>77115</v>
      </c>
      <c r="D11" s="469">
        <v>12</v>
      </c>
      <c r="E11" s="470">
        <f t="shared" ref="E6:E36" si="0">C11*D11</f>
        <v>925380</v>
      </c>
      <c r="F11" s="470"/>
      <c r="G11" s="470"/>
      <c r="H11" s="470"/>
      <c r="I11" s="470">
        <f t="shared" ref="I6:I36" si="1">E11-F11-G11-H11</f>
        <v>925380</v>
      </c>
      <c r="J11" s="470">
        <v>200000</v>
      </c>
      <c r="K11" s="470">
        <v>0.2</v>
      </c>
      <c r="L11" s="470">
        <f t="shared" ref="L6:L36" si="2">I11*K11</f>
        <v>185076</v>
      </c>
      <c r="M11" s="470">
        <f t="shared" ref="M6:M36" si="3">J11+L11</f>
        <v>385076</v>
      </c>
      <c r="N11" s="470">
        <f t="shared" ref="N6:N36" si="4">F11+G11+H11+M11</f>
        <v>385076</v>
      </c>
      <c r="O11" s="470"/>
      <c r="P11" s="470">
        <f>IF(O11&lt;300000,0.07*O11,21000)</f>
        <v>0</v>
      </c>
      <c r="Q11" s="470">
        <f t="shared" ref="Q6:Q36" si="5">IF((O11-300000)&lt;0,0,IF((O11-300000)&lt;300000,0.11*(O11-300000),33000))</f>
        <v>0</v>
      </c>
      <c r="R11" s="470">
        <f t="shared" ref="R6:R36" si="6">IF((O11-600000)&lt;0,0,IF((O11-600000)&lt;500000,0.15*(O11-600000),75000))</f>
        <v>0</v>
      </c>
      <c r="S11" s="470">
        <f t="shared" ref="S6:S36" si="7">IF((O11-1100000)&lt;0,0,IF((O11-1100000)&lt;500000,0.19*(O11-1100000),95000))</f>
        <v>0</v>
      </c>
      <c r="T11" s="470">
        <f t="shared" ref="T6:T36" si="8">IF((O11-1600000)&lt;0,0,IF((O11-1600000)&lt;1600000,0.21*(O11-1600000),336000))</f>
        <v>0</v>
      </c>
      <c r="U11" s="470"/>
      <c r="V11" s="470">
        <f t="shared" ref="V6:V36" si="9">P11+Q11+R11+S11+T11+U11</f>
        <v>0</v>
      </c>
      <c r="W11" s="471">
        <v>12</v>
      </c>
      <c r="X11" s="470">
        <f t="shared" ref="X6:X36" si="10">V11/W11</f>
        <v>0</v>
      </c>
      <c r="Y11" s="470"/>
      <c r="Z11" s="470">
        <f t="shared" ref="Z6:Z36" si="11">X11</f>
        <v>0</v>
      </c>
      <c r="AA11" s="473">
        <v>101827.951418667</v>
      </c>
      <c r="AB11" s="473">
        <f t="shared" ref="AB6:AB32" si="12">Z11-AA11</f>
        <v>-101827.951418667</v>
      </c>
      <c r="AC11" s="473"/>
      <c r="AD11" s="473"/>
      <c r="AE11" s="473"/>
    </row>
    <row r="12" ht="18" spans="1:31">
      <c r="A12" s="467">
        <v>9</v>
      </c>
      <c r="B12" s="11" t="s">
        <v>40</v>
      </c>
      <c r="C12" s="468"/>
      <c r="D12" s="469"/>
      <c r="E12" s="470"/>
      <c r="F12" s="470"/>
      <c r="G12" s="470"/>
      <c r="H12" s="470"/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1"/>
      <c r="X12" s="470"/>
      <c r="Y12" s="470"/>
      <c r="Z12" s="470"/>
      <c r="AA12" s="473"/>
      <c r="AB12" s="473"/>
      <c r="AC12" s="473"/>
      <c r="AD12" s="473"/>
      <c r="AE12" s="473"/>
    </row>
    <row r="13" ht="18" spans="1:31">
      <c r="A13" s="467">
        <v>10</v>
      </c>
      <c r="B13" s="14" t="s">
        <v>43</v>
      </c>
      <c r="C13" s="468">
        <v>77115</v>
      </c>
      <c r="D13" s="469">
        <v>12</v>
      </c>
      <c r="E13" s="470">
        <f t="shared" si="0"/>
        <v>925380</v>
      </c>
      <c r="F13" s="470"/>
      <c r="G13" s="470"/>
      <c r="H13" s="470"/>
      <c r="I13" s="470">
        <f t="shared" si="1"/>
        <v>925380</v>
      </c>
      <c r="J13" s="470">
        <v>200000</v>
      </c>
      <c r="K13" s="470">
        <v>0.2</v>
      </c>
      <c r="L13" s="470">
        <f t="shared" si="2"/>
        <v>185076</v>
      </c>
      <c r="M13" s="470">
        <f t="shared" si="3"/>
        <v>385076</v>
      </c>
      <c r="N13" s="470">
        <f t="shared" si="4"/>
        <v>385076</v>
      </c>
      <c r="O13" s="470"/>
      <c r="P13" s="470">
        <f>IF(O13&lt;300000,0.07*O13,21000)</f>
        <v>0</v>
      </c>
      <c r="Q13" s="470">
        <f t="shared" si="5"/>
        <v>0</v>
      </c>
      <c r="R13" s="470">
        <f t="shared" si="6"/>
        <v>0</v>
      </c>
      <c r="S13" s="470">
        <f t="shared" si="7"/>
        <v>0</v>
      </c>
      <c r="T13" s="470">
        <f t="shared" si="8"/>
        <v>0</v>
      </c>
      <c r="U13" s="470"/>
      <c r="V13" s="470">
        <f t="shared" si="9"/>
        <v>0</v>
      </c>
      <c r="W13" s="471">
        <v>12</v>
      </c>
      <c r="X13" s="470">
        <f t="shared" si="10"/>
        <v>0</v>
      </c>
      <c r="Y13" s="470"/>
      <c r="Z13" s="470">
        <f t="shared" si="11"/>
        <v>0</v>
      </c>
      <c r="AA13" s="473">
        <v>94625.7820586667</v>
      </c>
      <c r="AB13" s="473">
        <f t="shared" si="12"/>
        <v>-94625.7820586667</v>
      </c>
      <c r="AC13" s="473"/>
      <c r="AD13" s="473"/>
      <c r="AE13" s="473"/>
    </row>
    <row r="14" ht="18" spans="1:31">
      <c r="A14" s="467">
        <v>11</v>
      </c>
      <c r="B14" s="11" t="s">
        <v>45</v>
      </c>
      <c r="C14" s="468">
        <v>55503</v>
      </c>
      <c r="D14" s="469">
        <v>12</v>
      </c>
      <c r="E14" s="470">
        <f t="shared" si="0"/>
        <v>666036</v>
      </c>
      <c r="F14" s="470"/>
      <c r="G14" s="470"/>
      <c r="H14" s="470"/>
      <c r="I14" s="470">
        <f t="shared" si="1"/>
        <v>666036</v>
      </c>
      <c r="J14" s="470">
        <v>200000</v>
      </c>
      <c r="K14" s="470">
        <v>0.2</v>
      </c>
      <c r="L14" s="470">
        <f t="shared" si="2"/>
        <v>133207.2</v>
      </c>
      <c r="M14" s="470">
        <f t="shared" si="3"/>
        <v>333207.2</v>
      </c>
      <c r="N14" s="470">
        <f t="shared" si="4"/>
        <v>333207.2</v>
      </c>
      <c r="O14" s="470"/>
      <c r="P14" s="470"/>
      <c r="Q14" s="470">
        <f t="shared" si="5"/>
        <v>0</v>
      </c>
      <c r="R14" s="470">
        <f t="shared" si="6"/>
        <v>0</v>
      </c>
      <c r="S14" s="470">
        <f t="shared" si="7"/>
        <v>0</v>
      </c>
      <c r="T14" s="470">
        <f t="shared" si="8"/>
        <v>0</v>
      </c>
      <c r="U14" s="470"/>
      <c r="V14" s="470">
        <f t="shared" si="9"/>
        <v>0</v>
      </c>
      <c r="W14" s="471">
        <v>12</v>
      </c>
      <c r="X14" s="470">
        <f t="shared" si="10"/>
        <v>0</v>
      </c>
      <c r="Y14" s="470"/>
      <c r="Z14" s="470">
        <f t="shared" si="11"/>
        <v>0</v>
      </c>
      <c r="AA14" s="473">
        <v>44846.6165886667</v>
      </c>
      <c r="AB14" s="473">
        <f t="shared" si="12"/>
        <v>-44846.6165886667</v>
      </c>
      <c r="AC14" s="473"/>
      <c r="AD14" s="473"/>
      <c r="AE14" s="473"/>
    </row>
    <row r="15" ht="18" spans="1:31">
      <c r="A15" s="467">
        <v>12</v>
      </c>
      <c r="B15" s="11" t="s">
        <v>48</v>
      </c>
      <c r="C15" s="468"/>
      <c r="D15" s="469"/>
      <c r="E15" s="470"/>
      <c r="F15" s="470"/>
      <c r="G15" s="470"/>
      <c r="H15" s="470"/>
      <c r="I15" s="470"/>
      <c r="J15" s="470"/>
      <c r="K15" s="470"/>
      <c r="L15" s="470"/>
      <c r="M15" s="470"/>
      <c r="N15" s="470"/>
      <c r="O15" s="470"/>
      <c r="P15" s="470"/>
      <c r="Q15" s="470"/>
      <c r="R15" s="470"/>
      <c r="S15" s="470"/>
      <c r="T15" s="470"/>
      <c r="U15" s="470"/>
      <c r="V15" s="470"/>
      <c r="W15" s="471"/>
      <c r="X15" s="470"/>
      <c r="Y15" s="470"/>
      <c r="Z15" s="470"/>
      <c r="AA15" s="473"/>
      <c r="AB15" s="473"/>
      <c r="AC15" s="473"/>
      <c r="AD15" s="473"/>
      <c r="AE15" s="473"/>
    </row>
    <row r="16" ht="18" spans="1:31">
      <c r="A16" s="467">
        <v>13</v>
      </c>
      <c r="B16" s="11" t="s">
        <v>51</v>
      </c>
      <c r="C16" s="468">
        <v>51556</v>
      </c>
      <c r="D16" s="469">
        <v>12</v>
      </c>
      <c r="E16" s="470">
        <f t="shared" si="0"/>
        <v>618672</v>
      </c>
      <c r="F16" s="470"/>
      <c r="G16" s="470"/>
      <c r="H16" s="470"/>
      <c r="I16" s="470">
        <f t="shared" si="1"/>
        <v>618672</v>
      </c>
      <c r="J16" s="470">
        <v>200000</v>
      </c>
      <c r="K16" s="470">
        <v>0.2</v>
      </c>
      <c r="L16" s="470">
        <f t="shared" si="2"/>
        <v>123734.4</v>
      </c>
      <c r="M16" s="470">
        <f t="shared" si="3"/>
        <v>323734.4</v>
      </c>
      <c r="N16" s="470">
        <f t="shared" si="4"/>
        <v>323734.4</v>
      </c>
      <c r="O16" s="470"/>
      <c r="P16" s="470"/>
      <c r="Q16" s="470">
        <f t="shared" si="5"/>
        <v>0</v>
      </c>
      <c r="R16" s="470">
        <f t="shared" si="6"/>
        <v>0</v>
      </c>
      <c r="S16" s="470">
        <f t="shared" si="7"/>
        <v>0</v>
      </c>
      <c r="T16" s="470">
        <f t="shared" si="8"/>
        <v>0</v>
      </c>
      <c r="U16" s="470"/>
      <c r="V16" s="470">
        <f t="shared" si="9"/>
        <v>0</v>
      </c>
      <c r="W16" s="471">
        <v>12</v>
      </c>
      <c r="X16" s="470">
        <f t="shared" si="10"/>
        <v>0</v>
      </c>
      <c r="Y16" s="470"/>
      <c r="Z16" s="470">
        <f t="shared" si="11"/>
        <v>0</v>
      </c>
      <c r="AA16" s="473">
        <v>46666.6666666667</v>
      </c>
      <c r="AB16" s="473">
        <f t="shared" si="12"/>
        <v>-46666.6666666667</v>
      </c>
      <c r="AC16" s="473"/>
      <c r="AD16" s="473"/>
      <c r="AE16" s="473"/>
    </row>
    <row r="17" ht="18" spans="1:31">
      <c r="A17" s="467">
        <v>14</v>
      </c>
      <c r="B17" s="18" t="s">
        <v>54</v>
      </c>
      <c r="C17" s="468">
        <v>51556</v>
      </c>
      <c r="D17" s="469">
        <v>12</v>
      </c>
      <c r="E17" s="470">
        <f t="shared" si="0"/>
        <v>618672</v>
      </c>
      <c r="F17" s="470"/>
      <c r="G17" s="470"/>
      <c r="H17" s="470"/>
      <c r="I17" s="470">
        <f t="shared" si="1"/>
        <v>618672</v>
      </c>
      <c r="J17" s="470">
        <v>200000</v>
      </c>
      <c r="K17" s="470">
        <v>0.2</v>
      </c>
      <c r="L17" s="470">
        <f t="shared" si="2"/>
        <v>123734.4</v>
      </c>
      <c r="M17" s="470">
        <f t="shared" si="3"/>
        <v>323734.4</v>
      </c>
      <c r="N17" s="470">
        <f t="shared" si="4"/>
        <v>323734.4</v>
      </c>
      <c r="O17" s="470"/>
      <c r="P17" s="470"/>
      <c r="Q17" s="470">
        <f t="shared" si="5"/>
        <v>0</v>
      </c>
      <c r="R17" s="470">
        <f t="shared" si="6"/>
        <v>0</v>
      </c>
      <c r="S17" s="470">
        <f t="shared" si="7"/>
        <v>0</v>
      </c>
      <c r="T17" s="470">
        <f t="shared" si="8"/>
        <v>0</v>
      </c>
      <c r="U17" s="470"/>
      <c r="V17" s="470">
        <f t="shared" si="9"/>
        <v>0</v>
      </c>
      <c r="W17" s="471">
        <v>12</v>
      </c>
      <c r="X17" s="470">
        <f t="shared" si="10"/>
        <v>0</v>
      </c>
      <c r="Y17" s="470"/>
      <c r="Z17" s="470">
        <f t="shared" si="11"/>
        <v>0</v>
      </c>
      <c r="AA17" s="473">
        <v>42046.0636866667</v>
      </c>
      <c r="AB17" s="473">
        <f t="shared" si="12"/>
        <v>-42046.0636866667</v>
      </c>
      <c r="AC17" s="473"/>
      <c r="AD17" s="473"/>
      <c r="AE17" s="473"/>
    </row>
    <row r="18" ht="18" spans="1:31">
      <c r="A18" s="467">
        <v>15</v>
      </c>
      <c r="B18" s="18" t="s">
        <v>57</v>
      </c>
      <c r="C18" s="468">
        <v>51556.3333333321</v>
      </c>
      <c r="D18" s="469">
        <v>12</v>
      </c>
      <c r="E18" s="470">
        <f t="shared" si="0"/>
        <v>618675.999999985</v>
      </c>
      <c r="F18" s="470"/>
      <c r="G18" s="470"/>
      <c r="H18" s="470"/>
      <c r="I18" s="470">
        <f t="shared" si="1"/>
        <v>618675.999999985</v>
      </c>
      <c r="J18" s="470">
        <v>200000</v>
      </c>
      <c r="K18" s="470">
        <v>0.2</v>
      </c>
      <c r="L18" s="470">
        <f t="shared" si="2"/>
        <v>123735.199999997</v>
      </c>
      <c r="M18" s="470">
        <f t="shared" si="3"/>
        <v>323735.199999997</v>
      </c>
      <c r="N18" s="470">
        <f t="shared" si="4"/>
        <v>323735.199999997</v>
      </c>
      <c r="O18" s="470"/>
      <c r="P18" s="470"/>
      <c r="Q18" s="470">
        <f t="shared" si="5"/>
        <v>0</v>
      </c>
      <c r="R18" s="470">
        <f t="shared" si="6"/>
        <v>0</v>
      </c>
      <c r="S18" s="470">
        <f t="shared" si="7"/>
        <v>0</v>
      </c>
      <c r="T18" s="470">
        <f t="shared" si="8"/>
        <v>0</v>
      </c>
      <c r="U18" s="470"/>
      <c r="V18" s="470">
        <f t="shared" si="9"/>
        <v>0</v>
      </c>
      <c r="W18" s="471">
        <v>12</v>
      </c>
      <c r="X18" s="470">
        <f t="shared" si="10"/>
        <v>0</v>
      </c>
      <c r="Y18" s="470"/>
      <c r="Z18" s="470">
        <f t="shared" si="11"/>
        <v>0</v>
      </c>
      <c r="AA18" s="473">
        <v>46666.6666666667</v>
      </c>
      <c r="AB18" s="473">
        <f t="shared" si="12"/>
        <v>-46666.6666666667</v>
      </c>
      <c r="AC18" s="473"/>
      <c r="AD18" s="473"/>
      <c r="AE18" s="473"/>
    </row>
    <row r="19" ht="18" spans="1:31">
      <c r="A19" s="467">
        <v>16</v>
      </c>
      <c r="B19" s="18" t="s">
        <v>60</v>
      </c>
      <c r="C19" s="468">
        <v>51556.3333333321</v>
      </c>
      <c r="D19" s="469">
        <v>12</v>
      </c>
      <c r="E19" s="470">
        <f t="shared" si="0"/>
        <v>618675.999999985</v>
      </c>
      <c r="F19" s="470"/>
      <c r="G19" s="470"/>
      <c r="H19" s="470"/>
      <c r="I19" s="470">
        <f t="shared" si="1"/>
        <v>618675.999999985</v>
      </c>
      <c r="J19" s="470">
        <v>200000</v>
      </c>
      <c r="K19" s="470">
        <v>0.2</v>
      </c>
      <c r="L19" s="470">
        <f t="shared" si="2"/>
        <v>123735.199999997</v>
      </c>
      <c r="M19" s="470">
        <f t="shared" si="3"/>
        <v>323735.199999997</v>
      </c>
      <c r="N19" s="470">
        <f t="shared" si="4"/>
        <v>323735.199999997</v>
      </c>
      <c r="O19" s="470"/>
      <c r="P19" s="470"/>
      <c r="Q19" s="470">
        <f t="shared" si="5"/>
        <v>0</v>
      </c>
      <c r="R19" s="470">
        <f t="shared" si="6"/>
        <v>0</v>
      </c>
      <c r="S19" s="470">
        <f t="shared" si="7"/>
        <v>0</v>
      </c>
      <c r="T19" s="470">
        <f t="shared" si="8"/>
        <v>0</v>
      </c>
      <c r="U19" s="470"/>
      <c r="V19" s="470">
        <f t="shared" si="9"/>
        <v>0</v>
      </c>
      <c r="W19" s="471">
        <v>12</v>
      </c>
      <c r="X19" s="470">
        <f t="shared" si="10"/>
        <v>0</v>
      </c>
      <c r="Y19" s="470"/>
      <c r="Z19" s="470">
        <f t="shared" si="11"/>
        <v>0</v>
      </c>
      <c r="AA19" s="473">
        <v>46666.6666666667</v>
      </c>
      <c r="AB19" s="473">
        <f t="shared" si="12"/>
        <v>-46666.6666666667</v>
      </c>
      <c r="AC19" s="473"/>
      <c r="AD19" s="473"/>
      <c r="AE19" s="473"/>
    </row>
    <row r="20" ht="18" spans="1:31">
      <c r="A20" s="467">
        <v>17</v>
      </c>
      <c r="B20" s="11" t="s">
        <v>62</v>
      </c>
      <c r="C20" s="468">
        <v>48766</v>
      </c>
      <c r="D20" s="469">
        <v>12</v>
      </c>
      <c r="E20" s="470">
        <f t="shared" si="0"/>
        <v>585192</v>
      </c>
      <c r="F20" s="470"/>
      <c r="G20" s="470"/>
      <c r="H20" s="470"/>
      <c r="I20" s="470">
        <f t="shared" si="1"/>
        <v>585192</v>
      </c>
      <c r="J20" s="470">
        <v>200000</v>
      </c>
      <c r="K20" s="470">
        <v>0.2</v>
      </c>
      <c r="L20" s="470">
        <f t="shared" si="2"/>
        <v>117038.4</v>
      </c>
      <c r="M20" s="470">
        <f t="shared" si="3"/>
        <v>317038.4</v>
      </c>
      <c r="N20" s="470">
        <f t="shared" si="4"/>
        <v>317038.4</v>
      </c>
      <c r="O20" s="470"/>
      <c r="P20" s="470"/>
      <c r="Q20" s="470">
        <f t="shared" si="5"/>
        <v>0</v>
      </c>
      <c r="R20" s="470">
        <f t="shared" si="6"/>
        <v>0</v>
      </c>
      <c r="S20" s="470">
        <f t="shared" si="7"/>
        <v>0</v>
      </c>
      <c r="T20" s="470">
        <f t="shared" si="8"/>
        <v>0</v>
      </c>
      <c r="U20" s="470"/>
      <c r="V20" s="470">
        <f t="shared" si="9"/>
        <v>0</v>
      </c>
      <c r="W20" s="471">
        <v>12</v>
      </c>
      <c r="X20" s="470">
        <f t="shared" si="10"/>
        <v>0</v>
      </c>
      <c r="Y20" s="470"/>
      <c r="Z20" s="470">
        <f t="shared" si="11"/>
        <v>0</v>
      </c>
      <c r="AA20" s="473">
        <v>52497.7703786666</v>
      </c>
      <c r="AB20" s="473">
        <f t="shared" si="12"/>
        <v>-52497.7703786666</v>
      </c>
      <c r="AC20" s="473"/>
      <c r="AD20" s="473"/>
      <c r="AE20" s="473"/>
    </row>
    <row r="21" ht="18" spans="1:31">
      <c r="A21" s="467">
        <v>18</v>
      </c>
      <c r="B21" s="11" t="s">
        <v>65</v>
      </c>
      <c r="C21" s="468">
        <v>48765.3333333321</v>
      </c>
      <c r="D21" s="469">
        <v>12</v>
      </c>
      <c r="E21" s="470">
        <f t="shared" si="0"/>
        <v>585183.999999985</v>
      </c>
      <c r="F21" s="470"/>
      <c r="G21" s="470"/>
      <c r="H21" s="470"/>
      <c r="I21" s="470">
        <f t="shared" si="1"/>
        <v>585183.999999985</v>
      </c>
      <c r="J21" s="470">
        <v>200000</v>
      </c>
      <c r="K21" s="470">
        <v>0.2</v>
      </c>
      <c r="L21" s="470">
        <f t="shared" si="2"/>
        <v>117036.799999997</v>
      </c>
      <c r="M21" s="470">
        <f t="shared" si="3"/>
        <v>317036.799999997</v>
      </c>
      <c r="N21" s="470">
        <f t="shared" si="4"/>
        <v>317036.799999997</v>
      </c>
      <c r="O21" s="470"/>
      <c r="P21" s="470"/>
      <c r="Q21" s="470">
        <f t="shared" si="5"/>
        <v>0</v>
      </c>
      <c r="R21" s="470">
        <f t="shared" si="6"/>
        <v>0</v>
      </c>
      <c r="S21" s="470">
        <f t="shared" si="7"/>
        <v>0</v>
      </c>
      <c r="T21" s="470">
        <f t="shared" si="8"/>
        <v>0</v>
      </c>
      <c r="U21" s="470"/>
      <c r="V21" s="470">
        <f t="shared" si="9"/>
        <v>0</v>
      </c>
      <c r="W21" s="471">
        <v>12</v>
      </c>
      <c r="X21" s="470">
        <f t="shared" si="10"/>
        <v>0</v>
      </c>
      <c r="Y21" s="470"/>
      <c r="Z21" s="470">
        <f t="shared" si="11"/>
        <v>0</v>
      </c>
      <c r="AA21" s="473">
        <v>46666.6666666667</v>
      </c>
      <c r="AB21" s="473">
        <f t="shared" si="12"/>
        <v>-46666.6666666667</v>
      </c>
      <c r="AC21" s="473"/>
      <c r="AD21" s="473"/>
      <c r="AE21" s="473"/>
    </row>
    <row r="22" ht="18" spans="1:31">
      <c r="A22" s="467">
        <v>19</v>
      </c>
      <c r="B22" s="14" t="s">
        <v>68</v>
      </c>
      <c r="C22" s="468">
        <v>48766</v>
      </c>
      <c r="D22" s="469">
        <v>12</v>
      </c>
      <c r="E22" s="470">
        <f t="shared" si="0"/>
        <v>585192</v>
      </c>
      <c r="F22" s="470"/>
      <c r="G22" s="470"/>
      <c r="H22" s="470"/>
      <c r="I22" s="470">
        <f t="shared" si="1"/>
        <v>585192</v>
      </c>
      <c r="J22" s="470">
        <v>200000</v>
      </c>
      <c r="K22" s="470">
        <v>0.2</v>
      </c>
      <c r="L22" s="470">
        <f t="shared" si="2"/>
        <v>117038.4</v>
      </c>
      <c r="M22" s="470">
        <f t="shared" si="3"/>
        <v>317038.4</v>
      </c>
      <c r="N22" s="470">
        <f t="shared" si="4"/>
        <v>317038.4</v>
      </c>
      <c r="O22" s="470"/>
      <c r="P22" s="470"/>
      <c r="Q22" s="470">
        <f t="shared" si="5"/>
        <v>0</v>
      </c>
      <c r="R22" s="470">
        <f t="shared" si="6"/>
        <v>0</v>
      </c>
      <c r="S22" s="470">
        <f t="shared" si="7"/>
        <v>0</v>
      </c>
      <c r="T22" s="470">
        <f t="shared" si="8"/>
        <v>0</v>
      </c>
      <c r="U22" s="470"/>
      <c r="V22" s="470">
        <f t="shared" si="9"/>
        <v>0</v>
      </c>
      <c r="W22" s="471">
        <v>12</v>
      </c>
      <c r="X22" s="470">
        <f t="shared" si="10"/>
        <v>0</v>
      </c>
      <c r="Y22" s="470"/>
      <c r="Z22" s="470">
        <f t="shared" si="11"/>
        <v>0</v>
      </c>
      <c r="AA22" s="473">
        <v>46666.6666666667</v>
      </c>
      <c r="AB22" s="473">
        <f t="shared" si="12"/>
        <v>-46666.6666666667</v>
      </c>
      <c r="AC22" s="473"/>
      <c r="AD22" s="473"/>
      <c r="AE22" s="473"/>
    </row>
    <row r="23" ht="18" spans="1:31">
      <c r="A23" s="467">
        <v>20</v>
      </c>
      <c r="B23" s="11" t="s">
        <v>71</v>
      </c>
      <c r="C23" s="468">
        <v>48766</v>
      </c>
      <c r="D23" s="469">
        <v>12</v>
      </c>
      <c r="E23" s="470">
        <f t="shared" si="0"/>
        <v>585192</v>
      </c>
      <c r="F23" s="470"/>
      <c r="G23" s="470"/>
      <c r="H23" s="470"/>
      <c r="I23" s="470">
        <f t="shared" si="1"/>
        <v>585192</v>
      </c>
      <c r="J23" s="470">
        <v>200000</v>
      </c>
      <c r="K23" s="470">
        <v>0.2</v>
      </c>
      <c r="L23" s="470">
        <f t="shared" si="2"/>
        <v>117038.4</v>
      </c>
      <c r="M23" s="470">
        <f t="shared" si="3"/>
        <v>317038.4</v>
      </c>
      <c r="N23" s="470">
        <f t="shared" si="4"/>
        <v>317038.4</v>
      </c>
      <c r="O23" s="470"/>
      <c r="P23" s="470">
        <f>IF(O23&lt;300000,0.07*O23,21000)</f>
        <v>0</v>
      </c>
      <c r="Q23" s="470">
        <f t="shared" si="5"/>
        <v>0</v>
      </c>
      <c r="R23" s="470">
        <f t="shared" si="6"/>
        <v>0</v>
      </c>
      <c r="S23" s="470">
        <f t="shared" si="7"/>
        <v>0</v>
      </c>
      <c r="T23" s="470">
        <f t="shared" si="8"/>
        <v>0</v>
      </c>
      <c r="U23" s="470"/>
      <c r="V23" s="470">
        <f t="shared" si="9"/>
        <v>0</v>
      </c>
      <c r="W23" s="471">
        <v>12</v>
      </c>
      <c r="X23" s="470">
        <f t="shared" si="10"/>
        <v>0</v>
      </c>
      <c r="Y23" s="470"/>
      <c r="Z23" s="470">
        <f t="shared" si="11"/>
        <v>0</v>
      </c>
      <c r="AA23" s="473">
        <v>42371.8157286667</v>
      </c>
      <c r="AB23" s="473">
        <f t="shared" si="12"/>
        <v>-42371.8157286667</v>
      </c>
      <c r="AC23" s="473"/>
      <c r="AD23" s="473"/>
      <c r="AE23" s="473"/>
    </row>
    <row r="24" ht="18" spans="1:31">
      <c r="A24" s="467">
        <v>21</v>
      </c>
      <c r="B24" s="14" t="s">
        <v>73</v>
      </c>
      <c r="C24" s="468">
        <v>31743.6666666642</v>
      </c>
      <c r="D24" s="469">
        <v>12</v>
      </c>
      <c r="E24" s="470">
        <f t="shared" si="0"/>
        <v>380923.99999997</v>
      </c>
      <c r="F24" s="470"/>
      <c r="G24" s="470"/>
      <c r="H24" s="470"/>
      <c r="I24" s="470">
        <f t="shared" si="1"/>
        <v>380923.99999997</v>
      </c>
      <c r="J24" s="470">
        <v>200000</v>
      </c>
      <c r="K24" s="470">
        <v>0.2</v>
      </c>
      <c r="L24" s="470">
        <f t="shared" si="2"/>
        <v>76184.799999994</v>
      </c>
      <c r="M24" s="470">
        <f t="shared" si="3"/>
        <v>276184.799999994</v>
      </c>
      <c r="N24" s="470">
        <f t="shared" si="4"/>
        <v>276184.799999994</v>
      </c>
      <c r="O24" s="470"/>
      <c r="P24" s="470"/>
      <c r="Q24" s="470">
        <f t="shared" si="5"/>
        <v>0</v>
      </c>
      <c r="R24" s="470">
        <f t="shared" si="6"/>
        <v>0</v>
      </c>
      <c r="S24" s="470">
        <f t="shared" si="7"/>
        <v>0</v>
      </c>
      <c r="T24" s="470">
        <f t="shared" si="8"/>
        <v>0</v>
      </c>
      <c r="U24" s="470"/>
      <c r="V24" s="470">
        <f t="shared" si="9"/>
        <v>0</v>
      </c>
      <c r="W24" s="471">
        <v>12</v>
      </c>
      <c r="X24" s="470">
        <f t="shared" si="10"/>
        <v>0</v>
      </c>
      <c r="Y24" s="470"/>
      <c r="Z24" s="470">
        <f t="shared" si="11"/>
        <v>0</v>
      </c>
      <c r="AA24" s="473">
        <v>23036.0123466667</v>
      </c>
      <c r="AB24" s="473">
        <f t="shared" si="12"/>
        <v>-23036.0123466667</v>
      </c>
      <c r="AC24" s="473"/>
      <c r="AD24" s="473"/>
      <c r="AE24" s="473"/>
    </row>
    <row r="25" ht="18" spans="1:31">
      <c r="A25" s="467">
        <v>22</v>
      </c>
      <c r="B25" s="14" t="s">
        <v>76</v>
      </c>
      <c r="C25" s="468">
        <v>31743.6666666642</v>
      </c>
      <c r="D25" s="469">
        <v>12</v>
      </c>
      <c r="E25" s="470">
        <f t="shared" si="0"/>
        <v>380923.99999997</v>
      </c>
      <c r="F25" s="470"/>
      <c r="G25" s="470"/>
      <c r="H25" s="470"/>
      <c r="I25" s="470">
        <f t="shared" si="1"/>
        <v>380923.99999997</v>
      </c>
      <c r="J25" s="470">
        <v>200000</v>
      </c>
      <c r="K25" s="470">
        <v>0.2</v>
      </c>
      <c r="L25" s="470">
        <f t="shared" si="2"/>
        <v>76184.799999994</v>
      </c>
      <c r="M25" s="470">
        <f t="shared" si="3"/>
        <v>276184.799999994</v>
      </c>
      <c r="N25" s="470">
        <f t="shared" si="4"/>
        <v>276184.799999994</v>
      </c>
      <c r="O25" s="470"/>
      <c r="P25" s="470"/>
      <c r="Q25" s="470">
        <f t="shared" si="5"/>
        <v>0</v>
      </c>
      <c r="R25" s="470">
        <f t="shared" si="6"/>
        <v>0</v>
      </c>
      <c r="S25" s="470">
        <f t="shared" si="7"/>
        <v>0</v>
      </c>
      <c r="T25" s="470">
        <f t="shared" si="8"/>
        <v>0</v>
      </c>
      <c r="U25" s="470"/>
      <c r="V25" s="470">
        <f t="shared" si="9"/>
        <v>0</v>
      </c>
      <c r="W25" s="471">
        <v>12</v>
      </c>
      <c r="X25" s="470">
        <f t="shared" si="10"/>
        <v>0</v>
      </c>
      <c r="Y25" s="470"/>
      <c r="Z25" s="470">
        <f t="shared" si="11"/>
        <v>0</v>
      </c>
      <c r="AA25" s="473">
        <v>23036.0123466667</v>
      </c>
      <c r="AB25" s="473">
        <f t="shared" si="12"/>
        <v>-23036.0123466667</v>
      </c>
      <c r="AC25" s="473"/>
      <c r="AD25" s="473"/>
      <c r="AE25" s="473"/>
    </row>
    <row r="26" ht="18" spans="1:31">
      <c r="A26" s="467">
        <v>23</v>
      </c>
      <c r="B26" s="4" t="s">
        <v>478</v>
      </c>
      <c r="C26" s="468">
        <v>29265.3333333321</v>
      </c>
      <c r="D26" s="469">
        <v>12</v>
      </c>
      <c r="E26" s="470">
        <f t="shared" si="0"/>
        <v>351183.999999985</v>
      </c>
      <c r="F26" s="470"/>
      <c r="G26" s="470"/>
      <c r="H26" s="470"/>
      <c r="I26" s="470">
        <f t="shared" si="1"/>
        <v>351183.999999985</v>
      </c>
      <c r="J26" s="470">
        <v>200000</v>
      </c>
      <c r="K26" s="470">
        <v>0.2</v>
      </c>
      <c r="L26" s="470">
        <f t="shared" si="2"/>
        <v>70236.799999997</v>
      </c>
      <c r="M26" s="470">
        <f t="shared" si="3"/>
        <v>270236.799999997</v>
      </c>
      <c r="N26" s="470">
        <f t="shared" si="4"/>
        <v>270236.799999997</v>
      </c>
      <c r="O26" s="470"/>
      <c r="P26" s="470"/>
      <c r="Q26" s="470">
        <f t="shared" si="5"/>
        <v>0</v>
      </c>
      <c r="R26" s="470">
        <f t="shared" si="6"/>
        <v>0</v>
      </c>
      <c r="S26" s="470">
        <f t="shared" si="7"/>
        <v>0</v>
      </c>
      <c r="T26" s="470">
        <f t="shared" si="8"/>
        <v>0</v>
      </c>
      <c r="U26" s="470"/>
      <c r="V26" s="470">
        <f t="shared" si="9"/>
        <v>0</v>
      </c>
      <c r="W26" s="471">
        <v>12</v>
      </c>
      <c r="X26" s="470">
        <f t="shared" si="10"/>
        <v>0</v>
      </c>
      <c r="Y26" s="470"/>
      <c r="Z26" s="470">
        <f t="shared" si="11"/>
        <v>0</v>
      </c>
      <c r="AA26" s="473">
        <v>29756.0123466667</v>
      </c>
      <c r="AB26" s="473">
        <f t="shared" si="12"/>
        <v>-29756.0123466667</v>
      </c>
      <c r="AC26" s="473"/>
      <c r="AD26" s="473"/>
      <c r="AE26" s="473"/>
    </row>
    <row r="27" ht="18" spans="1:31">
      <c r="A27" s="467">
        <v>24</v>
      </c>
      <c r="B27" s="18" t="s">
        <v>79</v>
      </c>
      <c r="C27" s="468">
        <v>29265.3333333321</v>
      </c>
      <c r="D27" s="469">
        <v>12</v>
      </c>
      <c r="E27" s="470">
        <f t="shared" si="0"/>
        <v>351183.999999985</v>
      </c>
      <c r="F27" s="470"/>
      <c r="G27" s="470"/>
      <c r="H27" s="470"/>
      <c r="I27" s="470">
        <f t="shared" si="1"/>
        <v>351183.999999985</v>
      </c>
      <c r="J27" s="470">
        <v>200000</v>
      </c>
      <c r="K27" s="470">
        <v>0.2</v>
      </c>
      <c r="L27" s="470">
        <f t="shared" si="2"/>
        <v>70236.799999997</v>
      </c>
      <c r="M27" s="470">
        <f t="shared" si="3"/>
        <v>270236.799999997</v>
      </c>
      <c r="N27" s="470">
        <f t="shared" si="4"/>
        <v>270236.799999997</v>
      </c>
      <c r="O27" s="470"/>
      <c r="P27" s="470"/>
      <c r="Q27" s="470">
        <f t="shared" si="5"/>
        <v>0</v>
      </c>
      <c r="R27" s="470">
        <f t="shared" si="6"/>
        <v>0</v>
      </c>
      <c r="S27" s="470">
        <f t="shared" si="7"/>
        <v>0</v>
      </c>
      <c r="T27" s="470">
        <f t="shared" si="8"/>
        <v>0</v>
      </c>
      <c r="U27" s="470"/>
      <c r="V27" s="470">
        <f t="shared" si="9"/>
        <v>0</v>
      </c>
      <c r="W27" s="471">
        <v>12</v>
      </c>
      <c r="X27" s="470">
        <f t="shared" si="10"/>
        <v>0</v>
      </c>
      <c r="Y27" s="470"/>
      <c r="Z27" s="470">
        <f t="shared" si="11"/>
        <v>0</v>
      </c>
      <c r="AA27" s="473">
        <v>22338.4826046667</v>
      </c>
      <c r="AB27" s="473">
        <f t="shared" si="12"/>
        <v>-22338.4826046667</v>
      </c>
      <c r="AC27" s="473"/>
      <c r="AD27" s="473"/>
      <c r="AE27" s="473"/>
    </row>
    <row r="28" ht="18" spans="1:31">
      <c r="A28" s="467">
        <v>25</v>
      </c>
      <c r="B28" s="11" t="s">
        <v>82</v>
      </c>
      <c r="C28" s="468">
        <v>29265.3333333321</v>
      </c>
      <c r="D28" s="469">
        <v>12</v>
      </c>
      <c r="E28" s="470">
        <f t="shared" si="0"/>
        <v>351183.999999985</v>
      </c>
      <c r="F28" s="470"/>
      <c r="G28" s="470"/>
      <c r="H28" s="470"/>
      <c r="I28" s="470">
        <f t="shared" si="1"/>
        <v>351183.999999985</v>
      </c>
      <c r="J28" s="470">
        <v>200000</v>
      </c>
      <c r="K28" s="470">
        <v>0.2</v>
      </c>
      <c r="L28" s="470">
        <f t="shared" si="2"/>
        <v>70236.799999997</v>
      </c>
      <c r="M28" s="470">
        <f t="shared" si="3"/>
        <v>270236.799999997</v>
      </c>
      <c r="N28" s="470">
        <f t="shared" si="4"/>
        <v>270236.799999997</v>
      </c>
      <c r="O28" s="470"/>
      <c r="P28" s="470"/>
      <c r="Q28" s="470">
        <f t="shared" si="5"/>
        <v>0</v>
      </c>
      <c r="R28" s="470">
        <f t="shared" si="6"/>
        <v>0</v>
      </c>
      <c r="S28" s="470">
        <f t="shared" si="7"/>
        <v>0</v>
      </c>
      <c r="T28" s="470">
        <f t="shared" si="8"/>
        <v>0</v>
      </c>
      <c r="U28" s="470"/>
      <c r="V28" s="470">
        <f t="shared" si="9"/>
        <v>0</v>
      </c>
      <c r="W28" s="471">
        <v>12</v>
      </c>
      <c r="X28" s="470">
        <f t="shared" si="10"/>
        <v>0</v>
      </c>
      <c r="Y28" s="470"/>
      <c r="Z28" s="470">
        <f t="shared" si="11"/>
        <v>0</v>
      </c>
      <c r="AA28" s="473">
        <v>21640.9528626667</v>
      </c>
      <c r="AB28" s="473">
        <f t="shared" si="12"/>
        <v>-21640.9528626667</v>
      </c>
      <c r="AC28" s="473"/>
      <c r="AD28" s="473"/>
      <c r="AE28" s="473"/>
    </row>
    <row r="29" ht="18" spans="1:31">
      <c r="A29" s="467">
        <v>26</v>
      </c>
      <c r="B29" s="18" t="s">
        <v>84</v>
      </c>
      <c r="C29" s="468">
        <v>29265.3333333358</v>
      </c>
      <c r="D29" s="469">
        <v>12</v>
      </c>
      <c r="E29" s="470">
        <f t="shared" si="0"/>
        <v>351184.00000003</v>
      </c>
      <c r="F29" s="470"/>
      <c r="G29" s="470"/>
      <c r="H29" s="470"/>
      <c r="I29" s="470">
        <f t="shared" si="1"/>
        <v>351184.00000003</v>
      </c>
      <c r="J29" s="470">
        <v>200000</v>
      </c>
      <c r="K29" s="470">
        <v>0.2</v>
      </c>
      <c r="L29" s="470">
        <f t="shared" si="2"/>
        <v>70236.800000006</v>
      </c>
      <c r="M29" s="470">
        <f t="shared" si="3"/>
        <v>270236.800000006</v>
      </c>
      <c r="N29" s="470">
        <f t="shared" si="4"/>
        <v>270236.800000006</v>
      </c>
      <c r="O29" s="470"/>
      <c r="P29" s="470"/>
      <c r="Q29" s="470">
        <f t="shared" si="5"/>
        <v>0</v>
      </c>
      <c r="R29" s="470">
        <f t="shared" si="6"/>
        <v>0</v>
      </c>
      <c r="S29" s="470">
        <f t="shared" si="7"/>
        <v>0</v>
      </c>
      <c r="T29" s="470">
        <f t="shared" si="8"/>
        <v>0</v>
      </c>
      <c r="U29" s="470"/>
      <c r="V29" s="470">
        <f t="shared" si="9"/>
        <v>0</v>
      </c>
      <c r="W29" s="471">
        <v>12</v>
      </c>
      <c r="X29" s="470">
        <f t="shared" si="10"/>
        <v>0</v>
      </c>
      <c r="Y29" s="470"/>
      <c r="Z29" s="470">
        <f t="shared" si="11"/>
        <v>0</v>
      </c>
      <c r="AA29" s="473">
        <v>21640.9528626667</v>
      </c>
      <c r="AB29" s="473">
        <f t="shared" si="12"/>
        <v>-21640.9528626667</v>
      </c>
      <c r="AC29" s="473"/>
      <c r="AD29" s="473"/>
      <c r="AE29" s="473"/>
    </row>
    <row r="30" ht="18" spans="1:31">
      <c r="A30" s="467">
        <v>27</v>
      </c>
      <c r="B30" s="18" t="s">
        <v>87</v>
      </c>
      <c r="C30" s="468">
        <v>29265.3333333321</v>
      </c>
      <c r="D30" s="469">
        <v>12</v>
      </c>
      <c r="E30" s="470">
        <f t="shared" si="0"/>
        <v>351183.999999985</v>
      </c>
      <c r="F30" s="470"/>
      <c r="G30" s="470"/>
      <c r="H30" s="470"/>
      <c r="I30" s="470">
        <f t="shared" si="1"/>
        <v>351183.999999985</v>
      </c>
      <c r="J30" s="470">
        <v>200000</v>
      </c>
      <c r="K30" s="470">
        <v>0.2</v>
      </c>
      <c r="L30" s="470">
        <f t="shared" si="2"/>
        <v>70236.799999997</v>
      </c>
      <c r="M30" s="470">
        <f t="shared" si="3"/>
        <v>270236.799999997</v>
      </c>
      <c r="N30" s="470">
        <f t="shared" si="4"/>
        <v>270236.799999997</v>
      </c>
      <c r="O30" s="470"/>
      <c r="P30" s="470"/>
      <c r="Q30" s="470">
        <f t="shared" si="5"/>
        <v>0</v>
      </c>
      <c r="R30" s="470">
        <f t="shared" si="6"/>
        <v>0</v>
      </c>
      <c r="S30" s="470">
        <f t="shared" si="7"/>
        <v>0</v>
      </c>
      <c r="T30" s="470">
        <f t="shared" si="8"/>
        <v>0</v>
      </c>
      <c r="U30" s="470"/>
      <c r="V30" s="470">
        <f t="shared" si="9"/>
        <v>0</v>
      </c>
      <c r="W30" s="471">
        <v>12</v>
      </c>
      <c r="X30" s="470">
        <f t="shared" si="10"/>
        <v>0</v>
      </c>
      <c r="Y30" s="470"/>
      <c r="Z30" s="470">
        <f t="shared" si="11"/>
        <v>0</v>
      </c>
      <c r="AA30" s="473">
        <v>22338.4826046667</v>
      </c>
      <c r="AB30" s="473">
        <f t="shared" si="12"/>
        <v>-22338.4826046667</v>
      </c>
      <c r="AC30" s="473"/>
      <c r="AD30" s="473"/>
      <c r="AE30" s="473"/>
    </row>
    <row r="31" ht="18" spans="1:31">
      <c r="A31" s="467">
        <v>28</v>
      </c>
      <c r="B31" s="18" t="s">
        <v>89</v>
      </c>
      <c r="C31" s="468">
        <v>29265.3333333321</v>
      </c>
      <c r="D31" s="469">
        <v>12</v>
      </c>
      <c r="E31" s="470">
        <f t="shared" si="0"/>
        <v>351183.999999985</v>
      </c>
      <c r="F31" s="470"/>
      <c r="G31" s="474"/>
      <c r="H31" s="470"/>
      <c r="I31" s="470">
        <f t="shared" si="1"/>
        <v>351183.999999985</v>
      </c>
      <c r="J31" s="470">
        <v>200000</v>
      </c>
      <c r="K31" s="470">
        <v>0.2</v>
      </c>
      <c r="L31" s="470">
        <f t="shared" si="2"/>
        <v>70236.799999997</v>
      </c>
      <c r="M31" s="470">
        <f t="shared" si="3"/>
        <v>270236.799999997</v>
      </c>
      <c r="N31" s="470">
        <f t="shared" si="4"/>
        <v>270236.799999997</v>
      </c>
      <c r="O31" s="470"/>
      <c r="P31" s="470"/>
      <c r="Q31" s="470">
        <f t="shared" si="5"/>
        <v>0</v>
      </c>
      <c r="R31" s="470">
        <f t="shared" si="6"/>
        <v>0</v>
      </c>
      <c r="S31" s="470">
        <f t="shared" si="7"/>
        <v>0</v>
      </c>
      <c r="T31" s="470">
        <f t="shared" si="8"/>
        <v>0</v>
      </c>
      <c r="U31" s="470"/>
      <c r="V31" s="470">
        <f t="shared" si="9"/>
        <v>0</v>
      </c>
      <c r="W31" s="471">
        <v>12</v>
      </c>
      <c r="X31" s="470">
        <f t="shared" si="10"/>
        <v>0</v>
      </c>
      <c r="Y31" s="470"/>
      <c r="Z31" s="470">
        <f t="shared" si="11"/>
        <v>0</v>
      </c>
      <c r="AA31" s="473">
        <v>17572.8850026667</v>
      </c>
      <c r="AB31" s="473">
        <f t="shared" si="12"/>
        <v>-17572.8850026667</v>
      </c>
      <c r="AC31" s="473"/>
      <c r="AD31" s="473"/>
      <c r="AE31" s="473"/>
    </row>
    <row r="32" ht="18" spans="1:31">
      <c r="A32" s="467">
        <v>29</v>
      </c>
      <c r="B32" s="18" t="s">
        <v>91</v>
      </c>
      <c r="C32" s="468">
        <v>29265.3333333321</v>
      </c>
      <c r="D32" s="469">
        <v>12</v>
      </c>
      <c r="E32" s="470">
        <f t="shared" si="0"/>
        <v>351183.999999985</v>
      </c>
      <c r="F32" s="470"/>
      <c r="G32" s="474"/>
      <c r="H32" s="470"/>
      <c r="I32" s="470">
        <f t="shared" si="1"/>
        <v>351183.999999985</v>
      </c>
      <c r="J32" s="470">
        <v>200000</v>
      </c>
      <c r="K32" s="470">
        <v>0.2</v>
      </c>
      <c r="L32" s="470">
        <f t="shared" si="2"/>
        <v>70236.799999997</v>
      </c>
      <c r="M32" s="470">
        <f t="shared" si="3"/>
        <v>270236.799999997</v>
      </c>
      <c r="N32" s="470">
        <f t="shared" si="4"/>
        <v>270236.799999997</v>
      </c>
      <c r="O32" s="470"/>
      <c r="P32" s="470"/>
      <c r="Q32" s="470">
        <f t="shared" si="5"/>
        <v>0</v>
      </c>
      <c r="R32" s="470">
        <f t="shared" si="6"/>
        <v>0</v>
      </c>
      <c r="S32" s="470">
        <f t="shared" si="7"/>
        <v>0</v>
      </c>
      <c r="T32" s="470">
        <f t="shared" si="8"/>
        <v>0</v>
      </c>
      <c r="U32" s="470"/>
      <c r="V32" s="470">
        <f t="shared" si="9"/>
        <v>0</v>
      </c>
      <c r="W32" s="471">
        <v>12</v>
      </c>
      <c r="X32" s="470">
        <f t="shared" si="10"/>
        <v>0</v>
      </c>
      <c r="Y32" s="470"/>
      <c r="Z32" s="470">
        <f t="shared" si="11"/>
        <v>0</v>
      </c>
      <c r="AA32" s="473">
        <v>16512.6821906667</v>
      </c>
      <c r="AB32" s="473">
        <f t="shared" si="12"/>
        <v>-16512.6821906667</v>
      </c>
      <c r="AC32" s="473"/>
      <c r="AD32" s="473"/>
      <c r="AE32" s="473"/>
    </row>
    <row r="33" ht="18" spans="1:31">
      <c r="A33" s="467"/>
      <c r="B33" s="18" t="s">
        <v>93</v>
      </c>
      <c r="C33" s="468">
        <v>29265.3333333321</v>
      </c>
      <c r="D33" s="469">
        <v>12</v>
      </c>
      <c r="E33" s="470">
        <f t="shared" si="0"/>
        <v>351183.999999985</v>
      </c>
      <c r="F33" s="470"/>
      <c r="G33" s="474"/>
      <c r="H33" s="470"/>
      <c r="I33" s="470">
        <f t="shared" si="1"/>
        <v>351183.999999985</v>
      </c>
      <c r="J33" s="470">
        <v>200000</v>
      </c>
      <c r="K33" s="470">
        <v>0.2</v>
      </c>
      <c r="L33" s="470">
        <f t="shared" si="2"/>
        <v>70236.799999997</v>
      </c>
      <c r="M33" s="470">
        <f t="shared" si="3"/>
        <v>270236.799999997</v>
      </c>
      <c r="N33" s="470">
        <f t="shared" si="4"/>
        <v>270236.799999997</v>
      </c>
      <c r="O33" s="470"/>
      <c r="P33" s="470"/>
      <c r="Q33" s="470">
        <f t="shared" si="5"/>
        <v>0</v>
      </c>
      <c r="R33" s="470">
        <f t="shared" si="6"/>
        <v>0</v>
      </c>
      <c r="S33" s="470">
        <f t="shared" si="7"/>
        <v>0</v>
      </c>
      <c r="T33" s="470">
        <f t="shared" si="8"/>
        <v>0</v>
      </c>
      <c r="U33" s="470"/>
      <c r="V33" s="470">
        <f t="shared" si="9"/>
        <v>0</v>
      </c>
      <c r="W33" s="471">
        <v>12</v>
      </c>
      <c r="X33" s="470">
        <f t="shared" si="10"/>
        <v>0</v>
      </c>
      <c r="Y33" s="470"/>
      <c r="Z33" s="470">
        <f t="shared" si="11"/>
        <v>0</v>
      </c>
      <c r="AA33" s="473"/>
      <c r="AB33" s="473"/>
      <c r="AC33" s="473"/>
      <c r="AD33" s="473"/>
      <c r="AE33" s="473"/>
    </row>
    <row r="34" ht="18" spans="1:31">
      <c r="A34" s="467"/>
      <c r="B34" s="18" t="s">
        <v>95</v>
      </c>
      <c r="C34" s="468">
        <v>29265.3333333321</v>
      </c>
      <c r="D34" s="469">
        <v>12</v>
      </c>
      <c r="E34" s="470">
        <f t="shared" si="0"/>
        <v>351183.999999985</v>
      </c>
      <c r="F34" s="470"/>
      <c r="G34" s="474"/>
      <c r="H34" s="470"/>
      <c r="I34" s="470">
        <f t="shared" si="1"/>
        <v>351183.999999985</v>
      </c>
      <c r="J34" s="470">
        <v>200000</v>
      </c>
      <c r="K34" s="470">
        <v>0.2</v>
      </c>
      <c r="L34" s="470">
        <f t="shared" si="2"/>
        <v>70236.799999997</v>
      </c>
      <c r="M34" s="470">
        <f t="shared" si="3"/>
        <v>270236.799999997</v>
      </c>
      <c r="N34" s="470">
        <f t="shared" si="4"/>
        <v>270236.799999997</v>
      </c>
      <c r="O34" s="470">
        <f>E34-N34</f>
        <v>80947.1999999881</v>
      </c>
      <c r="P34" s="470">
        <f>IF(O34&lt;300000,0.07*O34,21000)</f>
        <v>5666.30399999917</v>
      </c>
      <c r="Q34" s="470">
        <f t="shared" si="5"/>
        <v>0</v>
      </c>
      <c r="R34" s="470">
        <f t="shared" si="6"/>
        <v>0</v>
      </c>
      <c r="S34" s="470">
        <f t="shared" si="7"/>
        <v>0</v>
      </c>
      <c r="T34" s="470">
        <f t="shared" si="8"/>
        <v>0</v>
      </c>
      <c r="U34" s="470"/>
      <c r="V34" s="470">
        <f t="shared" si="9"/>
        <v>5666.30399999917</v>
      </c>
      <c r="W34" s="471">
        <v>12</v>
      </c>
      <c r="X34" s="470">
        <f t="shared" si="10"/>
        <v>472.19199999993</v>
      </c>
      <c r="Y34" s="470"/>
      <c r="Z34" s="470">
        <f t="shared" si="11"/>
        <v>472.19199999993</v>
      </c>
      <c r="AA34" s="473"/>
      <c r="AB34" s="473"/>
      <c r="AC34" s="473"/>
      <c r="AD34" s="473"/>
      <c r="AE34" s="473"/>
    </row>
    <row r="35" ht="18" spans="1:31">
      <c r="A35" s="467">
        <v>31</v>
      </c>
      <c r="B35" s="18" t="s">
        <v>103</v>
      </c>
      <c r="C35" s="470">
        <v>24688.666666668</v>
      </c>
      <c r="D35" s="469">
        <v>12</v>
      </c>
      <c r="E35" s="470">
        <f t="shared" si="0"/>
        <v>296264.000000016</v>
      </c>
      <c r="F35" s="476"/>
      <c r="G35" s="474"/>
      <c r="H35" s="476"/>
      <c r="I35" s="470">
        <f t="shared" si="1"/>
        <v>296264.000000016</v>
      </c>
      <c r="J35" s="470">
        <v>200000</v>
      </c>
      <c r="K35" s="470">
        <v>0.2</v>
      </c>
      <c r="L35" s="470">
        <f t="shared" si="2"/>
        <v>59252.8000000033</v>
      </c>
      <c r="M35" s="470">
        <f t="shared" si="3"/>
        <v>259252.800000003</v>
      </c>
      <c r="N35" s="470">
        <f t="shared" si="4"/>
        <v>259252.800000003</v>
      </c>
      <c r="O35" s="470">
        <f>E35-N35</f>
        <v>37011.2000000131</v>
      </c>
      <c r="P35" s="470">
        <f>IF(O35&lt;300000,0.07*O35,21000)</f>
        <v>2590.78400000091</v>
      </c>
      <c r="Q35" s="470">
        <f t="shared" si="5"/>
        <v>0</v>
      </c>
      <c r="R35" s="470">
        <f t="shared" si="6"/>
        <v>0</v>
      </c>
      <c r="S35" s="470">
        <f t="shared" si="7"/>
        <v>0</v>
      </c>
      <c r="T35" s="470">
        <f t="shared" si="8"/>
        <v>0</v>
      </c>
      <c r="U35" s="470"/>
      <c r="V35" s="470">
        <f t="shared" si="9"/>
        <v>2590.78400000091</v>
      </c>
      <c r="W35" s="471">
        <v>12</v>
      </c>
      <c r="X35" s="470">
        <f t="shared" si="10"/>
        <v>215.898666666743</v>
      </c>
      <c r="Y35" s="476"/>
      <c r="Z35" s="470">
        <f t="shared" si="11"/>
        <v>215.898666666743</v>
      </c>
      <c r="AA35" s="473"/>
      <c r="AB35" s="473"/>
      <c r="AC35" s="473"/>
      <c r="AD35" s="473"/>
      <c r="AE35" s="473"/>
    </row>
    <row r="36" ht="36" spans="1:31">
      <c r="A36" s="467">
        <v>32</v>
      </c>
      <c r="B36" s="18" t="s">
        <v>106</v>
      </c>
      <c r="C36" s="470">
        <v>24688.666666668</v>
      </c>
      <c r="D36" s="469">
        <v>12</v>
      </c>
      <c r="E36" s="470">
        <f t="shared" si="0"/>
        <v>296264.000000016</v>
      </c>
      <c r="F36" s="476"/>
      <c r="G36" s="474"/>
      <c r="H36" s="476"/>
      <c r="I36" s="470">
        <f t="shared" si="1"/>
        <v>296264.000000016</v>
      </c>
      <c r="J36" s="470">
        <v>200000</v>
      </c>
      <c r="K36" s="470">
        <v>0.2</v>
      </c>
      <c r="L36" s="470">
        <f t="shared" si="2"/>
        <v>59252.8000000033</v>
      </c>
      <c r="M36" s="470">
        <f t="shared" si="3"/>
        <v>259252.800000003</v>
      </c>
      <c r="N36" s="470">
        <f t="shared" si="4"/>
        <v>259252.800000003</v>
      </c>
      <c r="O36" s="470">
        <f>E36-N36</f>
        <v>37011.2000000131</v>
      </c>
      <c r="P36" s="470">
        <f>IF(O36&lt;300000,0.07*O36,21000)</f>
        <v>2590.78400000091</v>
      </c>
      <c r="Q36" s="470">
        <f t="shared" si="5"/>
        <v>0</v>
      </c>
      <c r="R36" s="470">
        <f t="shared" si="6"/>
        <v>0</v>
      </c>
      <c r="S36" s="470">
        <f t="shared" si="7"/>
        <v>0</v>
      </c>
      <c r="T36" s="470">
        <f t="shared" si="8"/>
        <v>0</v>
      </c>
      <c r="U36" s="470"/>
      <c r="V36" s="470">
        <f t="shared" si="9"/>
        <v>2590.78400000091</v>
      </c>
      <c r="W36" s="471">
        <v>12</v>
      </c>
      <c r="X36" s="470">
        <f t="shared" si="10"/>
        <v>215.898666666743</v>
      </c>
      <c r="Y36" s="476"/>
      <c r="Z36" s="470">
        <f t="shared" si="11"/>
        <v>215.898666666743</v>
      </c>
      <c r="AA36" s="473"/>
      <c r="AB36" s="473"/>
      <c r="AC36" s="473"/>
      <c r="AD36" s="473"/>
      <c r="AE36" s="473"/>
    </row>
    <row r="37" ht="17.5" spans="1:31">
      <c r="A37" s="467"/>
      <c r="B37" s="20" t="s">
        <v>120</v>
      </c>
      <c r="C37" s="470">
        <v>987273.666666653</v>
      </c>
      <c r="D37" s="469"/>
      <c r="E37" s="470"/>
      <c r="F37" s="476"/>
      <c r="G37" s="476"/>
      <c r="H37" s="476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1"/>
      <c r="X37" s="470"/>
      <c r="Y37" s="476"/>
      <c r="Z37" s="470"/>
      <c r="AA37" s="473"/>
      <c r="AB37" s="473"/>
      <c r="AC37" s="473"/>
      <c r="AD37" s="473"/>
      <c r="AE37" s="473"/>
    </row>
    <row r="38" ht="17.5" spans="1:31">
      <c r="A38" s="467"/>
      <c r="B38" s="22"/>
      <c r="C38" s="470"/>
      <c r="D38" s="469"/>
      <c r="E38" s="470"/>
      <c r="F38" s="476"/>
      <c r="G38" s="476"/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0" t="s">
        <v>121</v>
      </c>
      <c r="C39" s="468"/>
      <c r="D39" s="469"/>
      <c r="E39" s="470"/>
      <c r="F39" s="470"/>
      <c r="G39" s="470"/>
      <c r="H39" s="470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0"/>
      <c r="Z39" s="470"/>
      <c r="AA39" s="473"/>
      <c r="AB39" s="473"/>
      <c r="AC39" s="473"/>
      <c r="AD39" s="473"/>
      <c r="AE39" s="473"/>
    </row>
    <row r="40" ht="18" spans="1:31">
      <c r="A40" s="467"/>
      <c r="B40" s="18" t="s">
        <v>122</v>
      </c>
      <c r="C40" s="468"/>
      <c r="D40" s="469"/>
      <c r="E40" s="470"/>
      <c r="F40" s="470"/>
      <c r="G40" s="470"/>
      <c r="H40" s="470"/>
      <c r="I40" s="470"/>
      <c r="J40" s="470"/>
      <c r="K40" s="470"/>
      <c r="L40" s="470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1"/>
      <c r="X40" s="470"/>
      <c r="Y40" s="470"/>
      <c r="Z40" s="470"/>
      <c r="AA40" s="473"/>
      <c r="AB40" s="473"/>
      <c r="AC40" s="473"/>
      <c r="AD40" s="473"/>
      <c r="AE40" s="473"/>
    </row>
    <row r="41" ht="18" spans="1:31">
      <c r="A41" s="467">
        <v>33</v>
      </c>
      <c r="B41" s="18" t="s">
        <v>127</v>
      </c>
      <c r="C41" s="479">
        <v>31743.6666666642</v>
      </c>
      <c r="D41" s="469">
        <v>12</v>
      </c>
      <c r="E41" s="470">
        <f t="shared" ref="E39:E43" si="13">C41*D41</f>
        <v>380923.99999997</v>
      </c>
      <c r="F41" s="470"/>
      <c r="G41" s="474"/>
      <c r="H41" s="470"/>
      <c r="I41" s="470">
        <f t="shared" ref="I39:I43" si="14">E41-F41-G41-H41</f>
        <v>380923.99999997</v>
      </c>
      <c r="J41" s="470">
        <v>200000</v>
      </c>
      <c r="K41" s="470">
        <v>0.2</v>
      </c>
      <c r="L41" s="470">
        <f t="shared" ref="L39:L43" si="15">I41*K41</f>
        <v>76184.799999994</v>
      </c>
      <c r="M41" s="470">
        <f t="shared" ref="M39:M43" si="16">J41+L41</f>
        <v>276184.799999994</v>
      </c>
      <c r="N41" s="470">
        <f t="shared" ref="N39:N43" si="17">F41+G41+H41+M41</f>
        <v>276184.799999994</v>
      </c>
      <c r="O41" s="470">
        <f t="shared" ref="O39:O43" si="18">E41-N41</f>
        <v>104739.199999976</v>
      </c>
      <c r="P41" s="470">
        <f t="shared" ref="P39:P43" si="19">IF(O41&lt;300000,0.07*O41,21000)</f>
        <v>7331.74399999833</v>
      </c>
      <c r="Q41" s="470">
        <f t="shared" ref="Q39:Q43" si="20">IF((O41-300000)&lt;0,0,IF((O41-300000)&lt;300000,0.11*(O41-300000),33000))</f>
        <v>0</v>
      </c>
      <c r="R41" s="470">
        <f t="shared" ref="R39:R43" si="21">IF((O41-600000)&lt;0,0,IF((O41-600000)&lt;500000,0.15*(O41-600000),75000))</f>
        <v>0</v>
      </c>
      <c r="S41" s="470">
        <f t="shared" ref="S39:S43" si="22">IF((O41-1100000)&lt;0,0,IF((O41-1100000)&lt;500000,0.19*(O41-1100000),95000))</f>
        <v>0</v>
      </c>
      <c r="T41" s="470">
        <f t="shared" ref="T39:T43" si="23">IF((O41-1600000)&lt;0,0,IF((O41-1600000)&lt;1600000,0.21*(O41-1600000),336000))</f>
        <v>0</v>
      </c>
      <c r="U41" s="470"/>
      <c r="V41" s="470">
        <f t="shared" ref="V39:V43" si="24">P41+Q41+R41+S41+T41+U41</f>
        <v>7331.74399999833</v>
      </c>
      <c r="W41" s="470">
        <v>12</v>
      </c>
      <c r="X41" s="470">
        <f t="shared" ref="X39:X43" si="25">V41/W41</f>
        <v>610.978666666528</v>
      </c>
      <c r="Y41" s="470"/>
      <c r="Z41" s="470">
        <f t="shared" ref="Z39:Z43" si="26">X41</f>
        <v>610.978666666528</v>
      </c>
      <c r="AA41" s="473">
        <v>26339.0784066667</v>
      </c>
      <c r="AB41" s="470">
        <f t="shared" ref="AB39:AB43" si="27">Z41-AA41</f>
        <v>-25728.0997400002</v>
      </c>
      <c r="AC41" s="473"/>
      <c r="AD41" s="473"/>
      <c r="AE41" s="473"/>
    </row>
    <row r="42" ht="18" spans="1:31">
      <c r="A42" s="467">
        <v>33</v>
      </c>
      <c r="B42" s="11" t="s">
        <v>129</v>
      </c>
      <c r="C42" s="479">
        <v>31743.6666666679</v>
      </c>
      <c r="D42" s="469">
        <v>12</v>
      </c>
      <c r="E42" s="470">
        <f t="shared" si="13"/>
        <v>380924.000000015</v>
      </c>
      <c r="F42" s="470"/>
      <c r="G42" s="474"/>
      <c r="H42" s="470"/>
      <c r="I42" s="470">
        <f t="shared" si="14"/>
        <v>380924.000000015</v>
      </c>
      <c r="J42" s="470">
        <v>200000</v>
      </c>
      <c r="K42" s="470">
        <v>0.2</v>
      </c>
      <c r="L42" s="470">
        <f t="shared" si="15"/>
        <v>76184.800000003</v>
      </c>
      <c r="M42" s="470">
        <f t="shared" si="16"/>
        <v>276184.800000003</v>
      </c>
      <c r="N42" s="470">
        <f t="shared" si="17"/>
        <v>276184.800000003</v>
      </c>
      <c r="O42" s="470">
        <f t="shared" si="18"/>
        <v>104739.200000012</v>
      </c>
      <c r="P42" s="470">
        <f t="shared" si="19"/>
        <v>7331.74400000084</v>
      </c>
      <c r="Q42" s="470">
        <f t="shared" si="20"/>
        <v>0</v>
      </c>
      <c r="R42" s="470">
        <f t="shared" si="21"/>
        <v>0</v>
      </c>
      <c r="S42" s="470">
        <f t="shared" si="22"/>
        <v>0</v>
      </c>
      <c r="T42" s="470">
        <f t="shared" si="23"/>
        <v>0</v>
      </c>
      <c r="U42" s="470"/>
      <c r="V42" s="470">
        <f t="shared" si="24"/>
        <v>7331.74400000084</v>
      </c>
      <c r="W42" s="470">
        <v>12</v>
      </c>
      <c r="X42" s="470">
        <f t="shared" si="25"/>
        <v>610.978666666736</v>
      </c>
      <c r="Y42" s="470"/>
      <c r="Z42" s="470">
        <f t="shared" si="26"/>
        <v>610.978666666736</v>
      </c>
      <c r="AA42" s="473">
        <v>26339.0784066667</v>
      </c>
      <c r="AB42" s="470">
        <f t="shared" si="27"/>
        <v>-25728.09974</v>
      </c>
      <c r="AC42" s="473"/>
      <c r="AD42" s="473"/>
      <c r="AE42" s="473"/>
    </row>
    <row r="43" ht="18" spans="1:31">
      <c r="A43" s="467"/>
      <c r="B43" s="11" t="s">
        <v>133</v>
      </c>
      <c r="C43" s="479">
        <v>29265.3333333321</v>
      </c>
      <c r="D43" s="469">
        <v>12</v>
      </c>
      <c r="E43" s="470">
        <f t="shared" si="13"/>
        <v>351183.999999985</v>
      </c>
      <c r="F43" s="470"/>
      <c r="G43" s="474"/>
      <c r="H43" s="470"/>
      <c r="I43" s="470">
        <f t="shared" si="14"/>
        <v>351183.999999985</v>
      </c>
      <c r="J43" s="470">
        <v>200000</v>
      </c>
      <c r="K43" s="470">
        <v>0.2</v>
      </c>
      <c r="L43" s="470">
        <f t="shared" si="15"/>
        <v>70236.799999997</v>
      </c>
      <c r="M43" s="470">
        <f t="shared" si="16"/>
        <v>270236.799999997</v>
      </c>
      <c r="N43" s="470">
        <f t="shared" si="17"/>
        <v>270236.799999997</v>
      </c>
      <c r="O43" s="470">
        <f t="shared" si="18"/>
        <v>80947.1999999881</v>
      </c>
      <c r="P43" s="470">
        <f t="shared" si="19"/>
        <v>5666.30399999917</v>
      </c>
      <c r="Q43" s="470">
        <f t="shared" si="20"/>
        <v>0</v>
      </c>
      <c r="R43" s="470">
        <f t="shared" si="21"/>
        <v>0</v>
      </c>
      <c r="S43" s="470">
        <f t="shared" si="22"/>
        <v>0</v>
      </c>
      <c r="T43" s="470">
        <f t="shared" si="23"/>
        <v>0</v>
      </c>
      <c r="U43" s="470"/>
      <c r="V43" s="470">
        <f t="shared" si="24"/>
        <v>5666.30399999917</v>
      </c>
      <c r="W43" s="470">
        <v>12</v>
      </c>
      <c r="X43" s="470">
        <f t="shared" si="25"/>
        <v>472.19199999993</v>
      </c>
      <c r="Y43" s="470"/>
      <c r="Z43" s="470">
        <f t="shared" si="26"/>
        <v>472.19199999993</v>
      </c>
      <c r="AA43" s="473">
        <v>26339.0784066667</v>
      </c>
      <c r="AB43" s="470">
        <f t="shared" si="27"/>
        <v>-25866.8864066668</v>
      </c>
      <c r="AC43" s="473"/>
      <c r="AD43" s="473"/>
      <c r="AE43" s="473"/>
    </row>
    <row r="44" ht="18" spans="1:31">
      <c r="A44" s="467"/>
      <c r="B44" s="14"/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470"/>
      <c r="AA44" s="473"/>
      <c r="AB44" s="473"/>
      <c r="AC44" s="473"/>
      <c r="AD44" s="473"/>
      <c r="AE44" s="473"/>
    </row>
    <row r="45" ht="18" spans="1:31">
      <c r="A45" s="467">
        <v>35</v>
      </c>
      <c r="B45" s="14"/>
      <c r="C45" s="468"/>
      <c r="D45" s="469"/>
      <c r="E45" s="470"/>
      <c r="F45" s="470"/>
      <c r="G45" s="474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0"/>
      <c r="T45" s="470">
        <f t="shared" ref="T45:T54" si="28">IF((O45-1600000)&lt;0,0,IF((O45-1600000)&lt;1600000,0.21*(O45-1600000),336000))</f>
        <v>0</v>
      </c>
      <c r="U45" s="470"/>
      <c r="V45" s="470">
        <f t="shared" ref="V45:V54" si="29">P45+Q45+R45+S45+T45+U45</f>
        <v>0</v>
      </c>
      <c r="W45" s="471">
        <v>12</v>
      </c>
      <c r="X45" s="470">
        <f t="shared" ref="X45:X54" si="30">V45/W45</f>
        <v>0</v>
      </c>
      <c r="Y45" s="470"/>
      <c r="Z45" s="470">
        <f t="shared" ref="Z45:Z54" si="31">X45</f>
        <v>0</v>
      </c>
      <c r="AA45" s="473">
        <v>180306.806858667</v>
      </c>
      <c r="AB45" s="473">
        <f t="shared" ref="AB45:AB54" si="32">Z45-AA45</f>
        <v>-180306.806858667</v>
      </c>
      <c r="AC45" s="473"/>
      <c r="AD45" s="473"/>
      <c r="AE45" s="473"/>
    </row>
    <row r="46" ht="17.5" spans="1:31">
      <c r="A46" s="467">
        <v>36</v>
      </c>
      <c r="B46" s="23" t="s">
        <v>137</v>
      </c>
      <c r="C46" s="470"/>
      <c r="D46" s="469"/>
      <c r="E46" s="470"/>
      <c r="F46" s="476"/>
      <c r="G46" s="474"/>
      <c r="H46" s="476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>
        <f t="shared" si="28"/>
        <v>0</v>
      </c>
      <c r="U46" s="470"/>
      <c r="V46" s="470">
        <f t="shared" si="29"/>
        <v>0</v>
      </c>
      <c r="W46" s="471">
        <v>12</v>
      </c>
      <c r="X46" s="470">
        <f t="shared" si="30"/>
        <v>0</v>
      </c>
      <c r="Y46" s="476"/>
      <c r="Z46" s="470">
        <f t="shared" si="31"/>
        <v>0</v>
      </c>
      <c r="AA46" s="473">
        <v>79956.9391466667</v>
      </c>
      <c r="AB46" s="473">
        <f t="shared" si="32"/>
        <v>-79956.9391466667</v>
      </c>
      <c r="AC46" s="473"/>
      <c r="AD46" s="473"/>
      <c r="AE46" s="473"/>
    </row>
    <row r="47" ht="18" spans="1:31">
      <c r="A47" s="467">
        <v>37</v>
      </c>
      <c r="B47" s="11" t="s">
        <v>138</v>
      </c>
      <c r="C47" s="470">
        <v>92678.3333333358</v>
      </c>
      <c r="D47" s="469">
        <v>12</v>
      </c>
      <c r="E47" s="470">
        <f t="shared" ref="E45:E54" si="33">C47*D47</f>
        <v>1112140.00000003</v>
      </c>
      <c r="F47" s="476"/>
      <c r="G47" s="474"/>
      <c r="H47" s="476"/>
      <c r="I47" s="470">
        <f t="shared" ref="I45:I54" si="34">E47-F47-G47-H47</f>
        <v>1112140.00000003</v>
      </c>
      <c r="J47" s="470">
        <v>200000</v>
      </c>
      <c r="K47" s="470">
        <v>0.2</v>
      </c>
      <c r="L47" s="470">
        <f t="shared" ref="L45:L54" si="35">I47*K47</f>
        <v>222428.000000006</v>
      </c>
      <c r="M47" s="470">
        <f t="shared" ref="M45:M54" si="36">J47+L47</f>
        <v>422428.000000006</v>
      </c>
      <c r="N47" s="470">
        <f t="shared" ref="N45:N54" si="37">F47+G47+H47+M47</f>
        <v>422428.000000006</v>
      </c>
      <c r="O47" s="470">
        <f t="shared" ref="O45:O54" si="38">E47-N47</f>
        <v>689712.000000024</v>
      </c>
      <c r="P47" s="470">
        <f t="shared" ref="P45:P54" si="39">IF(O47&lt;300000,0.07*O47,21000)</f>
        <v>21000</v>
      </c>
      <c r="Q47" s="470">
        <f t="shared" ref="Q45:Q54" si="40">IF((O47-300000)&lt;0,0,IF((O47-300000)&lt;300000,0.11*(O47-300000),33000))</f>
        <v>33000</v>
      </c>
      <c r="R47" s="470">
        <f t="shared" ref="R45:R54" si="41">IF((O47-600000)&lt;0,0,IF((O47-600000)&lt;500000,0.15*(O47-600000),75000))</f>
        <v>13456.8000000036</v>
      </c>
      <c r="S47" s="470">
        <f t="shared" ref="S45:S54" si="42">IF((O47-1100000)&lt;0,0,IF((O47-1100000)&lt;500000,0.19*(O47-1100000),95000))</f>
        <v>0</v>
      </c>
      <c r="T47" s="470">
        <f t="shared" si="28"/>
        <v>0</v>
      </c>
      <c r="U47" s="470"/>
      <c r="V47" s="470">
        <f t="shared" si="29"/>
        <v>67456.8000000036</v>
      </c>
      <c r="W47" s="471">
        <v>12</v>
      </c>
      <c r="X47" s="470">
        <f t="shared" si="30"/>
        <v>5621.4000000003</v>
      </c>
      <c r="Y47" s="476"/>
      <c r="Z47" s="470">
        <f t="shared" si="31"/>
        <v>5621.4000000003</v>
      </c>
      <c r="AA47" s="473">
        <v>97273.5138506667</v>
      </c>
      <c r="AB47" s="473">
        <f t="shared" si="32"/>
        <v>-91652.1138506664</v>
      </c>
      <c r="AC47" s="473"/>
      <c r="AD47" s="473"/>
      <c r="AE47" s="473"/>
    </row>
    <row r="48" ht="18" spans="1:31">
      <c r="A48" s="467">
        <v>38</v>
      </c>
      <c r="B48" s="11" t="s">
        <v>141</v>
      </c>
      <c r="C48" s="468"/>
      <c r="D48" s="469"/>
      <c r="E48" s="470"/>
      <c r="F48" s="470"/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  <c r="W48" s="471"/>
      <c r="X48" s="470"/>
      <c r="Y48" s="470"/>
      <c r="Z48" s="470"/>
      <c r="AA48" s="473">
        <v>79956.9391466667</v>
      </c>
      <c r="AB48" s="473">
        <f t="shared" si="32"/>
        <v>-79956.9391466667</v>
      </c>
      <c r="AC48" s="473"/>
      <c r="AD48" s="473"/>
      <c r="AE48" s="473"/>
    </row>
    <row r="49" ht="18" spans="1:31">
      <c r="A49" s="467">
        <v>39</v>
      </c>
      <c r="B49" s="11" t="s">
        <v>144</v>
      </c>
      <c r="C49" s="468"/>
      <c r="D49" s="469"/>
      <c r="E49" s="470"/>
      <c r="F49" s="470"/>
      <c r="G49" s="470"/>
      <c r="H49" s="470"/>
      <c r="I49" s="470"/>
      <c r="J49" s="470"/>
      <c r="K49" s="470"/>
      <c r="L49" s="470"/>
      <c r="M49" s="470"/>
      <c r="N49" s="470"/>
      <c r="O49" s="470"/>
      <c r="P49" s="470"/>
      <c r="Q49" s="470"/>
      <c r="R49" s="470"/>
      <c r="S49" s="470"/>
      <c r="T49" s="470"/>
      <c r="U49" s="470"/>
      <c r="V49" s="470"/>
      <c r="W49" s="471"/>
      <c r="X49" s="470"/>
      <c r="Y49" s="470"/>
      <c r="Z49" s="470"/>
      <c r="AA49" s="473">
        <v>79796.1031466666</v>
      </c>
      <c r="AB49" s="473">
        <f t="shared" si="32"/>
        <v>-79796.1031466666</v>
      </c>
      <c r="AC49" s="473"/>
      <c r="AD49" s="473"/>
      <c r="AE49" s="473"/>
    </row>
    <row r="50" ht="18" spans="1:31">
      <c r="A50" s="467">
        <v>40</v>
      </c>
      <c r="B50" s="11" t="s">
        <v>146</v>
      </c>
      <c r="C50" s="470">
        <v>77115</v>
      </c>
      <c r="D50" s="469">
        <v>12</v>
      </c>
      <c r="E50" s="470">
        <f t="shared" si="33"/>
        <v>925380</v>
      </c>
      <c r="F50" s="470"/>
      <c r="G50" s="474"/>
      <c r="H50" s="476"/>
      <c r="I50" s="470">
        <f t="shared" si="34"/>
        <v>925380</v>
      </c>
      <c r="J50" s="470">
        <v>200000</v>
      </c>
      <c r="K50" s="470">
        <v>0.2</v>
      </c>
      <c r="L50" s="470">
        <f t="shared" si="35"/>
        <v>185076</v>
      </c>
      <c r="M50" s="470">
        <f t="shared" si="36"/>
        <v>385076</v>
      </c>
      <c r="N50" s="470">
        <f t="shared" si="37"/>
        <v>385076</v>
      </c>
      <c r="O50" s="470">
        <f t="shared" si="38"/>
        <v>540304</v>
      </c>
      <c r="P50" s="470">
        <f t="shared" si="39"/>
        <v>21000</v>
      </c>
      <c r="Q50" s="470">
        <f t="shared" si="40"/>
        <v>26433.44</v>
      </c>
      <c r="R50" s="470">
        <f t="shared" si="41"/>
        <v>0</v>
      </c>
      <c r="S50" s="470">
        <f t="shared" si="42"/>
        <v>0</v>
      </c>
      <c r="T50" s="470">
        <f t="shared" si="28"/>
        <v>0</v>
      </c>
      <c r="U50" s="470"/>
      <c r="V50" s="470">
        <f t="shared" si="29"/>
        <v>47433.44</v>
      </c>
      <c r="W50" s="471">
        <v>12</v>
      </c>
      <c r="X50" s="470">
        <f t="shared" si="30"/>
        <v>3952.78666666667</v>
      </c>
      <c r="Y50" s="476"/>
      <c r="Z50" s="470">
        <f t="shared" si="31"/>
        <v>3952.78666666667</v>
      </c>
      <c r="AA50" s="473">
        <v>75572.9156906667</v>
      </c>
      <c r="AB50" s="473">
        <f t="shared" si="32"/>
        <v>-71620.129024</v>
      </c>
      <c r="AC50" s="473"/>
      <c r="AD50" s="473"/>
      <c r="AE50" s="473"/>
    </row>
    <row r="51" ht="18" spans="1:31">
      <c r="A51" s="467">
        <v>41</v>
      </c>
      <c r="B51" s="14" t="s">
        <v>147</v>
      </c>
      <c r="C51" s="468"/>
      <c r="D51" s="469"/>
      <c r="E51" s="470"/>
      <c r="F51" s="470"/>
      <c r="G51" s="470"/>
      <c r="H51" s="470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0"/>
      <c r="Z51" s="470"/>
      <c r="AA51" s="473">
        <v>58026.6094346667</v>
      </c>
      <c r="AB51" s="473">
        <f t="shared" si="32"/>
        <v>-58026.6094346667</v>
      </c>
      <c r="AC51" s="473"/>
      <c r="AD51" s="473"/>
      <c r="AE51" s="473"/>
    </row>
    <row r="52" ht="18" spans="1:31">
      <c r="A52" s="467">
        <v>42</v>
      </c>
      <c r="B52" s="11" t="s">
        <v>151</v>
      </c>
      <c r="C52" s="470">
        <v>31743.6666666679</v>
      </c>
      <c r="D52" s="469">
        <v>12</v>
      </c>
      <c r="E52" s="470">
        <f t="shared" si="33"/>
        <v>380924.000000015</v>
      </c>
      <c r="F52" s="470"/>
      <c r="G52" s="474"/>
      <c r="H52" s="476"/>
      <c r="I52" s="470">
        <f t="shared" si="34"/>
        <v>380924.000000015</v>
      </c>
      <c r="J52" s="470">
        <v>200000</v>
      </c>
      <c r="K52" s="470">
        <v>0.2</v>
      </c>
      <c r="L52" s="470">
        <f t="shared" si="35"/>
        <v>76184.800000003</v>
      </c>
      <c r="M52" s="470">
        <f t="shared" si="36"/>
        <v>276184.800000003</v>
      </c>
      <c r="N52" s="470">
        <f t="shared" si="37"/>
        <v>276184.800000003</v>
      </c>
      <c r="O52" s="470">
        <f t="shared" si="38"/>
        <v>104739.200000012</v>
      </c>
      <c r="P52" s="470">
        <f t="shared" si="39"/>
        <v>7331.74400000084</v>
      </c>
      <c r="Q52" s="470">
        <f t="shared" si="40"/>
        <v>0</v>
      </c>
      <c r="R52" s="470">
        <f t="shared" si="41"/>
        <v>0</v>
      </c>
      <c r="S52" s="470">
        <f t="shared" si="42"/>
        <v>0</v>
      </c>
      <c r="T52" s="470">
        <f t="shared" si="28"/>
        <v>0</v>
      </c>
      <c r="U52" s="470"/>
      <c r="V52" s="470">
        <f t="shared" si="29"/>
        <v>7331.74400000084</v>
      </c>
      <c r="W52" s="471">
        <v>12</v>
      </c>
      <c r="X52" s="470">
        <f t="shared" si="30"/>
        <v>610.978666666736</v>
      </c>
      <c r="Y52" s="476"/>
      <c r="Z52" s="470">
        <f t="shared" si="31"/>
        <v>610.978666666736</v>
      </c>
      <c r="AA52" s="473">
        <v>33059.0784066667</v>
      </c>
      <c r="AB52" s="473">
        <f t="shared" si="32"/>
        <v>-32448.09974</v>
      </c>
      <c r="AC52" s="473"/>
      <c r="AD52" s="473"/>
      <c r="AE52" s="473"/>
    </row>
    <row r="53" ht="18" spans="1:31">
      <c r="A53" s="467">
        <v>43</v>
      </c>
      <c r="B53" s="11" t="s">
        <v>155</v>
      </c>
      <c r="C53" s="470">
        <v>29265.3333333358</v>
      </c>
      <c r="D53" s="469">
        <v>12</v>
      </c>
      <c r="E53" s="470">
        <f t="shared" si="33"/>
        <v>351184.00000003</v>
      </c>
      <c r="F53" s="470"/>
      <c r="G53" s="474"/>
      <c r="H53" s="476"/>
      <c r="I53" s="470">
        <f t="shared" si="34"/>
        <v>351184.00000003</v>
      </c>
      <c r="J53" s="470">
        <v>200000</v>
      </c>
      <c r="K53" s="470">
        <v>0.2</v>
      </c>
      <c r="L53" s="470">
        <f t="shared" si="35"/>
        <v>70236.800000006</v>
      </c>
      <c r="M53" s="470">
        <f t="shared" si="36"/>
        <v>270236.800000006</v>
      </c>
      <c r="N53" s="470">
        <f t="shared" si="37"/>
        <v>270236.800000006</v>
      </c>
      <c r="O53" s="470">
        <f t="shared" si="38"/>
        <v>80947.2000000238</v>
      </c>
      <c r="P53" s="470">
        <f t="shared" si="39"/>
        <v>5666.30400000167</v>
      </c>
      <c r="Q53" s="470">
        <f t="shared" si="40"/>
        <v>0</v>
      </c>
      <c r="R53" s="470">
        <f t="shared" si="41"/>
        <v>0</v>
      </c>
      <c r="S53" s="470">
        <f t="shared" si="42"/>
        <v>0</v>
      </c>
      <c r="T53" s="470">
        <f t="shared" si="28"/>
        <v>0</v>
      </c>
      <c r="U53" s="470"/>
      <c r="V53" s="470">
        <f t="shared" si="29"/>
        <v>5666.30400000167</v>
      </c>
      <c r="W53" s="471">
        <v>12</v>
      </c>
      <c r="X53" s="470">
        <f t="shared" si="30"/>
        <v>472.192000000139</v>
      </c>
      <c r="Y53" s="476"/>
      <c r="Z53" s="470">
        <f t="shared" si="31"/>
        <v>472.192000000139</v>
      </c>
      <c r="AA53" s="473">
        <v>29058.4826046667</v>
      </c>
      <c r="AB53" s="473">
        <f t="shared" si="32"/>
        <v>-28586.2906046666</v>
      </c>
      <c r="AC53" s="473"/>
      <c r="AD53" s="473"/>
      <c r="AE53" s="473"/>
    </row>
    <row r="54" ht="18" spans="1:31">
      <c r="A54" s="467">
        <v>44</v>
      </c>
      <c r="B54" s="11" t="s">
        <v>157</v>
      </c>
      <c r="C54" s="470">
        <v>29265.3333333358</v>
      </c>
      <c r="D54" s="469">
        <v>12</v>
      </c>
      <c r="E54" s="470">
        <f t="shared" si="33"/>
        <v>351184.00000003</v>
      </c>
      <c r="F54" s="470"/>
      <c r="G54" s="474"/>
      <c r="H54" s="476"/>
      <c r="I54" s="470">
        <f t="shared" si="34"/>
        <v>351184.00000003</v>
      </c>
      <c r="J54" s="470">
        <v>200000</v>
      </c>
      <c r="K54" s="470">
        <v>0.2</v>
      </c>
      <c r="L54" s="470">
        <f t="shared" si="35"/>
        <v>70236.800000006</v>
      </c>
      <c r="M54" s="470">
        <f t="shared" si="36"/>
        <v>270236.800000006</v>
      </c>
      <c r="N54" s="470">
        <f t="shared" si="37"/>
        <v>270236.800000006</v>
      </c>
      <c r="O54" s="470">
        <f t="shared" si="38"/>
        <v>80947.2000000238</v>
      </c>
      <c r="P54" s="470">
        <f t="shared" si="39"/>
        <v>5666.30400000167</v>
      </c>
      <c r="Q54" s="470">
        <f t="shared" si="40"/>
        <v>0</v>
      </c>
      <c r="R54" s="470">
        <f t="shared" si="41"/>
        <v>0</v>
      </c>
      <c r="S54" s="470">
        <f t="shared" si="42"/>
        <v>0</v>
      </c>
      <c r="T54" s="470">
        <f t="shared" si="28"/>
        <v>0</v>
      </c>
      <c r="U54" s="470"/>
      <c r="V54" s="470">
        <f t="shared" si="29"/>
        <v>5666.30400000167</v>
      </c>
      <c r="W54" s="471">
        <v>12</v>
      </c>
      <c r="X54" s="470">
        <f t="shared" si="30"/>
        <v>472.192000000139</v>
      </c>
      <c r="Y54" s="476"/>
      <c r="Z54" s="470">
        <f t="shared" si="31"/>
        <v>472.192000000139</v>
      </c>
      <c r="AA54" s="473">
        <v>28360.9528626667</v>
      </c>
      <c r="AB54" s="473">
        <f t="shared" si="32"/>
        <v>-27888.7608626666</v>
      </c>
      <c r="AC54" s="473"/>
      <c r="AD54" s="473"/>
      <c r="AE54" s="473"/>
    </row>
    <row r="55" ht="17.5" spans="1:31">
      <c r="A55" s="467"/>
      <c r="B55" s="20" t="s">
        <v>120</v>
      </c>
      <c r="C55" s="478">
        <v>260067.666666675</v>
      </c>
      <c r="D55" s="469"/>
      <c r="E55" s="470"/>
      <c r="F55" s="470"/>
      <c r="G55" s="476"/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17.5" spans="1:31">
      <c r="A56" s="467"/>
      <c r="B56" s="22"/>
      <c r="C56" s="478"/>
      <c r="D56" s="469"/>
      <c r="E56" s="470"/>
      <c r="F56" s="470"/>
      <c r="G56" s="476"/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7.5" spans="1:31">
      <c r="A57" s="467"/>
      <c r="B57" s="20" t="s">
        <v>159</v>
      </c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470"/>
      <c r="AA57" s="473"/>
      <c r="AB57" s="473"/>
      <c r="AC57" s="473"/>
      <c r="AD57" s="473"/>
      <c r="AE57" s="473"/>
    </row>
    <row r="58" ht="18" spans="1:31">
      <c r="A58" s="467">
        <v>47</v>
      </c>
      <c r="B58" s="11" t="s">
        <v>160</v>
      </c>
      <c r="C58" s="468"/>
      <c r="D58" s="469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0"/>
      <c r="Z58" s="470"/>
      <c r="AA58" s="473">
        <v>180306.806858667</v>
      </c>
      <c r="AB58" s="473">
        <f t="shared" ref="AB58:AB71" si="43">Z58-AA58</f>
        <v>-180306.806858667</v>
      </c>
      <c r="AC58" s="473"/>
      <c r="AD58" s="473"/>
      <c r="AE58" s="473"/>
    </row>
    <row r="59" ht="18" spans="1:31">
      <c r="A59" s="467">
        <v>48</v>
      </c>
      <c r="B59" s="11" t="s">
        <v>162</v>
      </c>
      <c r="C59" s="468"/>
      <c r="D59" s="469"/>
      <c r="E59" s="470"/>
      <c r="F59" s="470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71"/>
      <c r="X59" s="470"/>
      <c r="Y59" s="470"/>
      <c r="Z59" s="470"/>
      <c r="AA59" s="473">
        <v>64596.9391466667</v>
      </c>
      <c r="AB59" s="473">
        <f t="shared" si="43"/>
        <v>-64596.9391466667</v>
      </c>
      <c r="AC59" s="473"/>
      <c r="AD59" s="473"/>
      <c r="AE59" s="473"/>
    </row>
    <row r="60" ht="17.5" spans="1:31">
      <c r="A60" s="467"/>
      <c r="B60" s="20" t="s">
        <v>120</v>
      </c>
      <c r="C60" s="468"/>
      <c r="D60" s="469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1"/>
      <c r="X60" s="470"/>
      <c r="Y60" s="470"/>
      <c r="Z60" s="470"/>
      <c r="AA60" s="473"/>
      <c r="AB60" s="473"/>
      <c r="AC60" s="473"/>
      <c r="AD60" s="473"/>
      <c r="AE60" s="473"/>
    </row>
    <row r="61" ht="17.5" spans="1:31">
      <c r="A61" s="467">
        <v>49</v>
      </c>
      <c r="B61" s="20"/>
      <c r="C61" s="468"/>
      <c r="D61" s="469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1"/>
      <c r="X61" s="470"/>
      <c r="Y61" s="470"/>
      <c r="Z61" s="470"/>
      <c r="AA61" s="473"/>
      <c r="AB61" s="473"/>
      <c r="AC61" s="473"/>
      <c r="AD61" s="473"/>
      <c r="AE61" s="473"/>
    </row>
    <row r="62" ht="35" spans="1:31">
      <c r="A62" s="467">
        <v>50</v>
      </c>
      <c r="B62" s="20" t="s">
        <v>164</v>
      </c>
      <c r="C62" s="468"/>
      <c r="D62" s="469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0"/>
      <c r="V62" s="470"/>
      <c r="W62" s="471"/>
      <c r="X62" s="470"/>
      <c r="Y62" s="470"/>
      <c r="Z62" s="470"/>
      <c r="AA62" s="473">
        <v>180306.806858667</v>
      </c>
      <c r="AB62" s="473">
        <f t="shared" si="43"/>
        <v>-180306.806858667</v>
      </c>
      <c r="AC62" s="473"/>
      <c r="AD62" s="473"/>
      <c r="AE62" s="473"/>
    </row>
    <row r="63" ht="23.25" customHeight="1" spans="1:31">
      <c r="A63" s="467">
        <v>51</v>
      </c>
      <c r="B63" s="14" t="s">
        <v>165</v>
      </c>
      <c r="C63" s="468"/>
      <c r="D63" s="469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1"/>
      <c r="X63" s="470"/>
      <c r="Y63" s="470"/>
      <c r="Z63" s="470"/>
      <c r="AA63" s="473">
        <v>77764.9802666667</v>
      </c>
      <c r="AB63" s="473">
        <f t="shared" si="43"/>
        <v>-77764.9802666667</v>
      </c>
      <c r="AC63" s="473"/>
      <c r="AD63" s="473"/>
      <c r="AE63" s="473"/>
    </row>
    <row r="64" ht="18" spans="1:31">
      <c r="A64" s="467">
        <v>52</v>
      </c>
      <c r="B64" s="11" t="s">
        <v>167</v>
      </c>
      <c r="C64" s="470">
        <v>55503</v>
      </c>
      <c r="D64" s="469">
        <v>12</v>
      </c>
      <c r="E64" s="470">
        <f t="shared" ref="E64:E69" si="44">C64*D64</f>
        <v>666036</v>
      </c>
      <c r="F64" s="470"/>
      <c r="G64" s="474"/>
      <c r="H64" s="476"/>
      <c r="I64" s="470">
        <f t="shared" ref="I64:I69" si="45">E64-F64-G64-H64</f>
        <v>666036</v>
      </c>
      <c r="J64" s="470">
        <v>200000</v>
      </c>
      <c r="K64" s="470">
        <v>0.2</v>
      </c>
      <c r="L64" s="470">
        <f t="shared" ref="L64:L69" si="46">I64*K64</f>
        <v>133207.2</v>
      </c>
      <c r="M64" s="470">
        <f t="shared" ref="M64:M69" si="47">J64+L64</f>
        <v>333207.2</v>
      </c>
      <c r="N64" s="470">
        <f t="shared" ref="N64:N69" si="48">F64+G64+H64+M64</f>
        <v>333207.2</v>
      </c>
      <c r="O64" s="470">
        <f t="shared" ref="O64:O69" si="49">E64-N64</f>
        <v>332828.8</v>
      </c>
      <c r="P64" s="470">
        <f t="shared" ref="P64:P69" si="50">IF(O64&lt;300000,0.07*O64,21000)</f>
        <v>21000</v>
      </c>
      <c r="Q64" s="470">
        <f t="shared" ref="Q64:Q69" si="51">IF((O64-300000)&lt;0,0,IF((O64-300000)&lt;300000,0.11*(O64-300000),33000))</f>
        <v>3611.168</v>
      </c>
      <c r="R64" s="470">
        <f t="shared" ref="R64:R69" si="52">IF((O64-600000)&lt;0,0,IF((O64-600000)&lt;500000,0.15*(O64-600000),75000))</f>
        <v>0</v>
      </c>
      <c r="S64" s="470">
        <f t="shared" ref="S64:S69" si="53">IF((O64-1100000)&lt;0,0,IF((O64-1100000)&lt;500000,0.19*(O64-1100000),95000))</f>
        <v>0</v>
      </c>
      <c r="T64" s="470">
        <f t="shared" ref="T64:T69" si="54">IF((O64-1600000)&lt;0,0,IF((O64-1600000)&lt;1600000,0.21*(O64-1600000),336000))</f>
        <v>0</v>
      </c>
      <c r="U64" s="470"/>
      <c r="V64" s="470">
        <f t="shared" ref="V64:V69" si="55">P64+Q64+R64+S64+T64+U64</f>
        <v>24611.168</v>
      </c>
      <c r="W64" s="471">
        <v>12</v>
      </c>
      <c r="X64" s="470">
        <f t="shared" ref="X64:X69" si="56">V64/W64</f>
        <v>2050.93066666667</v>
      </c>
      <c r="Y64" s="476"/>
      <c r="Z64" s="470">
        <f t="shared" ref="Z64:Z69" si="57">X64</f>
        <v>2050.93066666667</v>
      </c>
      <c r="AA64" s="473">
        <v>54931.2492266667</v>
      </c>
      <c r="AB64" s="473">
        <f t="shared" si="43"/>
        <v>-52880.31856</v>
      </c>
      <c r="AC64" s="473"/>
      <c r="AD64" s="473"/>
      <c r="AE64" s="473"/>
    </row>
    <row r="65" ht="18" spans="1:31">
      <c r="A65" s="467">
        <v>53</v>
      </c>
      <c r="B65" s="11" t="s">
        <v>171</v>
      </c>
      <c r="C65" s="470">
        <v>48765.3333333358</v>
      </c>
      <c r="D65" s="469">
        <v>12</v>
      </c>
      <c r="E65" s="470">
        <f t="shared" si="44"/>
        <v>585184.00000003</v>
      </c>
      <c r="F65" s="470"/>
      <c r="G65" s="474"/>
      <c r="H65" s="476"/>
      <c r="I65" s="470">
        <f t="shared" si="45"/>
        <v>585184.00000003</v>
      </c>
      <c r="J65" s="470">
        <v>200000</v>
      </c>
      <c r="K65" s="470">
        <v>0.2</v>
      </c>
      <c r="L65" s="470">
        <f t="shared" si="46"/>
        <v>117036.800000006</v>
      </c>
      <c r="M65" s="470">
        <f t="shared" si="47"/>
        <v>317036.800000006</v>
      </c>
      <c r="N65" s="470">
        <f t="shared" si="48"/>
        <v>317036.800000006</v>
      </c>
      <c r="O65" s="470">
        <f t="shared" si="49"/>
        <v>268147.200000024</v>
      </c>
      <c r="P65" s="470">
        <f t="shared" si="50"/>
        <v>18770.3040000017</v>
      </c>
      <c r="Q65" s="470">
        <f t="shared" si="51"/>
        <v>0</v>
      </c>
      <c r="R65" s="470">
        <f t="shared" si="52"/>
        <v>0</v>
      </c>
      <c r="S65" s="470">
        <f t="shared" si="53"/>
        <v>0</v>
      </c>
      <c r="T65" s="470">
        <f t="shared" si="54"/>
        <v>0</v>
      </c>
      <c r="U65" s="470"/>
      <c r="V65" s="470">
        <f t="shared" si="55"/>
        <v>18770.3040000017</v>
      </c>
      <c r="W65" s="471">
        <v>12</v>
      </c>
      <c r="X65" s="470">
        <f t="shared" si="56"/>
        <v>1564.19200000014</v>
      </c>
      <c r="Y65" s="476"/>
      <c r="Z65" s="470">
        <f t="shared" si="57"/>
        <v>1564.19200000014</v>
      </c>
      <c r="AA65" s="473">
        <v>49548.7761866667</v>
      </c>
      <c r="AB65" s="473">
        <f t="shared" si="43"/>
        <v>-47984.5841866666</v>
      </c>
      <c r="AC65" s="473"/>
      <c r="AD65" s="473"/>
      <c r="AE65" s="473"/>
    </row>
    <row r="66" ht="18" spans="1:31">
      <c r="A66" s="467">
        <v>54</v>
      </c>
      <c r="B66" s="11" t="s">
        <v>172</v>
      </c>
      <c r="C66" s="470">
        <v>48765.3333333358</v>
      </c>
      <c r="D66" s="469">
        <v>12</v>
      </c>
      <c r="E66" s="470">
        <f t="shared" si="44"/>
        <v>585184.00000003</v>
      </c>
      <c r="F66" s="470"/>
      <c r="G66" s="474"/>
      <c r="H66" s="476"/>
      <c r="I66" s="470">
        <f t="shared" si="45"/>
        <v>585184.00000003</v>
      </c>
      <c r="J66" s="470">
        <v>200000</v>
      </c>
      <c r="K66" s="470">
        <v>0.2</v>
      </c>
      <c r="L66" s="470">
        <f t="shared" si="46"/>
        <v>117036.800000006</v>
      </c>
      <c r="M66" s="470">
        <f t="shared" si="47"/>
        <v>317036.800000006</v>
      </c>
      <c r="N66" s="470">
        <f t="shared" si="48"/>
        <v>317036.800000006</v>
      </c>
      <c r="O66" s="470">
        <f t="shared" si="49"/>
        <v>268147.200000024</v>
      </c>
      <c r="P66" s="470">
        <f t="shared" si="50"/>
        <v>18770.3040000017</v>
      </c>
      <c r="Q66" s="470">
        <f t="shared" si="51"/>
        <v>0</v>
      </c>
      <c r="R66" s="470">
        <f t="shared" si="52"/>
        <v>0</v>
      </c>
      <c r="S66" s="470">
        <f t="shared" si="53"/>
        <v>0</v>
      </c>
      <c r="T66" s="470">
        <f t="shared" si="54"/>
        <v>0</v>
      </c>
      <c r="U66" s="470"/>
      <c r="V66" s="470">
        <f t="shared" si="55"/>
        <v>18770.3040000017</v>
      </c>
      <c r="W66" s="471">
        <v>12</v>
      </c>
      <c r="X66" s="470">
        <f t="shared" si="56"/>
        <v>1564.19200000014</v>
      </c>
      <c r="Y66" s="476"/>
      <c r="Z66" s="470">
        <f t="shared" si="57"/>
        <v>1564.19200000014</v>
      </c>
      <c r="AA66" s="473">
        <v>46666.6666666667</v>
      </c>
      <c r="AB66" s="473">
        <f t="shared" si="43"/>
        <v>-45102.4746666666</v>
      </c>
      <c r="AC66" s="473"/>
      <c r="AD66" s="473"/>
      <c r="AE66" s="473"/>
    </row>
    <row r="67" ht="18" spans="1:31">
      <c r="A67" s="467">
        <v>55</v>
      </c>
      <c r="B67" s="11" t="s">
        <v>174</v>
      </c>
      <c r="C67" s="470">
        <v>48765.3333333358</v>
      </c>
      <c r="D67" s="469">
        <v>12</v>
      </c>
      <c r="E67" s="470">
        <f t="shared" si="44"/>
        <v>585184.00000003</v>
      </c>
      <c r="F67" s="470"/>
      <c r="G67" s="474"/>
      <c r="H67" s="476"/>
      <c r="I67" s="470">
        <f t="shared" si="45"/>
        <v>585184.00000003</v>
      </c>
      <c r="J67" s="470">
        <v>200000</v>
      </c>
      <c r="K67" s="470">
        <v>0.2</v>
      </c>
      <c r="L67" s="470">
        <f t="shared" si="46"/>
        <v>117036.800000006</v>
      </c>
      <c r="M67" s="470">
        <f t="shared" si="47"/>
        <v>317036.800000006</v>
      </c>
      <c r="N67" s="470">
        <f t="shared" si="48"/>
        <v>317036.800000006</v>
      </c>
      <c r="O67" s="470">
        <f t="shared" si="49"/>
        <v>268147.200000024</v>
      </c>
      <c r="P67" s="470">
        <f t="shared" si="50"/>
        <v>18770.3040000017</v>
      </c>
      <c r="Q67" s="470">
        <f t="shared" si="51"/>
        <v>0</v>
      </c>
      <c r="R67" s="470">
        <f t="shared" si="52"/>
        <v>0</v>
      </c>
      <c r="S67" s="470">
        <f t="shared" si="53"/>
        <v>0</v>
      </c>
      <c r="T67" s="470">
        <f t="shared" si="54"/>
        <v>0</v>
      </c>
      <c r="U67" s="470"/>
      <c r="V67" s="470">
        <f t="shared" si="55"/>
        <v>18770.3040000017</v>
      </c>
      <c r="W67" s="471">
        <v>12</v>
      </c>
      <c r="X67" s="470">
        <f t="shared" si="56"/>
        <v>1564.19200000014</v>
      </c>
      <c r="Y67" s="476"/>
      <c r="Z67" s="470">
        <f t="shared" si="57"/>
        <v>1564.19200000014</v>
      </c>
      <c r="AA67" s="473">
        <v>41338.9510986667</v>
      </c>
      <c r="AB67" s="473">
        <f t="shared" si="43"/>
        <v>-39774.7590986666</v>
      </c>
      <c r="AC67" s="473"/>
      <c r="AD67" s="473"/>
      <c r="AE67" s="473"/>
    </row>
    <row r="68" ht="18" spans="1:31">
      <c r="A68" s="467">
        <v>56</v>
      </c>
      <c r="B68" s="11" t="s">
        <v>175</v>
      </c>
      <c r="C68" s="470">
        <v>48765.3333333321</v>
      </c>
      <c r="D68" s="469">
        <v>12</v>
      </c>
      <c r="E68" s="470">
        <f t="shared" si="44"/>
        <v>585183.999999985</v>
      </c>
      <c r="F68" s="470"/>
      <c r="G68" s="474"/>
      <c r="H68" s="476"/>
      <c r="I68" s="470">
        <f t="shared" si="45"/>
        <v>585183.999999985</v>
      </c>
      <c r="J68" s="470">
        <v>200000</v>
      </c>
      <c r="K68" s="470">
        <v>0.2</v>
      </c>
      <c r="L68" s="470">
        <f t="shared" si="46"/>
        <v>117036.799999997</v>
      </c>
      <c r="M68" s="470">
        <f t="shared" si="47"/>
        <v>317036.799999997</v>
      </c>
      <c r="N68" s="470">
        <f t="shared" si="48"/>
        <v>317036.799999997</v>
      </c>
      <c r="O68" s="470">
        <f t="shared" si="49"/>
        <v>268147.199999988</v>
      </c>
      <c r="P68" s="470">
        <f t="shared" si="50"/>
        <v>18770.3039999992</v>
      </c>
      <c r="Q68" s="470">
        <f t="shared" si="51"/>
        <v>0</v>
      </c>
      <c r="R68" s="470">
        <f t="shared" si="52"/>
        <v>0</v>
      </c>
      <c r="S68" s="470">
        <f t="shared" si="53"/>
        <v>0</v>
      </c>
      <c r="T68" s="470">
        <f t="shared" si="54"/>
        <v>0</v>
      </c>
      <c r="U68" s="470"/>
      <c r="V68" s="470">
        <f t="shared" si="55"/>
        <v>18770.3039999992</v>
      </c>
      <c r="W68" s="471">
        <v>12</v>
      </c>
      <c r="X68" s="470">
        <f t="shared" si="56"/>
        <v>1564.19199999993</v>
      </c>
      <c r="Y68" s="476"/>
      <c r="Z68" s="470">
        <f t="shared" si="57"/>
        <v>1564.19199999993</v>
      </c>
      <c r="AA68" s="473">
        <v>41338.9510986667</v>
      </c>
      <c r="AB68" s="473">
        <f t="shared" si="43"/>
        <v>-39774.7590986668</v>
      </c>
      <c r="AC68" s="473"/>
      <c r="AD68" s="473"/>
      <c r="AE68" s="473"/>
    </row>
    <row r="69" ht="18" spans="1:31">
      <c r="A69" s="467">
        <v>57</v>
      </c>
      <c r="B69" s="11" t="s">
        <v>179</v>
      </c>
      <c r="C69" s="470">
        <v>31743.6666666679</v>
      </c>
      <c r="D69" s="469">
        <v>12</v>
      </c>
      <c r="E69" s="470">
        <f t="shared" si="44"/>
        <v>380924.000000015</v>
      </c>
      <c r="F69" s="470"/>
      <c r="G69" s="474"/>
      <c r="H69" s="476"/>
      <c r="I69" s="470">
        <f t="shared" si="45"/>
        <v>380924.000000015</v>
      </c>
      <c r="J69" s="470">
        <v>200000</v>
      </c>
      <c r="K69" s="470">
        <v>0.2</v>
      </c>
      <c r="L69" s="470">
        <f t="shared" si="46"/>
        <v>76184.800000003</v>
      </c>
      <c r="M69" s="470">
        <f t="shared" si="47"/>
        <v>276184.800000003</v>
      </c>
      <c r="N69" s="470">
        <f t="shared" si="48"/>
        <v>276184.800000003</v>
      </c>
      <c r="O69" s="470">
        <f t="shared" si="49"/>
        <v>104739.200000012</v>
      </c>
      <c r="P69" s="470">
        <f t="shared" si="50"/>
        <v>7331.74400000084</v>
      </c>
      <c r="Q69" s="470">
        <f t="shared" si="51"/>
        <v>0</v>
      </c>
      <c r="R69" s="470">
        <f t="shared" si="52"/>
        <v>0</v>
      </c>
      <c r="S69" s="470">
        <f t="shared" si="53"/>
        <v>0</v>
      </c>
      <c r="T69" s="470">
        <f t="shared" si="54"/>
        <v>0</v>
      </c>
      <c r="U69" s="470"/>
      <c r="V69" s="470">
        <f t="shared" si="55"/>
        <v>7331.74400000084</v>
      </c>
      <c r="W69" s="471">
        <v>12</v>
      </c>
      <c r="X69" s="470">
        <f t="shared" si="56"/>
        <v>610.978666666736</v>
      </c>
      <c r="Y69" s="476"/>
      <c r="Z69" s="470">
        <f t="shared" si="57"/>
        <v>610.978666666736</v>
      </c>
      <c r="AA69" s="473">
        <v>41338.9510986667</v>
      </c>
      <c r="AB69" s="473">
        <f t="shared" si="43"/>
        <v>-40727.972432</v>
      </c>
      <c r="AC69" s="473"/>
      <c r="AD69" s="473"/>
      <c r="AE69" s="473"/>
    </row>
    <row r="70" ht="17.5" spans="1:31">
      <c r="A70" s="467">
        <v>58</v>
      </c>
      <c r="B70" s="20" t="s">
        <v>120</v>
      </c>
      <c r="C70" s="468"/>
      <c r="D70" s="469"/>
      <c r="E70" s="470"/>
      <c r="F70" s="470"/>
      <c r="G70" s="470"/>
      <c r="H70" s="470"/>
      <c r="I70" s="470"/>
      <c r="J70" s="470"/>
      <c r="K70" s="470"/>
      <c r="L70" s="470"/>
      <c r="M70" s="470"/>
      <c r="N70" s="470"/>
      <c r="O70" s="470"/>
      <c r="P70" s="470"/>
      <c r="Q70" s="470"/>
      <c r="R70" s="470"/>
      <c r="S70" s="470"/>
      <c r="T70" s="470"/>
      <c r="U70" s="470"/>
      <c r="V70" s="470"/>
      <c r="W70" s="471"/>
      <c r="X70" s="470"/>
      <c r="Y70" s="470"/>
      <c r="Z70" s="470"/>
      <c r="AA70" s="473">
        <v>43368.8824146667</v>
      </c>
      <c r="AB70" s="473">
        <f t="shared" si="43"/>
        <v>-43368.8824146667</v>
      </c>
      <c r="AC70" s="473"/>
      <c r="AD70" s="473"/>
      <c r="AE70" s="473"/>
    </row>
    <row r="71" ht="17.5" spans="1:31">
      <c r="A71" s="467">
        <v>59</v>
      </c>
      <c r="B71" s="22"/>
      <c r="C71" s="468"/>
      <c r="D71" s="469"/>
      <c r="E71" s="470"/>
      <c r="F71" s="470"/>
      <c r="G71" s="470"/>
      <c r="H71" s="470"/>
      <c r="I71" s="470"/>
      <c r="J71" s="470"/>
      <c r="K71" s="470"/>
      <c r="L71" s="470"/>
      <c r="M71" s="470"/>
      <c r="N71" s="470"/>
      <c r="O71" s="470"/>
      <c r="P71" s="470"/>
      <c r="Q71" s="470"/>
      <c r="R71" s="470"/>
      <c r="S71" s="470"/>
      <c r="T71" s="470"/>
      <c r="U71" s="470"/>
      <c r="V71" s="470"/>
      <c r="W71" s="471"/>
      <c r="X71" s="470"/>
      <c r="Y71" s="470"/>
      <c r="Z71" s="470"/>
      <c r="AA71" s="473">
        <v>33825.9865626667</v>
      </c>
      <c r="AB71" s="473">
        <f t="shared" si="43"/>
        <v>-33825.9865626667</v>
      </c>
      <c r="AC71" s="473"/>
      <c r="AD71" s="473"/>
      <c r="AE71" s="473"/>
    </row>
    <row r="72" ht="17.5" spans="1:31">
      <c r="A72" s="467">
        <v>60</v>
      </c>
      <c r="B72" s="20" t="s">
        <v>183</v>
      </c>
      <c r="C72" s="470"/>
      <c r="D72" s="469"/>
      <c r="E72" s="470"/>
      <c r="F72" s="470"/>
      <c r="G72" s="476"/>
      <c r="H72" s="476"/>
      <c r="I72" s="470"/>
      <c r="J72" s="470"/>
      <c r="K72" s="470"/>
      <c r="L72" s="470"/>
      <c r="M72" s="470"/>
      <c r="N72" s="470"/>
      <c r="O72" s="470"/>
      <c r="P72" s="470"/>
      <c r="Q72" s="470"/>
      <c r="R72" s="470"/>
      <c r="S72" s="470"/>
      <c r="T72" s="470"/>
      <c r="U72" s="470"/>
      <c r="V72" s="470"/>
      <c r="W72" s="471"/>
      <c r="X72" s="470"/>
      <c r="Y72" s="476"/>
      <c r="Z72" s="470"/>
      <c r="AA72" s="473"/>
      <c r="AB72" s="473"/>
      <c r="AC72" s="473"/>
      <c r="AD72" s="473"/>
      <c r="AE72" s="473"/>
    </row>
    <row r="73" ht="18" spans="1:31">
      <c r="A73" s="467">
        <v>61</v>
      </c>
      <c r="B73" s="11" t="s">
        <v>184</v>
      </c>
      <c r="C73" s="470"/>
      <c r="D73" s="469"/>
      <c r="E73" s="470"/>
      <c r="F73" s="470"/>
      <c r="G73" s="476"/>
      <c r="H73" s="476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0"/>
      <c r="W73" s="471"/>
      <c r="X73" s="470"/>
      <c r="Y73" s="476"/>
      <c r="Z73" s="470"/>
      <c r="AA73" s="473"/>
      <c r="AB73" s="473"/>
      <c r="AC73" s="473"/>
      <c r="AD73" s="473"/>
      <c r="AE73" s="473"/>
    </row>
    <row r="74" ht="18" spans="1:31">
      <c r="A74" s="467"/>
      <c r="B74" s="11" t="s">
        <v>188</v>
      </c>
      <c r="C74" s="470">
        <v>77115</v>
      </c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470"/>
      <c r="AA74" s="473"/>
      <c r="AB74" s="473"/>
      <c r="AC74" s="473"/>
      <c r="AD74" s="473"/>
      <c r="AE74" s="473"/>
    </row>
    <row r="75" ht="18" spans="1:31">
      <c r="A75" s="467"/>
      <c r="B75" s="11" t="s">
        <v>190</v>
      </c>
      <c r="C75" s="470">
        <v>55503</v>
      </c>
      <c r="D75" s="469">
        <v>12</v>
      </c>
      <c r="E75" s="470">
        <f t="shared" ref="E75:E81" si="58">C75*D75</f>
        <v>666036</v>
      </c>
      <c r="F75" s="470"/>
      <c r="G75" s="474"/>
      <c r="H75" s="476"/>
      <c r="I75" s="470">
        <f t="shared" ref="I75:I81" si="59">E75-F75-G75-H75</f>
        <v>666036</v>
      </c>
      <c r="J75" s="470">
        <v>200000</v>
      </c>
      <c r="K75" s="470">
        <v>0.2</v>
      </c>
      <c r="L75" s="470">
        <f t="shared" ref="L75:L81" si="60">I75*K75</f>
        <v>133207.2</v>
      </c>
      <c r="M75" s="470">
        <f t="shared" ref="M75:M81" si="61">J75+L75</f>
        <v>333207.2</v>
      </c>
      <c r="N75" s="470">
        <f t="shared" ref="N75:N81" si="62">F75+G75+H75+M75</f>
        <v>333207.2</v>
      </c>
      <c r="O75" s="470">
        <f t="shared" ref="O75:O81" si="63">E75-N75</f>
        <v>332828.8</v>
      </c>
      <c r="P75" s="470">
        <f t="shared" ref="P75:P81" si="64">IF(O75&lt;300000,0.07*O75,21000)</f>
        <v>21000</v>
      </c>
      <c r="Q75" s="470">
        <f t="shared" ref="Q75:Q81" si="65">IF((O75-300000)&lt;0,0,IF((O75-300000)&lt;300000,0.11*(O75-300000),33000))</f>
        <v>3611.168</v>
      </c>
      <c r="R75" s="470">
        <f t="shared" ref="R75:R81" si="66">IF((O75-600000)&lt;0,0,IF((O75-600000)&lt;500000,0.15*(O75-600000),75000))</f>
        <v>0</v>
      </c>
      <c r="S75" s="470">
        <f t="shared" ref="S75:S81" si="67">IF((O75-1100000)&lt;0,0,IF((O75-1100000)&lt;500000,0.19*(O75-1100000),95000))</f>
        <v>0</v>
      </c>
      <c r="T75" s="470">
        <f t="shared" ref="T75:T81" si="68">IF((O75-1600000)&lt;0,0,IF((O75-1600000)&lt;1600000,0.21*(O75-1600000),336000))</f>
        <v>0</v>
      </c>
      <c r="U75" s="470"/>
      <c r="V75" s="470">
        <f t="shared" ref="V75:V81" si="69">P75+Q75+R75+S75+T75+U75</f>
        <v>24611.168</v>
      </c>
      <c r="W75" s="471">
        <v>12</v>
      </c>
      <c r="X75" s="470">
        <f t="shared" ref="X75:X81" si="70">V75/W75</f>
        <v>2050.93066666667</v>
      </c>
      <c r="Y75" s="476"/>
      <c r="Z75" s="470">
        <f t="shared" ref="Z75:Z81" si="71">X75</f>
        <v>2050.93066666667</v>
      </c>
      <c r="AA75" s="473">
        <v>180306.806858667</v>
      </c>
      <c r="AB75" s="473">
        <f t="shared" ref="AB75:AB81" si="72">Z75-AA75</f>
        <v>-178255.876192</v>
      </c>
      <c r="AC75" s="473"/>
      <c r="AD75" s="473"/>
      <c r="AE75" s="473"/>
    </row>
    <row r="76" ht="18" spans="1:31">
      <c r="A76" s="467">
        <v>62</v>
      </c>
      <c r="B76" s="11" t="s">
        <v>197</v>
      </c>
      <c r="C76" s="470">
        <v>0</v>
      </c>
      <c r="D76" s="469">
        <v>12</v>
      </c>
      <c r="E76" s="470">
        <f t="shared" si="58"/>
        <v>0</v>
      </c>
      <c r="F76" s="470"/>
      <c r="G76" s="474"/>
      <c r="H76" s="476"/>
      <c r="I76" s="470">
        <f t="shared" si="59"/>
        <v>0</v>
      </c>
      <c r="J76" s="470">
        <v>200000</v>
      </c>
      <c r="K76" s="470">
        <v>0.2</v>
      </c>
      <c r="L76" s="470">
        <f t="shared" si="60"/>
        <v>0</v>
      </c>
      <c r="M76" s="470">
        <f t="shared" si="61"/>
        <v>200000</v>
      </c>
      <c r="N76" s="470">
        <f t="shared" si="62"/>
        <v>200000</v>
      </c>
      <c r="O76" s="470">
        <f t="shared" si="63"/>
        <v>-200000</v>
      </c>
      <c r="P76" s="470">
        <f t="shared" si="64"/>
        <v>-14000</v>
      </c>
      <c r="Q76" s="470">
        <f t="shared" si="65"/>
        <v>0</v>
      </c>
      <c r="R76" s="470">
        <f t="shared" si="66"/>
        <v>0</v>
      </c>
      <c r="S76" s="470">
        <f t="shared" si="67"/>
        <v>0</v>
      </c>
      <c r="T76" s="470">
        <f t="shared" si="68"/>
        <v>0</v>
      </c>
      <c r="U76" s="470"/>
      <c r="V76" s="470">
        <f t="shared" si="69"/>
        <v>-14000</v>
      </c>
      <c r="W76" s="471">
        <v>12</v>
      </c>
      <c r="X76" s="470">
        <f t="shared" si="70"/>
        <v>-1166.66666666667</v>
      </c>
      <c r="Y76" s="476"/>
      <c r="Z76" s="470">
        <f t="shared" si="71"/>
        <v>-1166.66666666667</v>
      </c>
      <c r="AA76" s="473">
        <v>77764.9802666667</v>
      </c>
      <c r="AB76" s="473">
        <f t="shared" si="72"/>
        <v>-78931.6469333334</v>
      </c>
      <c r="AC76" s="473"/>
      <c r="AD76" s="473"/>
      <c r="AE76" s="473"/>
    </row>
    <row r="77" ht="18" spans="1:31">
      <c r="A77" s="467">
        <v>63</v>
      </c>
      <c r="B77" s="11" t="s">
        <v>201</v>
      </c>
      <c r="C77" s="470">
        <v>0</v>
      </c>
      <c r="D77" s="469">
        <v>12</v>
      </c>
      <c r="E77" s="470">
        <f t="shared" si="58"/>
        <v>0</v>
      </c>
      <c r="F77" s="470"/>
      <c r="G77" s="474"/>
      <c r="H77" s="476"/>
      <c r="I77" s="470">
        <f t="shared" si="59"/>
        <v>0</v>
      </c>
      <c r="J77" s="470">
        <v>200000</v>
      </c>
      <c r="K77" s="470">
        <v>0.2</v>
      </c>
      <c r="L77" s="470">
        <f t="shared" si="60"/>
        <v>0</v>
      </c>
      <c r="M77" s="470">
        <f t="shared" si="61"/>
        <v>200000</v>
      </c>
      <c r="N77" s="470">
        <f t="shared" si="62"/>
        <v>200000</v>
      </c>
      <c r="O77" s="470">
        <f t="shared" si="63"/>
        <v>-200000</v>
      </c>
      <c r="P77" s="470">
        <f t="shared" si="64"/>
        <v>-14000</v>
      </c>
      <c r="Q77" s="470">
        <f t="shared" si="65"/>
        <v>0</v>
      </c>
      <c r="R77" s="470">
        <f t="shared" si="66"/>
        <v>0</v>
      </c>
      <c r="S77" s="470">
        <f t="shared" si="67"/>
        <v>0</v>
      </c>
      <c r="T77" s="470">
        <f t="shared" si="68"/>
        <v>0</v>
      </c>
      <c r="U77" s="470"/>
      <c r="V77" s="470">
        <f t="shared" si="69"/>
        <v>-14000</v>
      </c>
      <c r="W77" s="471">
        <v>12</v>
      </c>
      <c r="X77" s="470">
        <f t="shared" si="70"/>
        <v>-1166.66666666667</v>
      </c>
      <c r="Y77" s="476"/>
      <c r="Z77" s="470">
        <f t="shared" si="71"/>
        <v>-1166.66666666667</v>
      </c>
      <c r="AA77" s="473">
        <v>64596.9391466667</v>
      </c>
      <c r="AB77" s="473">
        <f t="shared" si="72"/>
        <v>-65763.6058133334</v>
      </c>
      <c r="AC77" s="473"/>
      <c r="AD77" s="473"/>
      <c r="AE77" s="473"/>
    </row>
    <row r="78" ht="18" spans="1:31">
      <c r="A78" s="467">
        <v>64</v>
      </c>
      <c r="B78" s="11" t="s">
        <v>203</v>
      </c>
      <c r="C78" s="470">
        <v>24688.666666668</v>
      </c>
      <c r="D78" s="469">
        <v>12</v>
      </c>
      <c r="E78" s="470">
        <f t="shared" si="58"/>
        <v>296264.000000016</v>
      </c>
      <c r="F78" s="470"/>
      <c r="G78" s="474"/>
      <c r="H78" s="476"/>
      <c r="I78" s="470">
        <f t="shared" si="59"/>
        <v>296264.000000016</v>
      </c>
      <c r="J78" s="470">
        <v>200000</v>
      </c>
      <c r="K78" s="470">
        <v>0.2</v>
      </c>
      <c r="L78" s="470">
        <f t="shared" si="60"/>
        <v>59252.8000000033</v>
      </c>
      <c r="M78" s="470">
        <f t="shared" si="61"/>
        <v>259252.800000003</v>
      </c>
      <c r="N78" s="470">
        <f t="shared" si="62"/>
        <v>259252.800000003</v>
      </c>
      <c r="O78" s="470">
        <f t="shared" si="63"/>
        <v>37011.2000000131</v>
      </c>
      <c r="P78" s="470">
        <f t="shared" si="64"/>
        <v>2590.78400000091</v>
      </c>
      <c r="Q78" s="470">
        <f t="shared" si="65"/>
        <v>0</v>
      </c>
      <c r="R78" s="470">
        <f t="shared" si="66"/>
        <v>0</v>
      </c>
      <c r="S78" s="470">
        <f t="shared" si="67"/>
        <v>0</v>
      </c>
      <c r="T78" s="470">
        <f t="shared" si="68"/>
        <v>0</v>
      </c>
      <c r="U78" s="470"/>
      <c r="V78" s="470">
        <f t="shared" si="69"/>
        <v>2590.78400000091</v>
      </c>
      <c r="W78" s="471">
        <v>12</v>
      </c>
      <c r="X78" s="470">
        <f t="shared" si="70"/>
        <v>215.898666666743</v>
      </c>
      <c r="Y78" s="476"/>
      <c r="Z78" s="470">
        <f t="shared" si="71"/>
        <v>215.898666666743</v>
      </c>
      <c r="AA78" s="473">
        <v>56350.5861866667</v>
      </c>
      <c r="AB78" s="473">
        <f t="shared" si="72"/>
        <v>-56134.68752</v>
      </c>
      <c r="AC78" s="473"/>
      <c r="AD78" s="473"/>
      <c r="AE78" s="473"/>
    </row>
    <row r="79" ht="17.5" spans="1:31">
      <c r="A79" s="467">
        <v>65</v>
      </c>
      <c r="B79" s="20" t="s">
        <v>120</v>
      </c>
      <c r="C79" s="468"/>
      <c r="D79" s="469"/>
      <c r="E79" s="470"/>
      <c r="F79" s="470"/>
      <c r="G79" s="470"/>
      <c r="H79" s="470"/>
      <c r="I79" s="470"/>
      <c r="J79" s="470"/>
      <c r="K79" s="470"/>
      <c r="L79" s="470"/>
      <c r="M79" s="470"/>
      <c r="N79" s="470"/>
      <c r="O79" s="470"/>
      <c r="P79" s="470"/>
      <c r="Q79" s="470"/>
      <c r="R79" s="470"/>
      <c r="S79" s="470"/>
      <c r="T79" s="470"/>
      <c r="U79" s="470"/>
      <c r="V79" s="470"/>
      <c r="W79" s="471"/>
      <c r="X79" s="470"/>
      <c r="Y79" s="470"/>
      <c r="Z79" s="470"/>
      <c r="AA79" s="473">
        <v>17507.5489666667</v>
      </c>
      <c r="AB79" s="473">
        <f t="shared" si="72"/>
        <v>-17507.5489666667</v>
      </c>
      <c r="AC79" s="473"/>
      <c r="AD79" s="473"/>
      <c r="AE79" s="473"/>
    </row>
    <row r="80" ht="24.75" customHeight="1" spans="1:31">
      <c r="A80" s="467"/>
      <c r="B80" s="20"/>
      <c r="C80" s="468"/>
      <c r="D80" s="469"/>
      <c r="E80" s="470"/>
      <c r="F80" s="470"/>
      <c r="G80" s="470"/>
      <c r="H80" s="470"/>
      <c r="I80" s="470"/>
      <c r="J80" s="470"/>
      <c r="K80" s="470"/>
      <c r="L80" s="470"/>
      <c r="M80" s="470"/>
      <c r="N80" s="470"/>
      <c r="O80" s="470"/>
      <c r="P80" s="470"/>
      <c r="Q80" s="470"/>
      <c r="R80" s="470"/>
      <c r="S80" s="470"/>
      <c r="T80" s="470"/>
      <c r="U80" s="470"/>
      <c r="V80" s="470"/>
      <c r="W80" s="471"/>
      <c r="X80" s="470"/>
      <c r="Y80" s="470"/>
      <c r="Z80" s="470"/>
      <c r="AA80" s="473">
        <v>29058.4826046667</v>
      </c>
      <c r="AB80" s="473">
        <f t="shared" si="72"/>
        <v>-29058.4826046667</v>
      </c>
      <c r="AC80" s="473"/>
      <c r="AD80" s="473"/>
      <c r="AE80" s="473"/>
    </row>
    <row r="81" ht="35" spans="1:31">
      <c r="A81" s="467"/>
      <c r="B81" s="20" t="s">
        <v>205</v>
      </c>
      <c r="C81" s="468"/>
      <c r="D81" s="469"/>
      <c r="E81" s="470"/>
      <c r="F81" s="470"/>
      <c r="G81" s="470"/>
      <c r="H81" s="470"/>
      <c r="I81" s="470"/>
      <c r="J81" s="470"/>
      <c r="K81" s="470"/>
      <c r="L81" s="470"/>
      <c r="M81" s="470"/>
      <c r="N81" s="470"/>
      <c r="O81" s="470"/>
      <c r="P81" s="470"/>
      <c r="Q81" s="470"/>
      <c r="R81" s="470"/>
      <c r="S81" s="470"/>
      <c r="T81" s="470"/>
      <c r="U81" s="470"/>
      <c r="V81" s="470"/>
      <c r="W81" s="471"/>
      <c r="X81" s="470"/>
      <c r="Y81" s="470"/>
      <c r="Z81" s="470"/>
      <c r="AA81" s="473">
        <v>24751.1704626667</v>
      </c>
      <c r="AB81" s="473">
        <f t="shared" si="72"/>
        <v>-24751.1704626667</v>
      </c>
      <c r="AC81" s="473"/>
      <c r="AD81" s="473"/>
      <c r="AE81" s="473"/>
    </row>
    <row r="82" ht="18" spans="1:31">
      <c r="A82" s="467"/>
      <c r="B82" s="11" t="s">
        <v>206</v>
      </c>
      <c r="C82" s="470"/>
      <c r="D82" s="469"/>
      <c r="E82" s="470"/>
      <c r="F82" s="470"/>
      <c r="G82" s="476"/>
      <c r="H82" s="476"/>
      <c r="I82" s="470"/>
      <c r="J82" s="470"/>
      <c r="K82" s="470"/>
      <c r="L82" s="470"/>
      <c r="M82" s="470"/>
      <c r="N82" s="470"/>
      <c r="O82" s="470"/>
      <c r="P82" s="470"/>
      <c r="Q82" s="470"/>
      <c r="R82" s="470"/>
      <c r="S82" s="470"/>
      <c r="T82" s="470"/>
      <c r="U82" s="470"/>
      <c r="V82" s="470"/>
      <c r="W82" s="471"/>
      <c r="X82" s="470"/>
      <c r="Y82" s="476"/>
      <c r="Z82" s="470"/>
      <c r="AA82" s="473"/>
      <c r="AB82" s="473"/>
      <c r="AC82" s="473"/>
      <c r="AD82" s="473"/>
      <c r="AE82" s="473"/>
    </row>
    <row r="83" ht="18" spans="1:31">
      <c r="A83" s="467">
        <v>66</v>
      </c>
      <c r="B83" s="11" t="s">
        <v>208</v>
      </c>
      <c r="C83" s="470"/>
      <c r="D83" s="469"/>
      <c r="E83" s="470"/>
      <c r="F83" s="470"/>
      <c r="G83" s="476"/>
      <c r="H83" s="476"/>
      <c r="I83" s="470"/>
      <c r="J83" s="470"/>
      <c r="K83" s="470"/>
      <c r="L83" s="470"/>
      <c r="M83" s="470"/>
      <c r="N83" s="470"/>
      <c r="O83" s="470"/>
      <c r="P83" s="470"/>
      <c r="Q83" s="470"/>
      <c r="R83" s="470"/>
      <c r="S83" s="470"/>
      <c r="T83" s="470"/>
      <c r="U83" s="470"/>
      <c r="V83" s="470"/>
      <c r="W83" s="471"/>
      <c r="X83" s="470"/>
      <c r="Y83" s="476"/>
      <c r="Z83" s="470"/>
      <c r="AA83" s="473"/>
      <c r="AB83" s="473"/>
      <c r="AC83" s="473"/>
      <c r="AD83" s="473"/>
      <c r="AE83" s="473"/>
    </row>
    <row r="84" ht="36" spans="1:31">
      <c r="A84" s="467">
        <v>67</v>
      </c>
      <c r="B84" s="11" t="s">
        <v>479</v>
      </c>
      <c r="C84" s="470">
        <v>77115</v>
      </c>
      <c r="D84" s="469">
        <v>12</v>
      </c>
      <c r="E84" s="470">
        <f>C84*D84</f>
        <v>925380</v>
      </c>
      <c r="F84" s="470"/>
      <c r="G84" s="474"/>
      <c r="H84" s="476"/>
      <c r="I84" s="470">
        <f>E84-F84-G84-H84</f>
        <v>925380</v>
      </c>
      <c r="J84" s="470">
        <v>200000</v>
      </c>
      <c r="K84" s="470">
        <v>0.2</v>
      </c>
      <c r="L84" s="470">
        <f>I84*K84</f>
        <v>185076</v>
      </c>
      <c r="M84" s="470">
        <f>J84+L84</f>
        <v>385076</v>
      </c>
      <c r="N84" s="470">
        <f>F84+G84+H84+M84</f>
        <v>385076</v>
      </c>
      <c r="O84" s="470">
        <f>E84-N84</f>
        <v>540304</v>
      </c>
      <c r="P84" s="470">
        <f>IF(O84&lt;300000,0.07*O84,21000)</f>
        <v>21000</v>
      </c>
      <c r="Q84" s="470">
        <f>IF((O84-300000)&lt;0,0,IF((O84-300000)&lt;300000,0.11*(O84-300000),33000))</f>
        <v>26433.44</v>
      </c>
      <c r="R84" s="470">
        <f>IF((O84-600000)&lt;0,0,IF((O84-600000)&lt;500000,0.15*(O84-600000),75000))</f>
        <v>0</v>
      </c>
      <c r="S84" s="470">
        <f>IF((O84-1100000)&lt;0,0,IF((O84-1100000)&lt;500000,0.19*(O84-1100000),95000))</f>
        <v>0</v>
      </c>
      <c r="T84" s="470">
        <f>IF((O84-1600000)&lt;0,0,IF((O84-1600000)&lt;1600000,0.21*(O84-1600000),336000))</f>
        <v>0</v>
      </c>
      <c r="U84" s="470"/>
      <c r="V84" s="470">
        <f>P84+Q84+R84+S84+T84+U84</f>
        <v>47433.44</v>
      </c>
      <c r="W84" s="471">
        <v>12</v>
      </c>
      <c r="X84" s="470">
        <f>V84/W84</f>
        <v>3952.78666666667</v>
      </c>
      <c r="Y84" s="476"/>
      <c r="Z84" s="470">
        <f>X84</f>
        <v>3952.78666666667</v>
      </c>
      <c r="AA84" s="470">
        <v>98996.1031466667</v>
      </c>
      <c r="AB84" s="296" t="s">
        <v>1010</v>
      </c>
      <c r="AC84" s="473"/>
      <c r="AD84" s="473"/>
      <c r="AE84" s="473"/>
    </row>
    <row r="85" ht="18" spans="1:31">
      <c r="A85" s="467">
        <v>68</v>
      </c>
      <c r="B85" s="11" t="s">
        <v>211</v>
      </c>
      <c r="C85" s="470"/>
      <c r="D85" s="469"/>
      <c r="E85" s="470"/>
      <c r="F85" s="470"/>
      <c r="G85" s="476"/>
      <c r="H85" s="476"/>
      <c r="I85" s="470"/>
      <c r="J85" s="470"/>
      <c r="K85" s="470"/>
      <c r="L85" s="470"/>
      <c r="M85" s="470"/>
      <c r="N85" s="470"/>
      <c r="O85" s="470"/>
      <c r="P85" s="470"/>
      <c r="Q85" s="470"/>
      <c r="R85" s="470"/>
      <c r="S85" s="470"/>
      <c r="T85" s="470"/>
      <c r="U85" s="470"/>
      <c r="V85" s="470"/>
      <c r="W85" s="471"/>
      <c r="X85" s="470"/>
      <c r="Y85" s="476"/>
      <c r="Z85" s="470"/>
      <c r="AA85" s="473"/>
      <c r="AB85" s="473"/>
      <c r="AC85" s="473" t="s">
        <v>208</v>
      </c>
      <c r="AD85" s="473"/>
      <c r="AE85" s="473"/>
    </row>
    <row r="86" ht="18" spans="1:31">
      <c r="A86" s="467">
        <v>69</v>
      </c>
      <c r="B86" s="11" t="s">
        <v>212</v>
      </c>
      <c r="C86" s="470">
        <v>55503</v>
      </c>
      <c r="D86" s="469">
        <v>12</v>
      </c>
      <c r="E86" s="470">
        <f t="shared" ref="E85:E94" si="73">C86*D86</f>
        <v>666036</v>
      </c>
      <c r="F86" s="470"/>
      <c r="G86" s="474"/>
      <c r="H86" s="476"/>
      <c r="I86" s="470">
        <f t="shared" ref="I85:I94" si="74">E86-F86-G86-H86</f>
        <v>666036</v>
      </c>
      <c r="J86" s="470">
        <v>200000</v>
      </c>
      <c r="K86" s="470">
        <v>0.2</v>
      </c>
      <c r="L86" s="470">
        <f t="shared" ref="L85:L94" si="75">I86*K86</f>
        <v>133207.2</v>
      </c>
      <c r="M86" s="470">
        <f t="shared" ref="M85:M94" si="76">J86+L86</f>
        <v>333207.2</v>
      </c>
      <c r="N86" s="470">
        <f t="shared" ref="N85:N94" si="77">F86+G86+H86+M86</f>
        <v>333207.2</v>
      </c>
      <c r="O86" s="470">
        <f t="shared" ref="O85:O94" si="78">E86-N86</f>
        <v>332828.8</v>
      </c>
      <c r="P86" s="470">
        <f t="shared" ref="P85:P94" si="79">IF(O86&lt;300000,0.07*O86,21000)</f>
        <v>21000</v>
      </c>
      <c r="Q86" s="470">
        <f t="shared" ref="Q85:Q94" si="80">IF((O86-300000)&lt;0,0,IF((O86-300000)&lt;300000,0.11*(O86-300000),33000))</f>
        <v>3611.168</v>
      </c>
      <c r="R86" s="470">
        <f t="shared" ref="R85:R94" si="81">IF((O86-600000)&lt;0,0,IF((O86-600000)&lt;500000,0.15*(O86-600000),75000))</f>
        <v>0</v>
      </c>
      <c r="S86" s="470">
        <f t="shared" ref="S85:S94" si="82">IF((O86-1100000)&lt;0,0,IF((O86-1100000)&lt;500000,0.19*(O86-1100000),95000))</f>
        <v>0</v>
      </c>
      <c r="T86" s="470">
        <f t="shared" ref="T85:T94" si="83">IF((O86-1600000)&lt;0,0,IF((O86-1600000)&lt;1600000,0.21*(O86-1600000),336000))</f>
        <v>0</v>
      </c>
      <c r="U86" s="470"/>
      <c r="V86" s="470">
        <f t="shared" ref="V85:V94" si="84">P86+Q86+R86+S86+T86+U86</f>
        <v>24611.168</v>
      </c>
      <c r="W86" s="471">
        <v>12</v>
      </c>
      <c r="X86" s="470">
        <f t="shared" ref="X85:X94" si="85">V86/W86</f>
        <v>2050.93066666667</v>
      </c>
      <c r="Y86" s="476"/>
      <c r="Z86" s="470">
        <f t="shared" ref="Z85:Z94" si="86">X86</f>
        <v>2050.93066666667</v>
      </c>
      <c r="AA86" s="470">
        <v>98996.1031466667</v>
      </c>
      <c r="AB86" s="473">
        <f t="shared" ref="AB85:AB94" si="87">Z86-AA86</f>
        <v>-96945.17248</v>
      </c>
      <c r="AC86" s="473" t="s">
        <v>206</v>
      </c>
      <c r="AD86" s="473"/>
      <c r="AE86" s="473"/>
    </row>
    <row r="87" ht="36" spans="1:31">
      <c r="A87" s="467">
        <v>70</v>
      </c>
      <c r="B87" s="11" t="s">
        <v>213</v>
      </c>
      <c r="C87" s="470">
        <v>55503</v>
      </c>
      <c r="D87" s="469">
        <v>12</v>
      </c>
      <c r="E87" s="470">
        <f t="shared" si="73"/>
        <v>666036</v>
      </c>
      <c r="F87" s="470"/>
      <c r="G87" s="474"/>
      <c r="H87" s="476"/>
      <c r="I87" s="470">
        <f t="shared" si="74"/>
        <v>666036</v>
      </c>
      <c r="J87" s="470">
        <v>200000</v>
      </c>
      <c r="K87" s="470">
        <v>0.2</v>
      </c>
      <c r="L87" s="470">
        <f t="shared" si="75"/>
        <v>133207.2</v>
      </c>
      <c r="M87" s="470">
        <f t="shared" si="76"/>
        <v>333207.2</v>
      </c>
      <c r="N87" s="470">
        <f t="shared" si="77"/>
        <v>333207.2</v>
      </c>
      <c r="O87" s="470">
        <f t="shared" si="78"/>
        <v>332828.8</v>
      </c>
      <c r="P87" s="470">
        <f t="shared" si="79"/>
        <v>21000</v>
      </c>
      <c r="Q87" s="470">
        <f t="shared" si="80"/>
        <v>3611.168</v>
      </c>
      <c r="R87" s="470">
        <f t="shared" si="81"/>
        <v>0</v>
      </c>
      <c r="S87" s="470">
        <f t="shared" si="82"/>
        <v>0</v>
      </c>
      <c r="T87" s="470">
        <f t="shared" si="83"/>
        <v>0</v>
      </c>
      <c r="U87" s="470"/>
      <c r="V87" s="470">
        <f t="shared" si="84"/>
        <v>24611.168</v>
      </c>
      <c r="W87" s="471">
        <v>12</v>
      </c>
      <c r="X87" s="470">
        <f t="shared" si="85"/>
        <v>2050.93066666667</v>
      </c>
      <c r="Y87" s="476"/>
      <c r="Z87" s="470">
        <f t="shared" si="86"/>
        <v>2050.93066666667</v>
      </c>
      <c r="AA87" s="470">
        <v>79956.9391466667</v>
      </c>
      <c r="AB87" s="473">
        <f t="shared" si="87"/>
        <v>-77906.00848</v>
      </c>
      <c r="AC87" s="473" t="s">
        <v>479</v>
      </c>
      <c r="AD87" s="473"/>
      <c r="AE87" s="473"/>
    </row>
    <row r="88" ht="18" spans="1:31">
      <c r="A88" s="467">
        <v>71</v>
      </c>
      <c r="B88" s="11" t="s">
        <v>215</v>
      </c>
      <c r="C88" s="470">
        <v>48765.3333333358</v>
      </c>
      <c r="D88" s="469">
        <v>12</v>
      </c>
      <c r="E88" s="470">
        <f t="shared" si="73"/>
        <v>585184.00000003</v>
      </c>
      <c r="F88" s="470"/>
      <c r="G88" s="474"/>
      <c r="H88" s="476"/>
      <c r="I88" s="470">
        <f t="shared" si="74"/>
        <v>585184.00000003</v>
      </c>
      <c r="J88" s="470">
        <v>200000</v>
      </c>
      <c r="K88" s="470">
        <v>0.2</v>
      </c>
      <c r="L88" s="470">
        <f t="shared" si="75"/>
        <v>117036.800000006</v>
      </c>
      <c r="M88" s="470">
        <f t="shared" si="76"/>
        <v>317036.800000006</v>
      </c>
      <c r="N88" s="470">
        <f t="shared" si="77"/>
        <v>317036.800000006</v>
      </c>
      <c r="O88" s="470">
        <f t="shared" si="78"/>
        <v>268147.200000024</v>
      </c>
      <c r="P88" s="470">
        <f t="shared" si="79"/>
        <v>18770.3040000017</v>
      </c>
      <c r="Q88" s="470">
        <f t="shared" si="80"/>
        <v>0</v>
      </c>
      <c r="R88" s="470">
        <f t="shared" si="81"/>
        <v>0</v>
      </c>
      <c r="S88" s="470">
        <f t="shared" si="82"/>
        <v>0</v>
      </c>
      <c r="T88" s="470">
        <f t="shared" si="83"/>
        <v>0</v>
      </c>
      <c r="U88" s="470"/>
      <c r="V88" s="470">
        <f t="shared" si="84"/>
        <v>18770.3040000017</v>
      </c>
      <c r="W88" s="471">
        <v>12</v>
      </c>
      <c r="X88" s="470">
        <f t="shared" si="85"/>
        <v>1564.19200000014</v>
      </c>
      <c r="Y88" s="476"/>
      <c r="Z88" s="470">
        <f t="shared" si="86"/>
        <v>1564.19200000014</v>
      </c>
      <c r="AA88" s="470">
        <v>75574.6772906667</v>
      </c>
      <c r="AB88" s="473">
        <f t="shared" si="87"/>
        <v>-74010.4852906666</v>
      </c>
      <c r="AC88" s="473" t="s">
        <v>211</v>
      </c>
      <c r="AD88" s="473"/>
      <c r="AE88" s="473"/>
    </row>
    <row r="89" ht="18" spans="1:31">
      <c r="A89" s="467">
        <v>72</v>
      </c>
      <c r="B89" s="11" t="s">
        <v>216</v>
      </c>
      <c r="C89" s="470">
        <v>51556</v>
      </c>
      <c r="D89" s="469">
        <v>12</v>
      </c>
      <c r="E89" s="470">
        <f t="shared" si="73"/>
        <v>618672</v>
      </c>
      <c r="F89" s="470"/>
      <c r="G89" s="474"/>
      <c r="H89" s="476"/>
      <c r="I89" s="470">
        <f t="shared" si="74"/>
        <v>618672</v>
      </c>
      <c r="J89" s="470">
        <v>200000</v>
      </c>
      <c r="K89" s="470">
        <v>0.2</v>
      </c>
      <c r="L89" s="470">
        <f t="shared" si="75"/>
        <v>123734.4</v>
      </c>
      <c r="M89" s="470">
        <f t="shared" si="76"/>
        <v>323734.4</v>
      </c>
      <c r="N89" s="470">
        <f t="shared" si="77"/>
        <v>323734.4</v>
      </c>
      <c r="O89" s="470">
        <f t="shared" si="78"/>
        <v>294937.6</v>
      </c>
      <c r="P89" s="470">
        <f t="shared" si="79"/>
        <v>20645.632</v>
      </c>
      <c r="Q89" s="470">
        <f t="shared" si="80"/>
        <v>0</v>
      </c>
      <c r="R89" s="470">
        <f t="shared" si="81"/>
        <v>0</v>
      </c>
      <c r="S89" s="470">
        <f t="shared" si="82"/>
        <v>0</v>
      </c>
      <c r="T89" s="470">
        <f t="shared" si="83"/>
        <v>0</v>
      </c>
      <c r="U89" s="470"/>
      <c r="V89" s="470">
        <f t="shared" si="84"/>
        <v>20645.632</v>
      </c>
      <c r="W89" s="471">
        <v>12</v>
      </c>
      <c r="X89" s="470">
        <f t="shared" si="85"/>
        <v>1720.46933333333</v>
      </c>
      <c r="Y89" s="476"/>
      <c r="Z89" s="470">
        <f t="shared" si="86"/>
        <v>1720.46933333333</v>
      </c>
      <c r="AA89" s="470">
        <v>50985.9775466667</v>
      </c>
      <c r="AB89" s="473">
        <f t="shared" si="87"/>
        <v>-49265.5082133334</v>
      </c>
      <c r="AC89" s="473" t="s">
        <v>212</v>
      </c>
      <c r="AD89" s="473"/>
      <c r="AE89" s="473"/>
    </row>
    <row r="90" ht="18" spans="1:31">
      <c r="A90" s="467">
        <v>73</v>
      </c>
      <c r="B90" s="11" t="s">
        <v>220</v>
      </c>
      <c r="C90" s="470">
        <v>31743.6666666679</v>
      </c>
      <c r="D90" s="469">
        <v>12</v>
      </c>
      <c r="E90" s="470">
        <f t="shared" si="73"/>
        <v>380924.000000015</v>
      </c>
      <c r="F90" s="470"/>
      <c r="G90" s="474"/>
      <c r="H90" s="476"/>
      <c r="I90" s="470">
        <f t="shared" si="74"/>
        <v>380924.000000015</v>
      </c>
      <c r="J90" s="470">
        <v>200000</v>
      </c>
      <c r="K90" s="470">
        <v>0.2</v>
      </c>
      <c r="L90" s="470">
        <f t="shared" si="75"/>
        <v>76184.800000003</v>
      </c>
      <c r="M90" s="470">
        <f t="shared" si="76"/>
        <v>276184.800000003</v>
      </c>
      <c r="N90" s="470">
        <f t="shared" si="77"/>
        <v>276184.800000003</v>
      </c>
      <c r="O90" s="470">
        <f t="shared" si="78"/>
        <v>104739.200000012</v>
      </c>
      <c r="P90" s="470">
        <f t="shared" si="79"/>
        <v>7331.74400000084</v>
      </c>
      <c r="Q90" s="470">
        <f t="shared" si="80"/>
        <v>0</v>
      </c>
      <c r="R90" s="470">
        <f t="shared" si="81"/>
        <v>0</v>
      </c>
      <c r="S90" s="470">
        <f t="shared" si="82"/>
        <v>0</v>
      </c>
      <c r="T90" s="470">
        <f t="shared" si="83"/>
        <v>0</v>
      </c>
      <c r="U90" s="470"/>
      <c r="V90" s="470">
        <f t="shared" si="84"/>
        <v>7331.74400000084</v>
      </c>
      <c r="W90" s="471">
        <v>12</v>
      </c>
      <c r="X90" s="470">
        <f t="shared" si="85"/>
        <v>610.978666666736</v>
      </c>
      <c r="Y90" s="476"/>
      <c r="Z90" s="470">
        <f t="shared" si="86"/>
        <v>610.978666666736</v>
      </c>
      <c r="AA90" s="470">
        <v>49548.7761866667</v>
      </c>
      <c r="AB90" s="473">
        <f t="shared" si="87"/>
        <v>-48937.79752</v>
      </c>
      <c r="AC90" s="473" t="s">
        <v>213</v>
      </c>
      <c r="AD90" s="473"/>
      <c r="AE90" s="473"/>
    </row>
    <row r="91" ht="18" spans="1:31">
      <c r="A91" s="467">
        <v>74</v>
      </c>
      <c r="B91" s="11" t="s">
        <v>224</v>
      </c>
      <c r="C91" s="470">
        <v>24688.666666664</v>
      </c>
      <c r="D91" s="469">
        <v>12</v>
      </c>
      <c r="E91" s="470">
        <f t="shared" si="73"/>
        <v>296263.999999967</v>
      </c>
      <c r="F91" s="470"/>
      <c r="G91" s="479"/>
      <c r="H91" s="476"/>
      <c r="I91" s="470">
        <f t="shared" si="74"/>
        <v>296263.999999967</v>
      </c>
      <c r="J91" s="470">
        <v>200000</v>
      </c>
      <c r="K91" s="470">
        <v>0.2</v>
      </c>
      <c r="L91" s="470">
        <f t="shared" si="75"/>
        <v>59252.7999999935</v>
      </c>
      <c r="M91" s="470">
        <f t="shared" si="76"/>
        <v>259252.799999993</v>
      </c>
      <c r="N91" s="470">
        <f t="shared" si="77"/>
        <v>259252.799999993</v>
      </c>
      <c r="O91" s="470">
        <f t="shared" si="78"/>
        <v>37011.1999999739</v>
      </c>
      <c r="P91" s="470">
        <f t="shared" si="79"/>
        <v>2590.78399999818</v>
      </c>
      <c r="Q91" s="470">
        <f t="shared" si="80"/>
        <v>0</v>
      </c>
      <c r="R91" s="470">
        <f t="shared" si="81"/>
        <v>0</v>
      </c>
      <c r="S91" s="470">
        <f t="shared" si="82"/>
        <v>0</v>
      </c>
      <c r="T91" s="470">
        <f t="shared" si="83"/>
        <v>0</v>
      </c>
      <c r="U91" s="470"/>
      <c r="V91" s="470">
        <f t="shared" si="84"/>
        <v>2590.78399999818</v>
      </c>
      <c r="W91" s="471">
        <v>12</v>
      </c>
      <c r="X91" s="470">
        <f t="shared" si="85"/>
        <v>215.898666666515</v>
      </c>
      <c r="Y91" s="476"/>
      <c r="Z91" s="470">
        <f t="shared" si="86"/>
        <v>215.898666666515</v>
      </c>
      <c r="AA91" s="470">
        <v>53384.0535626667</v>
      </c>
      <c r="AB91" s="473">
        <f t="shared" si="87"/>
        <v>-53168.1548960002</v>
      </c>
      <c r="AC91" s="473" t="s">
        <v>215</v>
      </c>
      <c r="AD91" s="473"/>
      <c r="AE91" s="473"/>
    </row>
    <row r="92" ht="24" customHeight="1" spans="1:31">
      <c r="A92" s="467">
        <v>75</v>
      </c>
      <c r="B92" s="20" t="s">
        <v>120</v>
      </c>
      <c r="C92" s="470"/>
      <c r="D92" s="469"/>
      <c r="E92" s="470"/>
      <c r="F92" s="470"/>
      <c r="G92" s="476"/>
      <c r="H92" s="476"/>
      <c r="I92" s="470"/>
      <c r="J92" s="470"/>
      <c r="K92" s="470"/>
      <c r="L92" s="470"/>
      <c r="M92" s="470"/>
      <c r="N92" s="470"/>
      <c r="O92" s="470"/>
      <c r="P92" s="470"/>
      <c r="Q92" s="470"/>
      <c r="R92" s="470"/>
      <c r="S92" s="470"/>
      <c r="T92" s="470"/>
      <c r="U92" s="470"/>
      <c r="V92" s="470"/>
      <c r="W92" s="471"/>
      <c r="X92" s="470"/>
      <c r="Y92" s="476"/>
      <c r="Z92" s="470"/>
      <c r="AA92" s="473"/>
      <c r="AB92" s="473"/>
      <c r="AC92" s="473" t="s">
        <v>216</v>
      </c>
      <c r="AD92" s="473"/>
      <c r="AE92" s="473"/>
    </row>
    <row r="93" ht="17.5" spans="1:31">
      <c r="A93" s="467">
        <v>76</v>
      </c>
      <c r="B93" s="22"/>
      <c r="C93" s="470"/>
      <c r="D93" s="469"/>
      <c r="E93" s="470"/>
      <c r="F93" s="470"/>
      <c r="G93" s="476"/>
      <c r="H93" s="476"/>
      <c r="I93" s="470"/>
      <c r="J93" s="470"/>
      <c r="K93" s="470"/>
      <c r="L93" s="470"/>
      <c r="M93" s="470"/>
      <c r="N93" s="470"/>
      <c r="O93" s="470"/>
      <c r="P93" s="470"/>
      <c r="Q93" s="470"/>
      <c r="R93" s="470"/>
      <c r="S93" s="470"/>
      <c r="T93" s="470"/>
      <c r="U93" s="470"/>
      <c r="V93" s="470"/>
      <c r="W93" s="471"/>
      <c r="X93" s="470"/>
      <c r="Y93" s="476"/>
      <c r="Z93" s="470"/>
      <c r="AA93" s="473"/>
      <c r="AB93" s="473"/>
      <c r="AC93" s="473" t="s">
        <v>220</v>
      </c>
      <c r="AD93" s="473"/>
      <c r="AE93" s="473"/>
    </row>
    <row r="94" ht="17.5" spans="1:31">
      <c r="A94" s="467"/>
      <c r="B94" s="20" t="s">
        <v>226</v>
      </c>
      <c r="C94" s="470"/>
      <c r="D94" s="469"/>
      <c r="E94" s="470"/>
      <c r="F94" s="470"/>
      <c r="G94" s="476"/>
      <c r="H94" s="476"/>
      <c r="I94" s="470"/>
      <c r="J94" s="470"/>
      <c r="K94" s="470"/>
      <c r="L94" s="470"/>
      <c r="M94" s="470"/>
      <c r="N94" s="470"/>
      <c r="O94" s="470"/>
      <c r="P94" s="470"/>
      <c r="Q94" s="470"/>
      <c r="R94" s="470"/>
      <c r="S94" s="470"/>
      <c r="T94" s="470"/>
      <c r="U94" s="470"/>
      <c r="V94" s="470"/>
      <c r="W94" s="471"/>
      <c r="X94" s="470"/>
      <c r="Y94" s="476"/>
      <c r="Z94" s="470"/>
      <c r="AA94" s="473"/>
      <c r="AB94" s="473"/>
      <c r="AC94" s="473" t="s">
        <v>224</v>
      </c>
      <c r="AD94" s="473"/>
      <c r="AE94" s="473"/>
    </row>
    <row r="95" ht="18" spans="1:31">
      <c r="A95" s="467"/>
      <c r="B95" s="14" t="s">
        <v>227</v>
      </c>
      <c r="C95" s="470">
        <v>167354.66666664</v>
      </c>
      <c r="D95" s="469"/>
      <c r="E95" s="470"/>
      <c r="F95" s="470"/>
      <c r="G95" s="476"/>
      <c r="H95" s="476"/>
      <c r="I95" s="470"/>
      <c r="J95" s="470"/>
      <c r="K95" s="470"/>
      <c r="L95" s="470"/>
      <c r="M95" s="470"/>
      <c r="N95" s="470"/>
      <c r="O95" s="470"/>
      <c r="P95" s="470"/>
      <c r="Q95" s="470"/>
      <c r="R95" s="470"/>
      <c r="S95" s="470"/>
      <c r="T95" s="470"/>
      <c r="U95" s="470"/>
      <c r="V95" s="470"/>
      <c r="W95" s="471"/>
      <c r="X95" s="470"/>
      <c r="Y95" s="476"/>
      <c r="Z95" s="470"/>
      <c r="AA95" s="473"/>
      <c r="AB95" s="473"/>
      <c r="AC95" s="473"/>
      <c r="AD95" s="473"/>
      <c r="AE95" s="473"/>
    </row>
    <row r="96" ht="18" spans="1:31">
      <c r="A96" s="467"/>
      <c r="B96" s="11" t="s">
        <v>229</v>
      </c>
      <c r="C96" s="470">
        <v>55503</v>
      </c>
      <c r="D96" s="469">
        <v>12</v>
      </c>
      <c r="E96" s="470">
        <f>C96*D96</f>
        <v>666036</v>
      </c>
      <c r="F96" s="470"/>
      <c r="G96" s="474"/>
      <c r="H96" s="476"/>
      <c r="I96" s="470">
        <f>E96-F96-G96-H96</f>
        <v>666036</v>
      </c>
      <c r="J96" s="470">
        <v>200000</v>
      </c>
      <c r="K96" s="470">
        <v>0.2</v>
      </c>
      <c r="L96" s="470">
        <f>I96*K96</f>
        <v>133207.2</v>
      </c>
      <c r="M96" s="470">
        <f>J96+L96</f>
        <v>333207.2</v>
      </c>
      <c r="N96" s="470">
        <f>F96+G96+H96+M96</f>
        <v>333207.2</v>
      </c>
      <c r="O96" s="470">
        <f>E96-N96</f>
        <v>332828.8</v>
      </c>
      <c r="P96" s="470">
        <f>IF(O96&lt;300000,0.07*O96,21000)</f>
        <v>21000</v>
      </c>
      <c r="Q96" s="470">
        <f>IF((O96-300000)&lt;0,0,IF((O96-300000)&lt;300000,0.11*(O96-300000),33000))</f>
        <v>3611.168</v>
      </c>
      <c r="R96" s="470">
        <f>IF((O96-600000)&lt;0,0,IF((O96-600000)&lt;500000,0.15*(O96-600000),75000))</f>
        <v>0</v>
      </c>
      <c r="S96" s="470">
        <f>IF((O96-1100000)&lt;0,0,IF((O96-1100000)&lt;500000,0.19*(O96-1100000),95000))</f>
        <v>0</v>
      </c>
      <c r="T96" s="470">
        <f>IF((O96-1600000)&lt;0,0,IF((O96-1600000)&lt;1600000,0.21*(O96-1600000),336000))</f>
        <v>0</v>
      </c>
      <c r="U96" s="470"/>
      <c r="V96" s="470">
        <f>P96+Q96+R96+S96+T96+U96</f>
        <v>24611.168</v>
      </c>
      <c r="W96" s="471">
        <v>12</v>
      </c>
      <c r="X96" s="470">
        <f>V96/W96</f>
        <v>2050.93066666667</v>
      </c>
      <c r="Y96" s="476"/>
      <c r="Z96" s="470">
        <f>X96</f>
        <v>2050.93066666667</v>
      </c>
      <c r="AA96" s="473">
        <v>82423.2162026667</v>
      </c>
      <c r="AB96" s="473"/>
      <c r="AC96" s="473"/>
      <c r="AD96" s="473"/>
      <c r="AE96" s="473"/>
    </row>
    <row r="97" ht="18" spans="1:31">
      <c r="A97" s="467">
        <v>78</v>
      </c>
      <c r="B97" s="11" t="s">
        <v>231</v>
      </c>
      <c r="C97" s="470">
        <v>51556</v>
      </c>
      <c r="D97" s="469">
        <v>12</v>
      </c>
      <c r="E97" s="470">
        <f>C97*D97</f>
        <v>618672</v>
      </c>
      <c r="F97" s="470"/>
      <c r="G97" s="474"/>
      <c r="H97" s="476"/>
      <c r="I97" s="470">
        <f>E97-F97-G97-H97</f>
        <v>618672</v>
      </c>
      <c r="J97" s="470">
        <v>200000</v>
      </c>
      <c r="K97" s="470">
        <v>0.2</v>
      </c>
      <c r="L97" s="470">
        <f>I97*K97</f>
        <v>123734.4</v>
      </c>
      <c r="M97" s="470">
        <f>J97+L97</f>
        <v>323734.4</v>
      </c>
      <c r="N97" s="470">
        <f>F97+G97+H97+M97</f>
        <v>323734.4</v>
      </c>
      <c r="O97" s="470">
        <f>E97-N97</f>
        <v>294937.6</v>
      </c>
      <c r="P97" s="470">
        <f>IF(O97&lt;300000,0.07*O97,21000)</f>
        <v>20645.632</v>
      </c>
      <c r="Q97" s="470">
        <f>IF((O97-300000)&lt;0,0,IF((O97-300000)&lt;300000,0.11*(O97-300000),33000))</f>
        <v>0</v>
      </c>
      <c r="R97" s="470">
        <f>IF((O97-600000)&lt;0,0,IF((O97-600000)&lt;500000,0.15*(O97-600000),75000))</f>
        <v>0</v>
      </c>
      <c r="S97" s="470">
        <f>IF((O97-1100000)&lt;0,0,IF((O97-1100000)&lt;500000,0.19*(O97-1100000),95000))</f>
        <v>0</v>
      </c>
      <c r="T97" s="470">
        <f>IF((O97-1600000)&lt;0,0,IF((O97-1600000)&lt;1600000,0.21*(O97-1600000),336000))</f>
        <v>0</v>
      </c>
      <c r="U97" s="470"/>
      <c r="V97" s="470">
        <f>P97+Q97+R97+S97+T97+U97</f>
        <v>20645.632</v>
      </c>
      <c r="W97" s="471">
        <v>12</v>
      </c>
      <c r="X97" s="470">
        <f>V97/W97</f>
        <v>1720.46933333333</v>
      </c>
      <c r="Y97" s="476"/>
      <c r="Z97" s="470">
        <f>X97</f>
        <v>1720.46933333333</v>
      </c>
      <c r="AA97" s="473">
        <v>82423.2162026667</v>
      </c>
      <c r="AC97" s="473"/>
      <c r="AD97" s="473"/>
      <c r="AE97" s="473"/>
    </row>
    <row r="98" ht="18" spans="1:31">
      <c r="A98" s="467">
        <v>79</v>
      </c>
      <c r="B98" s="11" t="s">
        <v>235</v>
      </c>
      <c r="C98" s="470">
        <v>48765.3333333321</v>
      </c>
      <c r="D98" s="469">
        <v>12</v>
      </c>
      <c r="E98" s="470">
        <f t="shared" ref="E98:E101" si="88">C98*D98</f>
        <v>585183.999999985</v>
      </c>
      <c r="F98" s="470"/>
      <c r="G98" s="474"/>
      <c r="H98" s="476"/>
      <c r="I98" s="470">
        <f t="shared" ref="I98:I101" si="89">E98-F98-G98-H98</f>
        <v>585183.999999985</v>
      </c>
      <c r="J98" s="470">
        <v>200000</v>
      </c>
      <c r="K98" s="470">
        <v>0.2</v>
      </c>
      <c r="L98" s="470">
        <f t="shared" ref="L98:L101" si="90">I98*K98</f>
        <v>117036.799999997</v>
      </c>
      <c r="M98" s="470">
        <f t="shared" ref="M98:M101" si="91">J98+L98</f>
        <v>317036.799999997</v>
      </c>
      <c r="N98" s="470">
        <f t="shared" ref="N98:N101" si="92">F98+G98+H98+M98</f>
        <v>317036.799999997</v>
      </c>
      <c r="O98" s="470">
        <f t="shared" ref="O98:O101" si="93">E98-N98</f>
        <v>268147.199999988</v>
      </c>
      <c r="P98" s="470">
        <f t="shared" ref="P98:P101" si="94">IF(O98&lt;300000,0.07*O98,21000)</f>
        <v>18770.3039999992</v>
      </c>
      <c r="Q98" s="470">
        <f t="shared" ref="Q98:Q101" si="95">IF((O98-300000)&lt;0,0,IF((O98-300000)&lt;300000,0.11*(O98-300000),33000))</f>
        <v>0</v>
      </c>
      <c r="R98" s="470">
        <f t="shared" ref="R98:R101" si="96">IF((O98-600000)&lt;0,0,IF((O98-600000)&lt;500000,0.15*(O98-600000),75000))</f>
        <v>0</v>
      </c>
      <c r="S98" s="470">
        <f t="shared" ref="S98:S101" si="97">IF((O98-1100000)&lt;0,0,IF((O98-1100000)&lt;500000,0.19*(O98-1100000),95000))</f>
        <v>0</v>
      </c>
      <c r="T98" s="470">
        <f t="shared" ref="T98:T101" si="98">IF((O98-1600000)&lt;0,0,IF((O98-1600000)&lt;1600000,0.21*(O98-1600000),336000))</f>
        <v>0</v>
      </c>
      <c r="U98" s="470"/>
      <c r="V98" s="470">
        <f t="shared" ref="V98:V101" si="99">P98+Q98+R98+S98+T98+U98</f>
        <v>18770.3039999992</v>
      </c>
      <c r="W98" s="471">
        <v>12</v>
      </c>
      <c r="X98" s="470">
        <f t="shared" ref="X98:X101" si="100">V98/W98</f>
        <v>1564.19199999993</v>
      </c>
      <c r="Y98" s="476"/>
      <c r="Z98" s="470">
        <f t="shared" ref="Z98:Z101" si="101">X98</f>
        <v>1564.19199999993</v>
      </c>
      <c r="AA98" s="473">
        <v>82423.2162026667</v>
      </c>
      <c r="AB98" s="473">
        <f t="shared" ref="AB98:AB101" si="102">Z98-AA98</f>
        <v>-80859.0242026668</v>
      </c>
      <c r="AC98" s="473" t="s">
        <v>227</v>
      </c>
      <c r="AD98" s="473"/>
      <c r="AE98" s="473"/>
    </row>
    <row r="99" ht="18" spans="1:31">
      <c r="A99" s="467">
        <v>80</v>
      </c>
      <c r="B99" s="11" t="s">
        <v>236</v>
      </c>
      <c r="C99" s="470">
        <v>31743.6666666679</v>
      </c>
      <c r="D99" s="469">
        <v>12</v>
      </c>
      <c r="E99" s="470">
        <f t="shared" si="88"/>
        <v>380924.000000015</v>
      </c>
      <c r="F99" s="470"/>
      <c r="G99" s="474"/>
      <c r="H99" s="476"/>
      <c r="I99" s="470">
        <f t="shared" si="89"/>
        <v>380924.000000015</v>
      </c>
      <c r="J99" s="470">
        <v>200000</v>
      </c>
      <c r="K99" s="470">
        <v>0.2</v>
      </c>
      <c r="L99" s="470">
        <f t="shared" si="90"/>
        <v>76184.800000003</v>
      </c>
      <c r="M99" s="470">
        <f t="shared" si="91"/>
        <v>276184.800000003</v>
      </c>
      <c r="N99" s="470">
        <f t="shared" si="92"/>
        <v>276184.800000003</v>
      </c>
      <c r="O99" s="470">
        <f t="shared" si="93"/>
        <v>104739.200000012</v>
      </c>
      <c r="P99" s="470">
        <f t="shared" si="94"/>
        <v>7331.74400000084</v>
      </c>
      <c r="Q99" s="470">
        <f t="shared" si="95"/>
        <v>0</v>
      </c>
      <c r="R99" s="470">
        <f t="shared" si="96"/>
        <v>0</v>
      </c>
      <c r="S99" s="470">
        <f t="shared" si="97"/>
        <v>0</v>
      </c>
      <c r="T99" s="470">
        <f t="shared" si="98"/>
        <v>0</v>
      </c>
      <c r="U99" s="470"/>
      <c r="V99" s="470">
        <f t="shared" si="99"/>
        <v>7331.74400000084</v>
      </c>
      <c r="W99" s="471">
        <v>12</v>
      </c>
      <c r="X99" s="470">
        <f t="shared" si="100"/>
        <v>610.978666666736</v>
      </c>
      <c r="Y99" s="476"/>
      <c r="Z99" s="470">
        <f t="shared" si="101"/>
        <v>610.978666666736</v>
      </c>
      <c r="AA99" s="473">
        <v>82627.9514186667</v>
      </c>
      <c r="AB99" s="473">
        <f t="shared" si="102"/>
        <v>-82016.972752</v>
      </c>
      <c r="AC99" s="473" t="s">
        <v>229</v>
      </c>
      <c r="AD99" s="473"/>
      <c r="AE99" s="473"/>
    </row>
    <row r="100" ht="17.5" spans="1:31">
      <c r="A100" s="467">
        <v>81</v>
      </c>
      <c r="B100" s="20" t="s">
        <v>120</v>
      </c>
      <c r="C100" s="470">
        <v>354922.66666664</v>
      </c>
      <c r="D100" s="469">
        <v>12</v>
      </c>
      <c r="E100" s="470">
        <f t="shared" si="88"/>
        <v>4259071.99999968</v>
      </c>
      <c r="F100" s="470"/>
      <c r="G100" s="474"/>
      <c r="H100" s="476"/>
      <c r="I100" s="470">
        <f t="shared" si="89"/>
        <v>4259071.99999968</v>
      </c>
      <c r="J100" s="470">
        <v>200000</v>
      </c>
      <c r="K100" s="470">
        <v>0.2</v>
      </c>
      <c r="L100" s="470">
        <f t="shared" si="90"/>
        <v>851814.399999936</v>
      </c>
      <c r="M100" s="470">
        <f t="shared" si="91"/>
        <v>1051814.39999994</v>
      </c>
      <c r="N100" s="470">
        <f t="shared" si="92"/>
        <v>1051814.39999994</v>
      </c>
      <c r="O100" s="470">
        <f t="shared" si="93"/>
        <v>3207257.59999974</v>
      </c>
      <c r="P100" s="470">
        <f t="shared" si="94"/>
        <v>21000</v>
      </c>
      <c r="Q100" s="470">
        <f t="shared" si="95"/>
        <v>33000</v>
      </c>
      <c r="R100" s="470">
        <f t="shared" si="96"/>
        <v>75000</v>
      </c>
      <c r="S100" s="470">
        <f t="shared" si="97"/>
        <v>95000</v>
      </c>
      <c r="T100" s="470">
        <f t="shared" si="98"/>
        <v>336000</v>
      </c>
      <c r="U100" s="470"/>
      <c r="V100" s="470">
        <f t="shared" si="99"/>
        <v>560000</v>
      </c>
      <c r="W100" s="471">
        <v>12</v>
      </c>
      <c r="X100" s="470">
        <f t="shared" si="100"/>
        <v>46666.6666666667</v>
      </c>
      <c r="Y100" s="476"/>
      <c r="Z100" s="470">
        <f t="shared" si="101"/>
        <v>46666.6666666667</v>
      </c>
      <c r="AA100" s="473">
        <v>43492.3733766667</v>
      </c>
      <c r="AB100" s="473">
        <f t="shared" si="102"/>
        <v>3174.29328999997</v>
      </c>
      <c r="AC100" s="473" t="s">
        <v>235</v>
      </c>
      <c r="AD100" s="473"/>
      <c r="AE100" s="473"/>
    </row>
    <row r="101" ht="17.5" spans="1:31">
      <c r="A101" s="467"/>
      <c r="B101" s="22"/>
      <c r="C101" s="470"/>
      <c r="D101" s="469"/>
      <c r="E101" s="470"/>
      <c r="F101" s="470"/>
      <c r="G101" s="476"/>
      <c r="H101" s="476"/>
      <c r="I101" s="470"/>
      <c r="J101" s="470"/>
      <c r="K101" s="470"/>
      <c r="L101" s="470"/>
      <c r="M101" s="470"/>
      <c r="N101" s="470"/>
      <c r="O101" s="470"/>
      <c r="P101" s="470"/>
      <c r="Q101" s="470"/>
      <c r="R101" s="470"/>
      <c r="S101" s="470"/>
      <c r="T101" s="470"/>
      <c r="U101" s="470"/>
      <c r="V101" s="470"/>
      <c r="W101" s="471"/>
      <c r="X101" s="470"/>
      <c r="Y101" s="476"/>
      <c r="Z101" s="470"/>
      <c r="AA101" s="473"/>
      <c r="AB101" s="473">
        <f t="shared" si="102"/>
        <v>0</v>
      </c>
      <c r="AC101" s="473" t="s">
        <v>236</v>
      </c>
      <c r="AD101" s="473"/>
      <c r="AE101" s="473"/>
    </row>
    <row r="102" ht="35" spans="1:31">
      <c r="A102" s="467"/>
      <c r="B102" s="20" t="s">
        <v>239</v>
      </c>
      <c r="C102" s="470"/>
      <c r="D102" s="469"/>
      <c r="E102" s="470"/>
      <c r="F102" s="470"/>
      <c r="G102" s="476"/>
      <c r="H102" s="476"/>
      <c r="I102" s="470"/>
      <c r="J102" s="470"/>
      <c r="K102" s="470"/>
      <c r="L102" s="470"/>
      <c r="M102" s="470"/>
      <c r="N102" s="470"/>
      <c r="O102" s="470"/>
      <c r="P102" s="470"/>
      <c r="Q102" s="470"/>
      <c r="R102" s="470"/>
      <c r="S102" s="470"/>
      <c r="T102" s="470"/>
      <c r="U102" s="470"/>
      <c r="V102" s="470"/>
      <c r="W102" s="471"/>
      <c r="X102" s="470"/>
      <c r="Y102" s="476"/>
      <c r="Z102" s="470"/>
      <c r="AA102" s="473"/>
      <c r="AB102" s="473"/>
      <c r="AC102" s="473"/>
      <c r="AD102" s="473"/>
      <c r="AE102" s="473"/>
    </row>
    <row r="103" ht="18" spans="1:31">
      <c r="A103" s="467">
        <v>83</v>
      </c>
      <c r="B103" s="11" t="s">
        <v>652</v>
      </c>
      <c r="C103" s="470"/>
      <c r="AC103" s="473"/>
      <c r="AD103" s="473"/>
      <c r="AE103" s="473"/>
    </row>
    <row r="104" ht="18" spans="1:31">
      <c r="A104" s="467">
        <v>84</v>
      </c>
      <c r="B104" s="11" t="s">
        <v>242</v>
      </c>
      <c r="C104" s="470"/>
      <c r="AB104" s="296" t="s">
        <v>883</v>
      </c>
      <c r="AC104" s="473"/>
      <c r="AD104" s="473"/>
      <c r="AE104" s="473"/>
    </row>
    <row r="105" ht="18" spans="1:31">
      <c r="A105" s="467">
        <v>85</v>
      </c>
      <c r="B105" s="11" t="s">
        <v>244</v>
      </c>
      <c r="C105" s="470"/>
      <c r="D105" s="469">
        <v>12</v>
      </c>
      <c r="E105" s="470">
        <f t="shared" ref="E105:E111" si="103">C105*D105</f>
        <v>0</v>
      </c>
      <c r="F105" s="470"/>
      <c r="G105" s="474"/>
      <c r="H105" s="476"/>
      <c r="I105" s="470">
        <f t="shared" ref="I105:I110" si="104">E105-F105-G105-H105</f>
        <v>0</v>
      </c>
      <c r="J105" s="470">
        <v>200000</v>
      </c>
      <c r="K105" s="470">
        <v>0.2</v>
      </c>
      <c r="L105" s="470">
        <f t="shared" ref="L105:L111" si="105">I105*K105</f>
        <v>0</v>
      </c>
      <c r="M105" s="470">
        <f t="shared" ref="M105:M111" si="106">J105+L105</f>
        <v>200000</v>
      </c>
      <c r="N105" s="470">
        <f t="shared" ref="N105:N110" si="107">F105+G105+H105+M105</f>
        <v>200000</v>
      </c>
      <c r="O105" s="470">
        <f t="shared" ref="O105:O111" si="108">E105-N105</f>
        <v>-200000</v>
      </c>
      <c r="P105" s="470">
        <f t="shared" ref="P105:P111" si="109">IF(O105&lt;300000,0.07*O105,21000)</f>
        <v>-14000</v>
      </c>
      <c r="Q105" s="470">
        <f t="shared" ref="Q105:Q111" si="110">IF((O105-300000)&lt;0,0,IF((O105-300000)&lt;300000,0.11*(O105-300000),33000))</f>
        <v>0</v>
      </c>
      <c r="R105" s="470">
        <f t="shared" ref="R105:R111" si="111">IF((O105-600000)&lt;0,0,IF((O105-600000)&lt;500000,0.15*(O105-600000),75000))</f>
        <v>0</v>
      </c>
      <c r="S105" s="470">
        <f t="shared" ref="S105:S111" si="112">IF((O105-1100000)&lt;0,0,IF((O105-1100000)&lt;500000,0.19*(O105-1100000),95000))</f>
        <v>0</v>
      </c>
      <c r="T105" s="470">
        <f t="shared" ref="T105:T111" si="113">IF((O105-1600000)&lt;0,0,IF((O105-1600000)&lt;1600000,0.21*(O105-1600000),336000))</f>
        <v>0</v>
      </c>
      <c r="U105" s="470"/>
      <c r="V105" s="470">
        <f t="shared" ref="V105:V111" si="114">P105+Q105+R105+S105+T105+U105</f>
        <v>-14000</v>
      </c>
      <c r="W105" s="471">
        <v>12</v>
      </c>
      <c r="X105" s="470">
        <f t="shared" ref="X105:X111" si="115">V105/W105</f>
        <v>-1166.66666666667</v>
      </c>
      <c r="Y105" s="476"/>
      <c r="Z105" s="470">
        <f t="shared" ref="Z105:Z111" si="116">X105</f>
        <v>-1166.66666666667</v>
      </c>
      <c r="AA105" s="473">
        <v>180306.806858667</v>
      </c>
      <c r="AB105" s="473">
        <f t="shared" ref="AB105:AB111" si="117">Z105-AA105</f>
        <v>-181473.473525334</v>
      </c>
      <c r="AC105" s="473" t="s">
        <v>652</v>
      </c>
      <c r="AD105" s="473"/>
      <c r="AE105" s="473"/>
    </row>
    <row r="106" ht="18" spans="1:31">
      <c r="A106" s="467">
        <v>86</v>
      </c>
      <c r="B106" s="11" t="s">
        <v>246</v>
      </c>
      <c r="C106" s="470"/>
      <c r="D106" s="469">
        <v>12</v>
      </c>
      <c r="E106" s="470">
        <f t="shared" si="103"/>
        <v>0</v>
      </c>
      <c r="F106" s="470"/>
      <c r="G106" s="474"/>
      <c r="H106" s="476"/>
      <c r="I106" s="470">
        <f t="shared" si="104"/>
        <v>0</v>
      </c>
      <c r="J106" s="470">
        <v>200000</v>
      </c>
      <c r="K106" s="470">
        <v>0.2</v>
      </c>
      <c r="L106" s="470">
        <f t="shared" si="105"/>
        <v>0</v>
      </c>
      <c r="M106" s="470">
        <f t="shared" si="106"/>
        <v>200000</v>
      </c>
      <c r="N106" s="470">
        <f t="shared" si="107"/>
        <v>200000</v>
      </c>
      <c r="O106" s="470">
        <f t="shared" si="108"/>
        <v>-200000</v>
      </c>
      <c r="P106" s="470">
        <f t="shared" si="109"/>
        <v>-14000</v>
      </c>
      <c r="Q106" s="470">
        <f t="shared" si="110"/>
        <v>0</v>
      </c>
      <c r="R106" s="470">
        <f t="shared" si="111"/>
        <v>0</v>
      </c>
      <c r="S106" s="470">
        <f t="shared" si="112"/>
        <v>0</v>
      </c>
      <c r="T106" s="470">
        <f t="shared" si="113"/>
        <v>0</v>
      </c>
      <c r="U106" s="470"/>
      <c r="V106" s="470">
        <f t="shared" si="114"/>
        <v>-14000</v>
      </c>
      <c r="W106" s="471">
        <v>12</v>
      </c>
      <c r="X106" s="470">
        <f t="shared" si="115"/>
        <v>-1166.66666666667</v>
      </c>
      <c r="Y106" s="476"/>
      <c r="Z106" s="470">
        <f t="shared" si="116"/>
        <v>-1166.66666666667</v>
      </c>
      <c r="AA106" s="473">
        <v>99703.2162026667</v>
      </c>
      <c r="AB106" s="473">
        <f t="shared" si="117"/>
        <v>-100869.882869333</v>
      </c>
      <c r="AC106" s="473" t="s">
        <v>242</v>
      </c>
      <c r="AD106" s="473"/>
      <c r="AE106" s="473"/>
    </row>
    <row r="107" ht="18" spans="1:31">
      <c r="A107" s="467">
        <v>87</v>
      </c>
      <c r="B107" s="11" t="s">
        <v>249</v>
      </c>
      <c r="C107" s="470">
        <v>24688.666666664</v>
      </c>
      <c r="D107" s="469">
        <v>12</v>
      </c>
      <c r="E107" s="470">
        <f t="shared" si="103"/>
        <v>296263.999999967</v>
      </c>
      <c r="F107" s="470"/>
      <c r="G107" s="474"/>
      <c r="H107" s="476"/>
      <c r="I107" s="470">
        <f t="shared" si="104"/>
        <v>296263.999999967</v>
      </c>
      <c r="J107" s="470">
        <v>200000</v>
      </c>
      <c r="K107" s="470">
        <v>0.2</v>
      </c>
      <c r="L107" s="470">
        <f t="shared" si="105"/>
        <v>59252.7999999935</v>
      </c>
      <c r="M107" s="470">
        <f t="shared" si="106"/>
        <v>259252.799999993</v>
      </c>
      <c r="N107" s="470">
        <f t="shared" si="107"/>
        <v>259252.799999993</v>
      </c>
      <c r="O107" s="470">
        <f t="shared" si="108"/>
        <v>37011.1999999739</v>
      </c>
      <c r="P107" s="470">
        <f t="shared" si="109"/>
        <v>2590.78399999818</v>
      </c>
      <c r="Q107" s="470">
        <f t="shared" si="110"/>
        <v>0</v>
      </c>
      <c r="R107" s="470">
        <f t="shared" si="111"/>
        <v>0</v>
      </c>
      <c r="S107" s="470">
        <f t="shared" si="112"/>
        <v>0</v>
      </c>
      <c r="T107" s="470">
        <f t="shared" si="113"/>
        <v>0</v>
      </c>
      <c r="U107" s="470"/>
      <c r="V107" s="470">
        <f t="shared" si="114"/>
        <v>2590.78399999818</v>
      </c>
      <c r="W107" s="471">
        <v>12</v>
      </c>
      <c r="X107" s="470">
        <f t="shared" si="115"/>
        <v>215.898666666515</v>
      </c>
      <c r="Y107" s="476"/>
      <c r="Z107" s="470">
        <f t="shared" si="116"/>
        <v>215.898666666515</v>
      </c>
      <c r="AA107" s="473">
        <v>180180.378218667</v>
      </c>
      <c r="AB107" s="473">
        <f t="shared" si="117"/>
        <v>-179964.479552</v>
      </c>
      <c r="AC107" s="473" t="s">
        <v>244</v>
      </c>
      <c r="AD107" s="473"/>
      <c r="AE107" s="473"/>
    </row>
    <row r="108" ht="36" spans="1:31">
      <c r="A108" s="467">
        <v>88</v>
      </c>
      <c r="B108" s="18" t="s">
        <v>252</v>
      </c>
      <c r="C108" s="470">
        <v>24688.666666668</v>
      </c>
      <c r="D108" s="469">
        <v>12</v>
      </c>
      <c r="E108" s="470">
        <f t="shared" si="103"/>
        <v>296264.000000016</v>
      </c>
      <c r="F108" s="470"/>
      <c r="G108" s="474"/>
      <c r="H108" s="476"/>
      <c r="I108" s="470">
        <f t="shared" si="104"/>
        <v>296264.000000016</v>
      </c>
      <c r="J108" s="470">
        <v>200000</v>
      </c>
      <c r="K108" s="470">
        <v>0.2</v>
      </c>
      <c r="L108" s="470">
        <f t="shared" si="105"/>
        <v>59252.8000000033</v>
      </c>
      <c r="M108" s="470">
        <f t="shared" si="106"/>
        <v>259252.800000003</v>
      </c>
      <c r="N108" s="470">
        <f t="shared" si="107"/>
        <v>259252.800000003</v>
      </c>
      <c r="O108" s="470">
        <f t="shared" si="108"/>
        <v>37011.2000000131</v>
      </c>
      <c r="P108" s="470">
        <f t="shared" si="109"/>
        <v>2590.78400000091</v>
      </c>
      <c r="Q108" s="470">
        <f t="shared" si="110"/>
        <v>0</v>
      </c>
      <c r="R108" s="470">
        <f t="shared" si="111"/>
        <v>0</v>
      </c>
      <c r="S108" s="470">
        <f t="shared" si="112"/>
        <v>0</v>
      </c>
      <c r="T108" s="470">
        <f t="shared" si="113"/>
        <v>0</v>
      </c>
      <c r="U108" s="470"/>
      <c r="V108" s="470">
        <f t="shared" si="114"/>
        <v>2590.78400000091</v>
      </c>
      <c r="W108" s="471">
        <v>12</v>
      </c>
      <c r="X108" s="470">
        <f t="shared" si="115"/>
        <v>215.898666666743</v>
      </c>
      <c r="Y108" s="476"/>
      <c r="Z108" s="470">
        <f t="shared" si="116"/>
        <v>215.898666666743</v>
      </c>
      <c r="AA108" s="473">
        <v>99907.9514186667</v>
      </c>
      <c r="AB108" s="473">
        <f t="shared" si="117"/>
        <v>-99692.0527519999</v>
      </c>
      <c r="AC108" s="473" t="s">
        <v>246</v>
      </c>
      <c r="AD108" s="473"/>
      <c r="AE108" s="473"/>
    </row>
    <row r="109" ht="18" spans="1:31">
      <c r="A109" s="467">
        <v>89</v>
      </c>
      <c r="B109" s="18" t="s">
        <v>253</v>
      </c>
      <c r="C109" s="470">
        <v>24688.666666664</v>
      </c>
      <c r="D109" s="469">
        <v>12</v>
      </c>
      <c r="E109" s="470">
        <f t="shared" si="103"/>
        <v>296263.999999967</v>
      </c>
      <c r="F109" s="470"/>
      <c r="G109" s="474"/>
      <c r="H109" s="476"/>
      <c r="I109" s="470">
        <f t="shared" si="104"/>
        <v>296263.999999967</v>
      </c>
      <c r="J109" s="470">
        <v>200000</v>
      </c>
      <c r="K109" s="470">
        <v>0.2</v>
      </c>
      <c r="L109" s="470">
        <f t="shared" si="105"/>
        <v>59252.7999999935</v>
      </c>
      <c r="M109" s="470">
        <f t="shared" si="106"/>
        <v>259252.799999993</v>
      </c>
      <c r="N109" s="470">
        <f t="shared" si="107"/>
        <v>259252.799999993</v>
      </c>
      <c r="O109" s="470">
        <f t="shared" si="108"/>
        <v>37011.1999999739</v>
      </c>
      <c r="P109" s="470">
        <f t="shared" si="109"/>
        <v>2590.78399999818</v>
      </c>
      <c r="Q109" s="470">
        <f t="shared" si="110"/>
        <v>0</v>
      </c>
      <c r="R109" s="470">
        <f t="shared" si="111"/>
        <v>0</v>
      </c>
      <c r="S109" s="470">
        <f t="shared" si="112"/>
        <v>0</v>
      </c>
      <c r="T109" s="470">
        <f t="shared" si="113"/>
        <v>0</v>
      </c>
      <c r="U109" s="470"/>
      <c r="V109" s="470">
        <f t="shared" si="114"/>
        <v>2590.78399999818</v>
      </c>
      <c r="W109" s="471">
        <v>12</v>
      </c>
      <c r="X109" s="470">
        <f t="shared" si="115"/>
        <v>215.898666666515</v>
      </c>
      <c r="Y109" s="476"/>
      <c r="Z109" s="470">
        <f t="shared" si="116"/>
        <v>215.898666666515</v>
      </c>
      <c r="AA109" s="473">
        <v>58941.1017434667</v>
      </c>
      <c r="AB109" s="473">
        <f t="shared" si="117"/>
        <v>-58725.2030768002</v>
      </c>
      <c r="AC109" s="473" t="s">
        <v>249</v>
      </c>
      <c r="AD109" s="473"/>
      <c r="AE109" s="473"/>
    </row>
    <row r="110" ht="17.5" spans="1:31">
      <c r="A110" s="467"/>
      <c r="B110" s="20" t="s">
        <v>120</v>
      </c>
      <c r="C110" s="470"/>
      <c r="D110" s="469"/>
      <c r="E110" s="470"/>
      <c r="F110" s="470"/>
      <c r="G110" s="476"/>
      <c r="H110" s="476"/>
      <c r="I110" s="470"/>
      <c r="J110" s="470"/>
      <c r="K110" s="470"/>
      <c r="L110" s="470"/>
      <c r="M110" s="470"/>
      <c r="N110" s="470"/>
      <c r="O110" s="470"/>
      <c r="P110" s="470"/>
      <c r="Q110" s="470"/>
      <c r="R110" s="470"/>
      <c r="S110" s="470"/>
      <c r="T110" s="470"/>
      <c r="U110" s="470"/>
      <c r="V110" s="470"/>
      <c r="W110" s="471"/>
      <c r="X110" s="470"/>
      <c r="Y110" s="476"/>
      <c r="Z110" s="470"/>
      <c r="AA110" s="473"/>
      <c r="AB110" s="473">
        <f t="shared" si="117"/>
        <v>0</v>
      </c>
      <c r="AC110" s="473" t="s">
        <v>252</v>
      </c>
      <c r="AD110" s="473"/>
      <c r="AE110" s="473"/>
    </row>
    <row r="111" ht="17.5" spans="1:31">
      <c r="A111" s="467"/>
      <c r="B111" s="20"/>
      <c r="C111" s="470"/>
      <c r="D111" s="469"/>
      <c r="E111" s="470"/>
      <c r="F111" s="470"/>
      <c r="G111" s="476"/>
      <c r="H111" s="476"/>
      <c r="I111" s="470"/>
      <c r="J111" s="470"/>
      <c r="K111" s="470"/>
      <c r="L111" s="470"/>
      <c r="M111" s="470"/>
      <c r="N111" s="470"/>
      <c r="O111" s="470"/>
      <c r="P111" s="470"/>
      <c r="Q111" s="470"/>
      <c r="R111" s="470"/>
      <c r="S111" s="470"/>
      <c r="T111" s="470"/>
      <c r="U111" s="470"/>
      <c r="V111" s="470"/>
      <c r="W111" s="471"/>
      <c r="X111" s="470"/>
      <c r="Y111" s="476"/>
      <c r="Z111" s="470"/>
      <c r="AA111" s="473"/>
      <c r="AB111" s="473">
        <f t="shared" si="117"/>
        <v>0</v>
      </c>
      <c r="AC111" s="473" t="s">
        <v>253</v>
      </c>
      <c r="AD111" s="473"/>
      <c r="AE111" s="473"/>
    </row>
    <row r="112" ht="35" spans="1:31">
      <c r="A112" s="467"/>
      <c r="B112" s="20" t="s">
        <v>257</v>
      </c>
      <c r="C112" s="470"/>
      <c r="D112" s="469"/>
      <c r="E112" s="470"/>
      <c r="F112" s="470"/>
      <c r="G112" s="474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470"/>
      <c r="AA112" s="473"/>
      <c r="AB112" s="473"/>
      <c r="AC112" s="473"/>
      <c r="AD112" s="473"/>
      <c r="AE112" s="473"/>
    </row>
    <row r="113" ht="18" spans="1:31">
      <c r="A113" s="467">
        <v>90</v>
      </c>
      <c r="B113" s="11" t="s">
        <v>259</v>
      </c>
      <c r="C113" s="470">
        <v>48765.3333333321</v>
      </c>
      <c r="G113" s="474"/>
      <c r="U113" s="470"/>
      <c r="AC113" s="473"/>
      <c r="AD113" s="473"/>
      <c r="AE113" s="473"/>
    </row>
    <row r="114" ht="18" spans="1:31">
      <c r="A114" s="467">
        <v>91</v>
      </c>
      <c r="B114" s="11" t="s">
        <v>193</v>
      </c>
      <c r="C114" s="470"/>
      <c r="G114" s="474"/>
      <c r="U114" s="470"/>
      <c r="AC114" s="473"/>
      <c r="AD114" s="473"/>
      <c r="AE114" s="473"/>
    </row>
    <row r="115" ht="17.5" spans="1:31">
      <c r="A115" s="467">
        <v>92</v>
      </c>
      <c r="B115" s="20" t="s">
        <v>120</v>
      </c>
      <c r="C115" s="470">
        <v>48765.3333333321</v>
      </c>
      <c r="D115" s="469">
        <v>12</v>
      </c>
      <c r="E115" s="470">
        <f t="shared" ref="E115:E117" si="118">C115*D115</f>
        <v>585183.999999985</v>
      </c>
      <c r="F115" s="470"/>
      <c r="G115" s="474"/>
      <c r="H115" s="476"/>
      <c r="I115" s="470">
        <f t="shared" ref="I115:I117" si="119">E115-F115-G115-H115</f>
        <v>585183.999999985</v>
      </c>
      <c r="J115" s="470">
        <v>200000</v>
      </c>
      <c r="K115" s="470">
        <v>0.2</v>
      </c>
      <c r="L115" s="470">
        <f t="shared" ref="L115:L117" si="120">I115*K115</f>
        <v>117036.799999997</v>
      </c>
      <c r="M115" s="470">
        <f t="shared" ref="M115:M117" si="121">J115+L115</f>
        <v>317036.799999997</v>
      </c>
      <c r="N115" s="470">
        <f t="shared" ref="N115:N117" si="122">F115+G115+H115+M115</f>
        <v>317036.799999997</v>
      </c>
      <c r="O115" s="470">
        <f t="shared" ref="O115:O117" si="123">E115-N115</f>
        <v>268147.199999988</v>
      </c>
      <c r="P115" s="470">
        <f t="shared" ref="P115:P117" si="124">IF(O115&lt;300000,0.07*O115,21000)</f>
        <v>18770.3039999992</v>
      </c>
      <c r="Q115" s="470">
        <f t="shared" ref="Q115:Q117" si="125">IF((O115-300000)&lt;0,0,IF((O115-300000)&lt;300000,0.11*(O115-300000),33000))</f>
        <v>0</v>
      </c>
      <c r="R115" s="470">
        <f t="shared" ref="R115:R117" si="126">IF((O115-600000)&lt;0,0,IF((O115-600000)&lt;500000,0.15*(O115-600000),75000))</f>
        <v>0</v>
      </c>
      <c r="S115" s="470">
        <f t="shared" ref="S115:S117" si="127">IF((O115-1100000)&lt;0,0,IF((O115-1100000)&lt;500000,0.19*(O115-1100000),95000))</f>
        <v>0</v>
      </c>
      <c r="T115" s="470">
        <f t="shared" ref="T115:T117" si="128">IF((O115-1600000)&lt;0,0,IF((O115-1600000)&lt;1600000,0.21*(O115-1600000),336000))</f>
        <v>0</v>
      </c>
      <c r="U115" s="470"/>
      <c r="V115" s="470">
        <f t="shared" ref="V115:V117" si="129">P115+Q115+R115+S115+T115+U115</f>
        <v>18770.3039999992</v>
      </c>
      <c r="W115" s="471">
        <v>12</v>
      </c>
      <c r="X115" s="470">
        <f t="shared" ref="X115:X117" si="130">V115/W115</f>
        <v>1564.19199999993</v>
      </c>
      <c r="Y115" s="476"/>
      <c r="Z115" s="470">
        <f t="shared" ref="Z115:Z117" si="131">X115</f>
        <v>1564.19199999993</v>
      </c>
      <c r="AA115" s="473">
        <v>77610.1169066667</v>
      </c>
      <c r="AB115" s="473">
        <f t="shared" ref="AB115:AB117" si="132">Z115-AA115</f>
        <v>-76045.9249066668</v>
      </c>
      <c r="AC115" s="473"/>
      <c r="AD115" s="473"/>
      <c r="AE115" s="473"/>
    </row>
    <row r="116" ht="17.5" spans="1:31">
      <c r="A116" s="467">
        <v>93</v>
      </c>
      <c r="B116" s="20"/>
      <c r="C116" s="470"/>
      <c r="D116" s="470"/>
      <c r="E116" s="469"/>
      <c r="F116" s="470"/>
      <c r="G116" s="470"/>
      <c r="H116" s="476"/>
      <c r="I116" s="476"/>
      <c r="J116" s="470"/>
      <c r="K116" s="470"/>
      <c r="L116" s="470"/>
      <c r="M116" s="470"/>
      <c r="N116" s="470"/>
      <c r="O116" s="470"/>
      <c r="P116" s="470"/>
      <c r="Q116" s="470"/>
      <c r="R116" s="470"/>
      <c r="S116" s="470"/>
      <c r="T116" s="470"/>
      <c r="U116" s="470"/>
      <c r="V116" s="470"/>
      <c r="W116" s="470"/>
      <c r="X116" s="471"/>
      <c r="Y116" s="470"/>
      <c r="Z116" s="476"/>
      <c r="AA116" s="470"/>
      <c r="AB116" s="473"/>
      <c r="AC116" s="473"/>
      <c r="AD116" s="473"/>
      <c r="AE116" s="473"/>
    </row>
    <row r="117" ht="17.5" spans="1:31">
      <c r="A117" s="467">
        <v>94</v>
      </c>
      <c r="B117" s="20" t="s">
        <v>268</v>
      </c>
      <c r="C117" s="479"/>
      <c r="D117" s="470"/>
      <c r="E117" s="469"/>
      <c r="F117" s="470"/>
      <c r="G117" s="470"/>
      <c r="H117" s="476"/>
      <c r="I117" s="476"/>
      <c r="J117" s="470"/>
      <c r="K117" s="470"/>
      <c r="L117" s="470"/>
      <c r="M117" s="470"/>
      <c r="N117" s="470"/>
      <c r="O117" s="470"/>
      <c r="P117" s="470"/>
      <c r="Q117" s="470"/>
      <c r="R117" s="470"/>
      <c r="S117" s="470"/>
      <c r="T117" s="470"/>
      <c r="U117" s="470"/>
      <c r="V117" s="470"/>
      <c r="W117" s="470"/>
      <c r="X117" s="471"/>
      <c r="Y117" s="470"/>
      <c r="Z117" s="476"/>
      <c r="AA117" s="470"/>
      <c r="AB117" s="473"/>
      <c r="AC117" s="473"/>
      <c r="AD117" s="473"/>
      <c r="AE117" s="473"/>
    </row>
    <row r="118" ht="18" spans="1:31">
      <c r="A118" s="467">
        <v>95</v>
      </c>
      <c r="B118" s="14" t="s">
        <v>1005</v>
      </c>
      <c r="C118" s="470">
        <v>24688.666666668</v>
      </c>
      <c r="D118" s="469"/>
      <c r="E118" s="470"/>
      <c r="F118" s="470"/>
      <c r="G118" s="476"/>
      <c r="H118" s="476"/>
      <c r="I118" s="470"/>
      <c r="J118" s="470"/>
      <c r="K118" s="470"/>
      <c r="L118" s="470"/>
      <c r="M118" s="470"/>
      <c r="N118" s="470"/>
      <c r="O118" s="470"/>
      <c r="P118" s="470"/>
      <c r="Q118" s="470"/>
      <c r="R118" s="470"/>
      <c r="S118" s="470"/>
      <c r="T118" s="470"/>
      <c r="U118" s="470"/>
      <c r="V118" s="470"/>
      <c r="W118" s="471"/>
      <c r="X118" s="470"/>
      <c r="Y118" s="476"/>
      <c r="Z118" s="470"/>
      <c r="AA118" s="473"/>
      <c r="AB118" s="473"/>
      <c r="AC118" s="473"/>
      <c r="AD118" s="473"/>
      <c r="AE118" s="473"/>
    </row>
    <row r="119" ht="18" spans="1:31">
      <c r="A119" s="467">
        <v>96</v>
      </c>
      <c r="B119" s="11" t="s">
        <v>271</v>
      </c>
      <c r="C119" s="470">
        <v>24688.666666668</v>
      </c>
      <c r="U119" s="482"/>
      <c r="AC119" s="473"/>
      <c r="AD119" s="473"/>
      <c r="AE119" s="473"/>
    </row>
    <row r="120" ht="18" spans="1:31">
      <c r="A120" s="467">
        <v>97</v>
      </c>
      <c r="B120" s="11" t="s">
        <v>276</v>
      </c>
      <c r="C120" s="470">
        <v>24688.666666668</v>
      </c>
      <c r="U120" s="482"/>
      <c r="AC120" s="473"/>
      <c r="AD120" s="473"/>
      <c r="AE120" s="473"/>
    </row>
    <row r="121" ht="17.5" spans="1:31">
      <c r="A121" s="467">
        <v>98</v>
      </c>
      <c r="B121" s="20" t="s">
        <v>120</v>
      </c>
      <c r="C121" s="470"/>
      <c r="D121" s="469"/>
      <c r="E121" s="470"/>
      <c r="F121" s="470"/>
      <c r="G121" s="476"/>
      <c r="H121" s="476"/>
      <c r="I121" s="470"/>
      <c r="J121" s="470"/>
      <c r="K121" s="470"/>
      <c r="L121" s="470"/>
      <c r="M121" s="470"/>
      <c r="N121" s="470"/>
      <c r="O121" s="470"/>
      <c r="P121" s="470"/>
      <c r="Q121" s="470"/>
      <c r="R121" s="470"/>
      <c r="S121" s="470"/>
      <c r="T121" s="470"/>
      <c r="U121" s="470"/>
      <c r="V121" s="470"/>
      <c r="W121" s="471"/>
      <c r="X121" s="470"/>
      <c r="Y121" s="476"/>
      <c r="Z121" s="470"/>
      <c r="AA121" s="473"/>
      <c r="AB121" s="473">
        <f t="shared" ref="AB121:AB130" si="133">Z121-AA121</f>
        <v>0</v>
      </c>
      <c r="AC121" s="473"/>
      <c r="AD121" s="473"/>
      <c r="AE121" s="473"/>
    </row>
    <row r="122" ht="17.5" spans="1:31">
      <c r="A122" s="467">
        <v>99</v>
      </c>
      <c r="B122" s="20"/>
      <c r="C122" s="470"/>
      <c r="D122" s="469"/>
      <c r="E122" s="470"/>
      <c r="F122" s="470"/>
      <c r="G122" s="476"/>
      <c r="H122" s="476"/>
      <c r="I122" s="470"/>
      <c r="J122" s="470"/>
      <c r="K122" s="470"/>
      <c r="L122" s="470"/>
      <c r="M122" s="470"/>
      <c r="N122" s="470"/>
      <c r="O122" s="470"/>
      <c r="P122" s="470"/>
      <c r="Q122" s="470"/>
      <c r="R122" s="470"/>
      <c r="S122" s="470"/>
      <c r="T122" s="470"/>
      <c r="U122" s="470"/>
      <c r="V122" s="470"/>
      <c r="W122" s="471"/>
      <c r="X122" s="470"/>
      <c r="Y122" s="476"/>
      <c r="Z122" s="470"/>
      <c r="AA122" s="473"/>
      <c r="AB122" s="473">
        <f t="shared" si="133"/>
        <v>0</v>
      </c>
      <c r="AC122" s="473"/>
      <c r="AD122" s="473"/>
      <c r="AE122" s="473"/>
    </row>
    <row r="123" ht="17.5" spans="1:31">
      <c r="A123" s="467"/>
      <c r="B123" s="20" t="s">
        <v>278</v>
      </c>
      <c r="C123" s="470"/>
      <c r="D123" s="469"/>
      <c r="E123" s="470"/>
      <c r="F123" s="470"/>
      <c r="G123" s="476"/>
      <c r="H123" s="476"/>
      <c r="I123" s="470"/>
      <c r="J123" s="470"/>
      <c r="K123" s="470"/>
      <c r="L123" s="470"/>
      <c r="M123" s="470"/>
      <c r="N123" s="470"/>
      <c r="O123" s="470"/>
      <c r="P123" s="470"/>
      <c r="Q123" s="470"/>
      <c r="R123" s="470"/>
      <c r="S123" s="470"/>
      <c r="T123" s="470"/>
      <c r="U123" s="470"/>
      <c r="V123" s="470"/>
      <c r="W123" s="471"/>
      <c r="X123" s="470"/>
      <c r="Y123" s="476"/>
      <c r="Z123" s="470"/>
      <c r="AA123" s="473"/>
      <c r="AB123" s="473">
        <f t="shared" si="133"/>
        <v>0</v>
      </c>
      <c r="AC123" s="473"/>
      <c r="AD123" s="473"/>
      <c r="AE123" s="473"/>
    </row>
    <row r="124" ht="18" spans="1:31">
      <c r="A124" s="467"/>
      <c r="B124" s="11" t="s">
        <v>279</v>
      </c>
      <c r="C124" s="470"/>
      <c r="D124" s="469"/>
      <c r="E124" s="470"/>
      <c r="F124" s="470"/>
      <c r="G124" s="476"/>
      <c r="H124" s="476"/>
      <c r="I124" s="470"/>
      <c r="J124" s="470"/>
      <c r="K124" s="470"/>
      <c r="L124" s="470"/>
      <c r="M124" s="470"/>
      <c r="N124" s="470"/>
      <c r="O124" s="470"/>
      <c r="P124" s="470"/>
      <c r="Q124" s="470"/>
      <c r="R124" s="470"/>
      <c r="S124" s="470"/>
      <c r="T124" s="470"/>
      <c r="U124" s="470"/>
      <c r="V124" s="470"/>
      <c r="W124" s="471"/>
      <c r="X124" s="470"/>
      <c r="Y124" s="476"/>
      <c r="Z124" s="470"/>
      <c r="AA124" s="473"/>
      <c r="AB124" s="473">
        <f t="shared" si="133"/>
        <v>0</v>
      </c>
      <c r="AC124" s="473"/>
      <c r="AD124" s="473"/>
      <c r="AE124" s="473"/>
    </row>
    <row r="125" ht="18" spans="1:31">
      <c r="A125" s="467">
        <v>101</v>
      </c>
      <c r="B125" s="11" t="s">
        <v>281</v>
      </c>
      <c r="C125" s="470">
        <v>92678.3333333358</v>
      </c>
      <c r="D125" s="469">
        <v>12</v>
      </c>
      <c r="E125" s="470">
        <f t="shared" ref="E121:E133" si="134">C125*D125</f>
        <v>1112140.00000003</v>
      </c>
      <c r="F125" s="470"/>
      <c r="G125" s="474"/>
      <c r="H125" s="476"/>
      <c r="I125" s="470">
        <f t="shared" ref="I121:I133" si="135">E125-F125-G125-H125</f>
        <v>1112140.00000003</v>
      </c>
      <c r="J125" s="470">
        <v>200000</v>
      </c>
      <c r="K125" s="470">
        <v>0.2</v>
      </c>
      <c r="L125" s="470">
        <f t="shared" ref="L121:L133" si="136">I125*K125</f>
        <v>222428.000000006</v>
      </c>
      <c r="M125" s="470">
        <f t="shared" ref="M121:M133" si="137">J125+L125</f>
        <v>422428.000000006</v>
      </c>
      <c r="N125" s="470">
        <f t="shared" ref="N121:N133" si="138">F125+G125+H125+M125</f>
        <v>422428.000000006</v>
      </c>
      <c r="O125" s="470">
        <f t="shared" ref="O121:O133" si="139">E125-N125</f>
        <v>689712.000000024</v>
      </c>
      <c r="P125" s="470">
        <f t="shared" ref="P121:P133" si="140">IF(O125&lt;300000,0.07*O125,21000)</f>
        <v>21000</v>
      </c>
      <c r="Q125" s="470">
        <f t="shared" ref="Q121:Q133" si="141">IF((O125-300000)&lt;0,0,IF((O125-300000)&lt;300000,0.11*(O125-300000),33000))</f>
        <v>33000</v>
      </c>
      <c r="R125" s="470">
        <f t="shared" ref="R121:R133" si="142">IF((O125-600000)&lt;0,0,IF((O125-600000)&lt;500000,0.15*(O125-600000),75000))</f>
        <v>13456.8000000036</v>
      </c>
      <c r="S125" s="470">
        <f t="shared" ref="S121:S133" si="143">IF((O125-1100000)&lt;0,0,IF((O125-1100000)&lt;500000,0.19*(O125-1100000),95000))</f>
        <v>0</v>
      </c>
      <c r="T125" s="470">
        <f t="shared" ref="T121:T133" si="144">IF((O125-1600000)&lt;0,0,IF((O125-1600000)&lt;1600000,0.21*(O125-1600000),336000))</f>
        <v>0</v>
      </c>
      <c r="U125" s="470"/>
      <c r="V125" s="470">
        <f t="shared" ref="V121:V133" si="145">P125+Q125+R125+S125+T125+U125</f>
        <v>67456.8000000036</v>
      </c>
      <c r="W125" s="471">
        <v>12</v>
      </c>
      <c r="X125" s="470">
        <f t="shared" ref="X121:X133" si="146">V125/W125</f>
        <v>5621.4000000003</v>
      </c>
      <c r="Y125" s="476"/>
      <c r="Z125" s="470">
        <f t="shared" ref="Z121:Z133" si="147">X125</f>
        <v>5621.4000000003</v>
      </c>
      <c r="AA125" s="473">
        <v>44846.6165886667</v>
      </c>
      <c r="AB125" s="473">
        <f t="shared" si="133"/>
        <v>-39225.2165886664</v>
      </c>
      <c r="AC125" s="473"/>
      <c r="AD125" s="473"/>
      <c r="AE125" s="473"/>
    </row>
    <row r="126" ht="18" spans="1:31">
      <c r="A126" s="467">
        <v>103</v>
      </c>
      <c r="B126" s="14" t="s">
        <v>283</v>
      </c>
      <c r="C126" s="470">
        <v>0</v>
      </c>
      <c r="D126" s="469">
        <v>12</v>
      </c>
      <c r="E126" s="470">
        <f t="shared" si="134"/>
        <v>0</v>
      </c>
      <c r="F126" s="479"/>
      <c r="G126" s="474"/>
      <c r="H126" s="476"/>
      <c r="I126" s="470">
        <f t="shared" si="135"/>
        <v>0</v>
      </c>
      <c r="J126" s="470">
        <v>200000</v>
      </c>
      <c r="K126" s="470">
        <v>0.2</v>
      </c>
      <c r="L126" s="470">
        <f t="shared" si="136"/>
        <v>0</v>
      </c>
      <c r="M126" s="470">
        <f t="shared" si="137"/>
        <v>200000</v>
      </c>
      <c r="N126" s="470">
        <f t="shared" si="138"/>
        <v>200000</v>
      </c>
      <c r="O126" s="470">
        <f t="shared" si="139"/>
        <v>-200000</v>
      </c>
      <c r="P126" s="470">
        <f t="shared" si="140"/>
        <v>-14000</v>
      </c>
      <c r="Q126" s="470">
        <f t="shared" si="141"/>
        <v>0</v>
      </c>
      <c r="R126" s="470">
        <f t="shared" si="142"/>
        <v>0</v>
      </c>
      <c r="S126" s="470">
        <f t="shared" si="143"/>
        <v>0</v>
      </c>
      <c r="T126" s="470">
        <f t="shared" si="144"/>
        <v>0</v>
      </c>
      <c r="U126" s="470"/>
      <c r="V126" s="470">
        <f t="shared" si="145"/>
        <v>-14000</v>
      </c>
      <c r="W126" s="471">
        <v>12</v>
      </c>
      <c r="X126" s="470">
        <f t="shared" si="146"/>
        <v>-1166.66666666667</v>
      </c>
      <c r="Y126" s="476"/>
      <c r="Z126" s="470">
        <f t="shared" si="147"/>
        <v>-1166.66666666667</v>
      </c>
      <c r="AA126" s="473">
        <v>42029.5891866667</v>
      </c>
      <c r="AB126" s="473">
        <f t="shared" si="133"/>
        <v>-43196.2558533334</v>
      </c>
      <c r="AC126" s="473"/>
      <c r="AD126" s="473"/>
      <c r="AE126" s="473"/>
    </row>
    <row r="127" ht="18" spans="1:31">
      <c r="A127" s="467">
        <v>105</v>
      </c>
      <c r="B127" s="11" t="s">
        <v>286</v>
      </c>
      <c r="C127" s="470">
        <v>55503</v>
      </c>
      <c r="D127" s="469">
        <v>12</v>
      </c>
      <c r="E127" s="470">
        <f t="shared" si="134"/>
        <v>666036</v>
      </c>
      <c r="F127" s="479"/>
      <c r="G127" s="474"/>
      <c r="H127" s="476"/>
      <c r="I127" s="470">
        <f t="shared" si="135"/>
        <v>666036</v>
      </c>
      <c r="J127" s="470">
        <v>200000</v>
      </c>
      <c r="K127" s="470">
        <v>0.2</v>
      </c>
      <c r="L127" s="470">
        <f t="shared" si="136"/>
        <v>133207.2</v>
      </c>
      <c r="M127" s="470">
        <f t="shared" si="137"/>
        <v>333207.2</v>
      </c>
      <c r="N127" s="470">
        <f t="shared" si="138"/>
        <v>333207.2</v>
      </c>
      <c r="O127" s="470">
        <f t="shared" si="139"/>
        <v>332828.8</v>
      </c>
      <c r="P127" s="470">
        <f t="shared" si="140"/>
        <v>21000</v>
      </c>
      <c r="Q127" s="470">
        <f t="shared" si="141"/>
        <v>3611.168</v>
      </c>
      <c r="R127" s="470">
        <f t="shared" si="142"/>
        <v>0</v>
      </c>
      <c r="S127" s="470">
        <f t="shared" si="143"/>
        <v>0</v>
      </c>
      <c r="T127" s="470">
        <f t="shared" si="144"/>
        <v>0</v>
      </c>
      <c r="U127" s="470"/>
      <c r="V127" s="470">
        <f t="shared" si="145"/>
        <v>24611.168</v>
      </c>
      <c r="W127" s="471">
        <v>12</v>
      </c>
      <c r="X127" s="470">
        <f t="shared" si="146"/>
        <v>2050.93066666667</v>
      </c>
      <c r="Y127" s="476"/>
      <c r="Z127" s="470">
        <f t="shared" si="147"/>
        <v>2050.93066666667</v>
      </c>
      <c r="AA127" s="473">
        <v>43380.0962466667</v>
      </c>
      <c r="AB127" s="473">
        <f t="shared" si="133"/>
        <v>-41329.16558</v>
      </c>
      <c r="AC127" s="473"/>
      <c r="AD127" s="473"/>
      <c r="AE127" s="473"/>
    </row>
    <row r="128" ht="18" spans="1:31">
      <c r="A128" s="467">
        <v>106</v>
      </c>
      <c r="B128" s="11" t="s">
        <v>287</v>
      </c>
      <c r="C128" s="470">
        <v>55503</v>
      </c>
      <c r="D128" s="469">
        <v>12</v>
      </c>
      <c r="E128" s="470">
        <f t="shared" si="134"/>
        <v>666036</v>
      </c>
      <c r="F128" s="470"/>
      <c r="G128" s="474"/>
      <c r="H128" s="476"/>
      <c r="I128" s="470">
        <f t="shared" si="135"/>
        <v>666036</v>
      </c>
      <c r="J128" s="470">
        <v>200000</v>
      </c>
      <c r="K128" s="470">
        <v>0.2</v>
      </c>
      <c r="L128" s="470">
        <f t="shared" si="136"/>
        <v>133207.2</v>
      </c>
      <c r="M128" s="470">
        <f t="shared" si="137"/>
        <v>333207.2</v>
      </c>
      <c r="N128" s="470">
        <f t="shared" si="138"/>
        <v>333207.2</v>
      </c>
      <c r="O128" s="470">
        <f t="shared" si="139"/>
        <v>332828.8</v>
      </c>
      <c r="P128" s="470">
        <f t="shared" si="140"/>
        <v>21000</v>
      </c>
      <c r="Q128" s="470">
        <f t="shared" si="141"/>
        <v>3611.168</v>
      </c>
      <c r="R128" s="470">
        <f t="shared" si="142"/>
        <v>0</v>
      </c>
      <c r="S128" s="470">
        <f t="shared" si="143"/>
        <v>0</v>
      </c>
      <c r="T128" s="470">
        <f t="shared" si="144"/>
        <v>0</v>
      </c>
      <c r="U128" s="470"/>
      <c r="V128" s="470">
        <f t="shared" si="145"/>
        <v>24611.168</v>
      </c>
      <c r="W128" s="471">
        <v>12</v>
      </c>
      <c r="X128" s="470">
        <f t="shared" si="146"/>
        <v>2050.93066666667</v>
      </c>
      <c r="Y128" s="476"/>
      <c r="Z128" s="470">
        <f t="shared" si="147"/>
        <v>2050.93066666667</v>
      </c>
      <c r="AA128" s="473">
        <v>23036.0123466667</v>
      </c>
      <c r="AB128" s="473">
        <f t="shared" si="133"/>
        <v>-20985.08168</v>
      </c>
      <c r="AC128" s="473"/>
      <c r="AD128" s="473"/>
      <c r="AE128" s="473"/>
    </row>
    <row r="129" ht="18" spans="1:31">
      <c r="A129" s="467">
        <v>107</v>
      </c>
      <c r="B129" s="11" t="s">
        <v>289</v>
      </c>
      <c r="C129" s="470">
        <v>55503</v>
      </c>
      <c r="D129" s="469">
        <v>12</v>
      </c>
      <c r="E129" s="470">
        <f t="shared" si="134"/>
        <v>666036</v>
      </c>
      <c r="F129" s="470"/>
      <c r="G129" s="474"/>
      <c r="H129" s="476"/>
      <c r="I129" s="470">
        <f t="shared" si="135"/>
        <v>666036</v>
      </c>
      <c r="J129" s="470">
        <v>200000</v>
      </c>
      <c r="K129" s="470">
        <v>0.2</v>
      </c>
      <c r="L129" s="470">
        <f t="shared" si="136"/>
        <v>133207.2</v>
      </c>
      <c r="M129" s="470">
        <f t="shared" si="137"/>
        <v>333207.2</v>
      </c>
      <c r="N129" s="470">
        <f t="shared" si="138"/>
        <v>333207.2</v>
      </c>
      <c r="O129" s="470">
        <f t="shared" si="139"/>
        <v>332828.8</v>
      </c>
      <c r="P129" s="470">
        <f t="shared" si="140"/>
        <v>21000</v>
      </c>
      <c r="Q129" s="470">
        <f t="shared" si="141"/>
        <v>3611.168</v>
      </c>
      <c r="R129" s="470">
        <f t="shared" si="142"/>
        <v>0</v>
      </c>
      <c r="S129" s="470">
        <f t="shared" si="143"/>
        <v>0</v>
      </c>
      <c r="T129" s="470">
        <f t="shared" si="144"/>
        <v>0</v>
      </c>
      <c r="U129" s="470"/>
      <c r="V129" s="470">
        <f t="shared" si="145"/>
        <v>24611.168</v>
      </c>
      <c r="W129" s="471">
        <v>12</v>
      </c>
      <c r="X129" s="470">
        <f t="shared" si="146"/>
        <v>2050.93066666667</v>
      </c>
      <c r="Y129" s="476"/>
      <c r="Z129" s="470">
        <f t="shared" si="147"/>
        <v>2050.93066666667</v>
      </c>
      <c r="AA129" s="473">
        <v>17042.7138666667</v>
      </c>
      <c r="AB129" s="473">
        <f t="shared" si="133"/>
        <v>-14991.7832</v>
      </c>
      <c r="AC129" s="473"/>
      <c r="AD129" s="473"/>
      <c r="AE129" s="473"/>
    </row>
    <row r="130" ht="18" spans="1:31">
      <c r="A130" s="467">
        <v>108</v>
      </c>
      <c r="B130" s="11" t="s">
        <v>292</v>
      </c>
      <c r="C130" s="470">
        <v>29265.3333333321</v>
      </c>
      <c r="D130" s="469">
        <v>12</v>
      </c>
      <c r="E130" s="470">
        <f t="shared" si="134"/>
        <v>351183.999999985</v>
      </c>
      <c r="F130" s="470"/>
      <c r="G130" s="474"/>
      <c r="H130" s="476"/>
      <c r="I130" s="470">
        <f t="shared" si="135"/>
        <v>351183.999999985</v>
      </c>
      <c r="J130" s="470">
        <v>200000</v>
      </c>
      <c r="K130" s="470">
        <v>0.2</v>
      </c>
      <c r="L130" s="470">
        <f t="shared" si="136"/>
        <v>70236.799999997</v>
      </c>
      <c r="M130" s="470">
        <f t="shared" si="137"/>
        <v>270236.799999997</v>
      </c>
      <c r="N130" s="470">
        <f t="shared" si="138"/>
        <v>270236.799999997</v>
      </c>
      <c r="O130" s="470">
        <f t="shared" si="139"/>
        <v>80947.1999999881</v>
      </c>
      <c r="P130" s="470">
        <f t="shared" si="140"/>
        <v>5666.30399999917</v>
      </c>
      <c r="Q130" s="470">
        <f t="shared" si="141"/>
        <v>0</v>
      </c>
      <c r="R130" s="470">
        <f t="shared" si="142"/>
        <v>0</v>
      </c>
      <c r="S130" s="470">
        <f t="shared" si="143"/>
        <v>0</v>
      </c>
      <c r="T130" s="470">
        <f t="shared" si="144"/>
        <v>0</v>
      </c>
      <c r="U130" s="470"/>
      <c r="V130" s="470">
        <f t="shared" si="145"/>
        <v>5666.30399999917</v>
      </c>
      <c r="W130" s="471">
        <v>12</v>
      </c>
      <c r="X130" s="470">
        <f t="shared" si="146"/>
        <v>472.19199999993</v>
      </c>
      <c r="Y130" s="476"/>
      <c r="Z130" s="470">
        <f t="shared" si="147"/>
        <v>472.19199999993</v>
      </c>
      <c r="AA130" s="473">
        <v>17042.7138666667</v>
      </c>
      <c r="AB130" s="473">
        <f t="shared" si="133"/>
        <v>-16570.5218666668</v>
      </c>
      <c r="AC130" s="473"/>
      <c r="AD130" s="473"/>
      <c r="AE130" s="473"/>
    </row>
    <row r="131" ht="18" spans="1:31">
      <c r="A131" s="467">
        <v>109</v>
      </c>
      <c r="B131" s="18" t="s">
        <v>294</v>
      </c>
      <c r="C131" s="470">
        <v>24688.666666668</v>
      </c>
      <c r="D131" s="469">
        <v>12</v>
      </c>
      <c r="E131" s="470">
        <f t="shared" si="134"/>
        <v>296264.000000016</v>
      </c>
      <c r="F131" s="470"/>
      <c r="G131" s="474"/>
      <c r="H131" s="476"/>
      <c r="I131" s="470">
        <f t="shared" si="135"/>
        <v>296264.000000016</v>
      </c>
      <c r="J131" s="470">
        <v>200000</v>
      </c>
      <c r="K131" s="470">
        <v>0.2</v>
      </c>
      <c r="L131" s="470">
        <f t="shared" si="136"/>
        <v>59252.8000000033</v>
      </c>
      <c r="M131" s="470">
        <f t="shared" si="137"/>
        <v>259252.800000003</v>
      </c>
      <c r="N131" s="470">
        <f t="shared" si="138"/>
        <v>259252.800000003</v>
      </c>
      <c r="O131" s="470">
        <f t="shared" si="139"/>
        <v>37011.2000000131</v>
      </c>
      <c r="P131" s="470">
        <f t="shared" si="140"/>
        <v>2590.78400000091</v>
      </c>
      <c r="Q131" s="470">
        <f t="shared" si="141"/>
        <v>0</v>
      </c>
      <c r="R131" s="470">
        <f t="shared" si="142"/>
        <v>0</v>
      </c>
      <c r="S131" s="470">
        <f t="shared" si="143"/>
        <v>0</v>
      </c>
      <c r="T131" s="470">
        <f t="shared" si="144"/>
        <v>0</v>
      </c>
      <c r="U131" s="470"/>
      <c r="V131" s="470">
        <f t="shared" si="145"/>
        <v>2590.78400000091</v>
      </c>
      <c r="W131" s="471">
        <v>12</v>
      </c>
      <c r="X131" s="470">
        <f t="shared" si="146"/>
        <v>215.898666666743</v>
      </c>
      <c r="Y131" s="476"/>
      <c r="Z131" s="470">
        <f t="shared" si="147"/>
        <v>215.898666666743</v>
      </c>
      <c r="AA131" s="473">
        <v>17042.7138666667</v>
      </c>
      <c r="AB131" s="473"/>
      <c r="AC131" s="473"/>
      <c r="AD131" s="473"/>
      <c r="AE131" s="473"/>
    </row>
    <row r="132" ht="18" spans="1:31">
      <c r="A132" s="467">
        <v>110</v>
      </c>
      <c r="B132" s="18" t="s">
        <v>296</v>
      </c>
      <c r="C132" s="470">
        <v>24688.666666668</v>
      </c>
      <c r="D132" s="469">
        <v>12</v>
      </c>
      <c r="E132" s="470">
        <f t="shared" si="134"/>
        <v>296264.000000016</v>
      </c>
      <c r="F132" s="470"/>
      <c r="G132" s="474"/>
      <c r="H132" s="476"/>
      <c r="I132" s="470">
        <f t="shared" si="135"/>
        <v>296264.000000016</v>
      </c>
      <c r="J132" s="470">
        <v>200000</v>
      </c>
      <c r="K132" s="470">
        <v>0.2</v>
      </c>
      <c r="L132" s="470">
        <f t="shared" si="136"/>
        <v>59252.8000000033</v>
      </c>
      <c r="M132" s="470">
        <f t="shared" si="137"/>
        <v>259252.800000003</v>
      </c>
      <c r="N132" s="470">
        <f t="shared" si="138"/>
        <v>259252.800000003</v>
      </c>
      <c r="O132" s="470">
        <f t="shared" si="139"/>
        <v>37011.2000000131</v>
      </c>
      <c r="P132" s="470">
        <f t="shared" si="140"/>
        <v>2590.78400000091</v>
      </c>
      <c r="Q132" s="470">
        <f t="shared" si="141"/>
        <v>0</v>
      </c>
      <c r="R132" s="470">
        <f t="shared" si="142"/>
        <v>0</v>
      </c>
      <c r="S132" s="470">
        <f t="shared" si="143"/>
        <v>0</v>
      </c>
      <c r="T132" s="470">
        <f t="shared" si="144"/>
        <v>0</v>
      </c>
      <c r="U132" s="470"/>
      <c r="V132" s="470">
        <f t="shared" si="145"/>
        <v>2590.78400000091</v>
      </c>
      <c r="W132" s="471">
        <v>12</v>
      </c>
      <c r="X132" s="470">
        <f t="shared" si="146"/>
        <v>215.898666666743</v>
      </c>
      <c r="Y132" s="476"/>
      <c r="Z132" s="470">
        <f t="shared" si="147"/>
        <v>215.898666666743</v>
      </c>
      <c r="AA132" s="473">
        <v>17042.7138666667</v>
      </c>
      <c r="AC132" s="473"/>
      <c r="AD132" s="473"/>
      <c r="AE132" s="473"/>
    </row>
    <row r="133" ht="18" spans="1:31">
      <c r="A133" s="467">
        <v>111</v>
      </c>
      <c r="B133" s="18" t="s">
        <v>297</v>
      </c>
      <c r="C133" s="470">
        <v>24688.666666668</v>
      </c>
      <c r="D133" s="469">
        <v>12</v>
      </c>
      <c r="E133" s="470">
        <f t="shared" si="134"/>
        <v>296264.000000016</v>
      </c>
      <c r="F133" s="470"/>
      <c r="G133" s="474"/>
      <c r="H133" s="476"/>
      <c r="I133" s="470">
        <f t="shared" si="135"/>
        <v>296264.000000016</v>
      </c>
      <c r="J133" s="470">
        <v>200000</v>
      </c>
      <c r="K133" s="470">
        <v>0.2</v>
      </c>
      <c r="L133" s="470">
        <f t="shared" si="136"/>
        <v>59252.8000000033</v>
      </c>
      <c r="M133" s="470">
        <f t="shared" si="137"/>
        <v>259252.800000003</v>
      </c>
      <c r="N133" s="470">
        <f t="shared" si="138"/>
        <v>259252.800000003</v>
      </c>
      <c r="O133" s="470">
        <f t="shared" si="139"/>
        <v>37011.2000000131</v>
      </c>
      <c r="P133" s="470">
        <f t="shared" si="140"/>
        <v>2590.78400000091</v>
      </c>
      <c r="Q133" s="470">
        <f t="shared" si="141"/>
        <v>0</v>
      </c>
      <c r="R133" s="470">
        <f t="shared" si="142"/>
        <v>0</v>
      </c>
      <c r="S133" s="470">
        <f t="shared" si="143"/>
        <v>0</v>
      </c>
      <c r="T133" s="470">
        <f t="shared" si="144"/>
        <v>0</v>
      </c>
      <c r="U133" s="470"/>
      <c r="V133" s="470">
        <f t="shared" si="145"/>
        <v>2590.78400000091</v>
      </c>
      <c r="W133" s="471">
        <v>12</v>
      </c>
      <c r="X133" s="470">
        <f t="shared" si="146"/>
        <v>215.898666666743</v>
      </c>
      <c r="Y133" s="476"/>
      <c r="Z133" s="470">
        <f t="shared" si="147"/>
        <v>215.898666666743</v>
      </c>
      <c r="AA133" s="473">
        <v>17042.7138666667</v>
      </c>
      <c r="AC133" s="473"/>
      <c r="AD133" s="473"/>
      <c r="AE133" s="473"/>
    </row>
    <row r="134" ht="17.5" spans="1:31">
      <c r="A134" s="467">
        <v>112</v>
      </c>
      <c r="B134" s="20" t="s">
        <v>120</v>
      </c>
      <c r="C134" s="470"/>
      <c r="D134" s="469"/>
      <c r="E134" s="470"/>
      <c r="F134" s="470"/>
      <c r="G134" s="476"/>
      <c r="H134" s="476"/>
      <c r="I134" s="470"/>
      <c r="J134" s="470"/>
      <c r="K134" s="470"/>
      <c r="L134" s="470"/>
      <c r="M134" s="470"/>
      <c r="N134" s="470"/>
      <c r="O134" s="470"/>
      <c r="P134" s="470"/>
      <c r="Q134" s="470"/>
      <c r="R134" s="470"/>
      <c r="S134" s="470"/>
      <c r="T134" s="470"/>
      <c r="U134" s="470"/>
      <c r="V134" s="470"/>
      <c r="W134" s="471"/>
      <c r="X134" s="470"/>
      <c r="Y134" s="476"/>
      <c r="Z134" s="470"/>
      <c r="AA134" s="473"/>
      <c r="AB134" s="473">
        <f t="shared" ref="AB134:AB197" si="148">Z134-AA134</f>
        <v>0</v>
      </c>
      <c r="AC134" s="473"/>
      <c r="AD134" s="473"/>
      <c r="AE134" s="473"/>
    </row>
    <row r="135" ht="17.5" spans="1:31">
      <c r="A135" s="467">
        <v>113</v>
      </c>
      <c r="B135" s="22"/>
      <c r="C135" s="470"/>
      <c r="D135" s="469"/>
      <c r="E135" s="470"/>
      <c r="F135" s="470"/>
      <c r="G135" s="476"/>
      <c r="H135" s="476"/>
      <c r="I135" s="470"/>
      <c r="J135" s="470"/>
      <c r="K135" s="470"/>
      <c r="L135" s="470"/>
      <c r="M135" s="470"/>
      <c r="N135" s="470"/>
      <c r="O135" s="470"/>
      <c r="P135" s="470"/>
      <c r="Q135" s="470"/>
      <c r="R135" s="470"/>
      <c r="S135" s="470"/>
      <c r="T135" s="470"/>
      <c r="U135" s="470"/>
      <c r="V135" s="470"/>
      <c r="W135" s="471"/>
      <c r="X135" s="470"/>
      <c r="Y135" s="476"/>
      <c r="Z135" s="470"/>
      <c r="AA135" s="473"/>
      <c r="AB135" s="473">
        <f t="shared" si="148"/>
        <v>0</v>
      </c>
      <c r="AC135" s="473"/>
      <c r="AD135" s="473"/>
      <c r="AE135" s="473"/>
    </row>
    <row r="136" ht="17.5" spans="1:31">
      <c r="A136" s="467">
        <v>114</v>
      </c>
      <c r="B136" s="20" t="s">
        <v>299</v>
      </c>
      <c r="C136" s="470"/>
      <c r="D136" s="469"/>
      <c r="E136" s="470"/>
      <c r="F136" s="470"/>
      <c r="G136" s="476"/>
      <c r="H136" s="476"/>
      <c r="I136" s="470"/>
      <c r="J136" s="470"/>
      <c r="K136" s="470"/>
      <c r="L136" s="470"/>
      <c r="M136" s="470"/>
      <c r="N136" s="470"/>
      <c r="O136" s="470"/>
      <c r="P136" s="470"/>
      <c r="Q136" s="470"/>
      <c r="R136" s="470"/>
      <c r="S136" s="470"/>
      <c r="T136" s="470"/>
      <c r="U136" s="470"/>
      <c r="V136" s="470"/>
      <c r="W136" s="471"/>
      <c r="X136" s="470"/>
      <c r="Y136" s="476"/>
      <c r="Z136" s="470"/>
      <c r="AA136" s="473"/>
      <c r="AB136" s="473">
        <f t="shared" si="148"/>
        <v>0</v>
      </c>
      <c r="AC136" s="473"/>
      <c r="AD136" s="473"/>
      <c r="AE136" s="473"/>
    </row>
    <row r="137" ht="18" spans="1:31">
      <c r="A137" s="467">
        <v>115</v>
      </c>
      <c r="B137" s="11" t="s">
        <v>931</v>
      </c>
      <c r="C137" s="470"/>
      <c r="D137" s="469"/>
      <c r="E137" s="470"/>
      <c r="F137" s="470"/>
      <c r="G137" s="476"/>
      <c r="H137" s="476"/>
      <c r="I137" s="470"/>
      <c r="J137" s="470"/>
      <c r="K137" s="470"/>
      <c r="L137" s="470"/>
      <c r="M137" s="470"/>
      <c r="N137" s="470"/>
      <c r="O137" s="470"/>
      <c r="P137" s="470"/>
      <c r="Q137" s="470"/>
      <c r="R137" s="470"/>
      <c r="S137" s="470"/>
      <c r="T137" s="470"/>
      <c r="U137" s="470"/>
      <c r="V137" s="470"/>
      <c r="W137" s="471"/>
      <c r="X137" s="470"/>
      <c r="Y137" s="476"/>
      <c r="Z137" s="470"/>
      <c r="AA137" s="473"/>
      <c r="AB137" s="473">
        <f t="shared" si="148"/>
        <v>0</v>
      </c>
      <c r="AC137" s="473"/>
      <c r="AD137" s="473"/>
      <c r="AE137" s="473"/>
    </row>
    <row r="138" ht="18" spans="1:31">
      <c r="A138" s="467">
        <v>116</v>
      </c>
      <c r="B138" s="14" t="s">
        <v>300</v>
      </c>
      <c r="C138" s="470"/>
      <c r="D138" s="469"/>
      <c r="E138" s="470"/>
      <c r="F138" s="470"/>
      <c r="G138" s="476"/>
      <c r="H138" s="476"/>
      <c r="I138" s="470"/>
      <c r="J138" s="470"/>
      <c r="K138" s="470"/>
      <c r="L138" s="470"/>
      <c r="M138" s="470"/>
      <c r="N138" s="470"/>
      <c r="O138" s="470"/>
      <c r="P138" s="470"/>
      <c r="Q138" s="470"/>
      <c r="R138" s="470"/>
      <c r="S138" s="470"/>
      <c r="T138" s="470"/>
      <c r="U138" s="470"/>
      <c r="V138" s="470"/>
      <c r="W138" s="471"/>
      <c r="X138" s="470"/>
      <c r="Y138" s="476"/>
      <c r="Z138" s="470"/>
      <c r="AA138" s="473"/>
      <c r="AB138" s="473">
        <f t="shared" si="148"/>
        <v>0</v>
      </c>
      <c r="AC138" s="473"/>
      <c r="AD138" s="473"/>
      <c r="AE138" s="473"/>
    </row>
    <row r="139" ht="18" spans="1:31">
      <c r="A139" s="467">
        <v>117</v>
      </c>
      <c r="B139" s="14" t="s">
        <v>302</v>
      </c>
      <c r="C139" s="470"/>
      <c r="D139" s="469"/>
      <c r="E139" s="470"/>
      <c r="F139" s="470"/>
      <c r="G139" s="476"/>
      <c r="H139" s="476"/>
      <c r="I139" s="470"/>
      <c r="J139" s="470"/>
      <c r="K139" s="470"/>
      <c r="L139" s="470"/>
      <c r="M139" s="470"/>
      <c r="N139" s="470"/>
      <c r="O139" s="470"/>
      <c r="P139" s="470"/>
      <c r="Q139" s="470"/>
      <c r="R139" s="470"/>
      <c r="S139" s="470"/>
      <c r="T139" s="470"/>
      <c r="U139" s="470"/>
      <c r="V139" s="470"/>
      <c r="W139" s="471"/>
      <c r="X139" s="470"/>
      <c r="Y139" s="476"/>
      <c r="Z139" s="470"/>
      <c r="AA139" s="473"/>
      <c r="AB139" s="473">
        <f t="shared" si="148"/>
        <v>0</v>
      </c>
      <c r="AC139" s="473"/>
      <c r="AD139" s="473"/>
      <c r="AE139" s="473"/>
    </row>
    <row r="140" ht="18" spans="1:31">
      <c r="A140" s="467">
        <v>118</v>
      </c>
      <c r="B140" s="11" t="s">
        <v>305</v>
      </c>
      <c r="C140" s="470"/>
      <c r="D140" s="469"/>
      <c r="E140" s="470"/>
      <c r="F140" s="470"/>
      <c r="G140" s="476"/>
      <c r="H140" s="476"/>
      <c r="I140" s="470"/>
      <c r="J140" s="470"/>
      <c r="K140" s="470"/>
      <c r="L140" s="470"/>
      <c r="M140" s="470"/>
      <c r="N140" s="470"/>
      <c r="O140" s="470"/>
      <c r="P140" s="470"/>
      <c r="Q140" s="470"/>
      <c r="R140" s="470"/>
      <c r="S140" s="470"/>
      <c r="T140" s="470"/>
      <c r="U140" s="470"/>
      <c r="V140" s="470"/>
      <c r="W140" s="471"/>
      <c r="X140" s="470"/>
      <c r="Y140" s="476"/>
      <c r="Z140" s="470"/>
      <c r="AA140" s="473"/>
      <c r="AB140" s="473">
        <f t="shared" si="148"/>
        <v>0</v>
      </c>
      <c r="AC140" s="473"/>
      <c r="AD140" s="473"/>
      <c r="AE140" s="473"/>
    </row>
    <row r="141" ht="18" spans="1:31">
      <c r="A141" s="467">
        <v>119</v>
      </c>
      <c r="B141" s="11" t="s">
        <v>307</v>
      </c>
      <c r="C141" s="470"/>
      <c r="D141" s="469"/>
      <c r="E141" s="470"/>
      <c r="F141" s="470"/>
      <c r="G141" s="476"/>
      <c r="H141" s="476"/>
      <c r="I141" s="470"/>
      <c r="J141" s="470"/>
      <c r="K141" s="470"/>
      <c r="L141" s="470"/>
      <c r="M141" s="470"/>
      <c r="N141" s="470"/>
      <c r="O141" s="470"/>
      <c r="P141" s="470"/>
      <c r="Q141" s="470"/>
      <c r="R141" s="470"/>
      <c r="S141" s="470"/>
      <c r="T141" s="470"/>
      <c r="U141" s="470"/>
      <c r="V141" s="470"/>
      <c r="W141" s="471"/>
      <c r="X141" s="470"/>
      <c r="Y141" s="476"/>
      <c r="Z141" s="470"/>
      <c r="AA141" s="473"/>
      <c r="AB141" s="473">
        <f t="shared" si="148"/>
        <v>0</v>
      </c>
      <c r="AC141" s="473"/>
      <c r="AD141" s="473"/>
      <c r="AE141" s="473"/>
    </row>
    <row r="142" ht="18" spans="1:31">
      <c r="A142" s="467">
        <v>120</v>
      </c>
      <c r="B142" s="11" t="s">
        <v>309</v>
      </c>
      <c r="C142" s="470"/>
      <c r="D142" s="469"/>
      <c r="E142" s="470"/>
      <c r="F142" s="470"/>
      <c r="G142" s="476"/>
      <c r="H142" s="476"/>
      <c r="I142" s="470"/>
      <c r="J142" s="470"/>
      <c r="K142" s="470"/>
      <c r="L142" s="470"/>
      <c r="M142" s="470"/>
      <c r="N142" s="470"/>
      <c r="O142" s="470"/>
      <c r="P142" s="470"/>
      <c r="Q142" s="470"/>
      <c r="R142" s="470"/>
      <c r="S142" s="470"/>
      <c r="T142" s="470"/>
      <c r="U142" s="470"/>
      <c r="V142" s="470"/>
      <c r="W142" s="471"/>
      <c r="X142" s="470"/>
      <c r="Y142" s="476"/>
      <c r="Z142" s="470"/>
      <c r="AA142" s="473"/>
      <c r="AB142" s="473">
        <f t="shared" si="148"/>
        <v>0</v>
      </c>
      <c r="AC142" s="473"/>
      <c r="AD142" s="473"/>
      <c r="AE142" s="473"/>
    </row>
    <row r="143" ht="18" spans="1:31">
      <c r="A143" s="467">
        <v>121</v>
      </c>
      <c r="B143" s="11" t="s">
        <v>312</v>
      </c>
      <c r="C143" s="470"/>
      <c r="D143" s="469"/>
      <c r="E143" s="470"/>
      <c r="F143" s="470"/>
      <c r="G143" s="476"/>
      <c r="H143" s="476"/>
      <c r="I143" s="470"/>
      <c r="J143" s="470"/>
      <c r="K143" s="470"/>
      <c r="L143" s="470"/>
      <c r="M143" s="470"/>
      <c r="N143" s="470"/>
      <c r="O143" s="470"/>
      <c r="P143" s="470"/>
      <c r="Q143" s="470"/>
      <c r="R143" s="470"/>
      <c r="S143" s="470"/>
      <c r="T143" s="470"/>
      <c r="U143" s="470"/>
      <c r="V143" s="470"/>
      <c r="W143" s="471"/>
      <c r="X143" s="470"/>
      <c r="Y143" s="476"/>
      <c r="Z143" s="470"/>
      <c r="AA143" s="473"/>
      <c r="AB143" s="473">
        <f t="shared" si="148"/>
        <v>0</v>
      </c>
      <c r="AC143" s="473"/>
      <c r="AD143" s="473"/>
      <c r="AE143" s="473"/>
    </row>
    <row r="144" ht="18" spans="1:31">
      <c r="A144" s="467">
        <v>122</v>
      </c>
      <c r="B144" s="11" t="s">
        <v>313</v>
      </c>
      <c r="C144" s="470"/>
      <c r="D144" s="469"/>
      <c r="E144" s="470"/>
      <c r="F144" s="470"/>
      <c r="G144" s="476"/>
      <c r="H144" s="476"/>
      <c r="I144" s="470"/>
      <c r="J144" s="470"/>
      <c r="K144" s="470"/>
      <c r="L144" s="470"/>
      <c r="M144" s="470"/>
      <c r="N144" s="470"/>
      <c r="O144" s="470"/>
      <c r="P144" s="470"/>
      <c r="Q144" s="470"/>
      <c r="R144" s="470"/>
      <c r="S144" s="470"/>
      <c r="T144" s="470"/>
      <c r="U144" s="470"/>
      <c r="V144" s="470"/>
      <c r="W144" s="471"/>
      <c r="X144" s="470"/>
      <c r="Y144" s="476"/>
      <c r="Z144" s="470"/>
      <c r="AA144" s="473"/>
      <c r="AB144" s="473">
        <f t="shared" si="148"/>
        <v>0</v>
      </c>
      <c r="AC144" s="473"/>
      <c r="AD144" s="473"/>
      <c r="AE144" s="473"/>
    </row>
    <row r="145" ht="18" spans="1:31">
      <c r="A145" s="467">
        <v>123</v>
      </c>
      <c r="B145" s="11" t="s">
        <v>315</v>
      </c>
      <c r="C145" s="470">
        <v>48765.3333333321</v>
      </c>
      <c r="D145" s="469">
        <v>12</v>
      </c>
      <c r="E145" s="470">
        <f t="shared" ref="E134:E192" si="149">C145*D145</f>
        <v>585183.999999985</v>
      </c>
      <c r="F145" s="470"/>
      <c r="G145" s="474"/>
      <c r="H145" s="476"/>
      <c r="I145" s="470">
        <f t="shared" ref="I134:I192" si="150">E145-F145-G145-H145</f>
        <v>585183.999999985</v>
      </c>
      <c r="J145" s="470">
        <v>200000</v>
      </c>
      <c r="K145" s="470">
        <v>0.2</v>
      </c>
      <c r="L145" s="470">
        <f t="shared" ref="L134:L192" si="151">I145*K145</f>
        <v>117036.799999997</v>
      </c>
      <c r="M145" s="470">
        <f t="shared" ref="M134:M192" si="152">J145+L145</f>
        <v>317036.799999997</v>
      </c>
      <c r="N145" s="470">
        <f t="shared" ref="N134:N192" si="153">F145+G145+H145+M145</f>
        <v>317036.799999997</v>
      </c>
      <c r="O145" s="470">
        <f t="shared" ref="O134:O192" si="154">E145-N145</f>
        <v>268147.199999988</v>
      </c>
      <c r="P145" s="470">
        <f t="shared" ref="P134:P192" si="155">IF(O145&lt;300000,0.07*O145,21000)</f>
        <v>18770.3039999992</v>
      </c>
      <c r="Q145" s="470">
        <f t="shared" ref="Q134:Q192" si="156">IF((O145-300000)&lt;0,0,IF((O145-300000)&lt;300000,0.11*(O145-300000),33000))</f>
        <v>0</v>
      </c>
      <c r="R145" s="470">
        <f t="shared" ref="R134:R192" si="157">IF((O145-600000)&lt;0,0,IF((O145-600000)&lt;500000,0.15*(O145-600000),75000))</f>
        <v>0</v>
      </c>
      <c r="S145" s="470">
        <f t="shared" ref="S134:S192" si="158">IF((O145-1100000)&lt;0,0,IF((O145-1100000)&lt;500000,0.19*(O145-1100000),95000))</f>
        <v>0</v>
      </c>
      <c r="T145" s="470">
        <f t="shared" ref="T134:T192" si="159">IF((O145-1600000)&lt;0,0,IF((O145-1600000)&lt;1600000,0.21*(O145-1600000),336000))</f>
        <v>0</v>
      </c>
      <c r="U145" s="470"/>
      <c r="V145" s="470">
        <f t="shared" ref="V134:V192" si="160">P145+Q145+R145+S145+T145+U145</f>
        <v>18770.3039999992</v>
      </c>
      <c r="W145" s="471">
        <v>12</v>
      </c>
      <c r="X145" s="470">
        <f t="shared" ref="X134:X192" si="161">V145/W145</f>
        <v>1564.19199999993</v>
      </c>
      <c r="Y145" s="476"/>
      <c r="Z145" s="470">
        <f t="shared" ref="Z134:Z192" si="162">X145</f>
        <v>1564.19199999993</v>
      </c>
      <c r="AA145" s="473">
        <v>35221.9540866667</v>
      </c>
      <c r="AB145" s="473">
        <f t="shared" si="148"/>
        <v>-33657.7620866668</v>
      </c>
      <c r="AC145" s="473"/>
      <c r="AD145" s="473"/>
      <c r="AE145" s="473"/>
    </row>
    <row r="146" ht="18" spans="1:31">
      <c r="A146" s="467">
        <v>124</v>
      </c>
      <c r="B146" s="11" t="s">
        <v>317</v>
      </c>
      <c r="C146" s="470">
        <v>48765.3333333358</v>
      </c>
      <c r="D146" s="469">
        <v>12</v>
      </c>
      <c r="E146" s="470">
        <f t="shared" si="149"/>
        <v>585184.00000003</v>
      </c>
      <c r="F146" s="470"/>
      <c r="G146" s="474"/>
      <c r="H146" s="476"/>
      <c r="I146" s="470">
        <f t="shared" si="150"/>
        <v>585184.00000003</v>
      </c>
      <c r="J146" s="470">
        <v>200000</v>
      </c>
      <c r="K146" s="470">
        <v>0.2</v>
      </c>
      <c r="L146" s="470">
        <f t="shared" si="151"/>
        <v>117036.800000006</v>
      </c>
      <c r="M146" s="470">
        <f t="shared" si="152"/>
        <v>317036.800000006</v>
      </c>
      <c r="N146" s="470">
        <f t="shared" si="153"/>
        <v>317036.800000006</v>
      </c>
      <c r="O146" s="470">
        <f t="shared" si="154"/>
        <v>268147.200000024</v>
      </c>
      <c r="P146" s="470">
        <f t="shared" si="155"/>
        <v>18770.3040000017</v>
      </c>
      <c r="Q146" s="470">
        <f t="shared" si="156"/>
        <v>0</v>
      </c>
      <c r="R146" s="470">
        <f t="shared" si="157"/>
        <v>0</v>
      </c>
      <c r="S146" s="470">
        <f t="shared" si="158"/>
        <v>0</v>
      </c>
      <c r="T146" s="470">
        <f t="shared" si="159"/>
        <v>0</v>
      </c>
      <c r="U146" s="470"/>
      <c r="V146" s="470">
        <f t="shared" si="160"/>
        <v>18770.3040000017</v>
      </c>
      <c r="W146" s="471">
        <v>12</v>
      </c>
      <c r="X146" s="470">
        <f t="shared" si="161"/>
        <v>1564.19200000014</v>
      </c>
      <c r="Y146" s="476"/>
      <c r="Z146" s="470">
        <f t="shared" si="162"/>
        <v>1564.19200000014</v>
      </c>
      <c r="AA146" s="473">
        <v>31749.1752666667</v>
      </c>
      <c r="AB146" s="473">
        <f t="shared" si="148"/>
        <v>-30184.9832666666</v>
      </c>
      <c r="AC146" s="473"/>
      <c r="AD146" s="473"/>
      <c r="AE146" s="473"/>
    </row>
    <row r="147" ht="18" spans="1:31">
      <c r="A147" s="467">
        <v>125</v>
      </c>
      <c r="B147" s="18" t="s">
        <v>319</v>
      </c>
      <c r="C147" s="470">
        <v>48765.3333333321</v>
      </c>
      <c r="D147" s="469">
        <v>12</v>
      </c>
      <c r="E147" s="470">
        <f t="shared" si="149"/>
        <v>585183.999999985</v>
      </c>
      <c r="F147" s="470"/>
      <c r="G147" s="474"/>
      <c r="H147" s="476"/>
      <c r="I147" s="470">
        <f t="shared" si="150"/>
        <v>585183.999999985</v>
      </c>
      <c r="J147" s="470">
        <v>200000</v>
      </c>
      <c r="K147" s="470">
        <v>0.2</v>
      </c>
      <c r="L147" s="470">
        <f t="shared" si="151"/>
        <v>117036.799999997</v>
      </c>
      <c r="M147" s="470">
        <f t="shared" si="152"/>
        <v>317036.799999997</v>
      </c>
      <c r="N147" s="470">
        <f t="shared" si="153"/>
        <v>317036.799999997</v>
      </c>
      <c r="O147" s="470">
        <f t="shared" si="154"/>
        <v>268147.199999988</v>
      </c>
      <c r="P147" s="470">
        <f t="shared" si="155"/>
        <v>18770.3039999992</v>
      </c>
      <c r="Q147" s="470">
        <f t="shared" si="156"/>
        <v>0</v>
      </c>
      <c r="R147" s="470">
        <f t="shared" si="157"/>
        <v>0</v>
      </c>
      <c r="S147" s="470">
        <f t="shared" si="158"/>
        <v>0</v>
      </c>
      <c r="T147" s="470">
        <f t="shared" si="159"/>
        <v>0</v>
      </c>
      <c r="U147" s="470"/>
      <c r="V147" s="470">
        <f t="shared" si="160"/>
        <v>18770.3039999992</v>
      </c>
      <c r="W147" s="471">
        <v>12</v>
      </c>
      <c r="X147" s="470">
        <f t="shared" si="161"/>
        <v>1564.19199999993</v>
      </c>
      <c r="Y147" s="476"/>
      <c r="Z147" s="470">
        <f t="shared" si="162"/>
        <v>1564.19199999993</v>
      </c>
      <c r="AA147" s="473">
        <v>27105.9865626667</v>
      </c>
      <c r="AB147" s="473">
        <f t="shared" si="148"/>
        <v>-25541.7945626668</v>
      </c>
      <c r="AC147" s="473"/>
      <c r="AD147" s="473"/>
      <c r="AE147" s="473"/>
    </row>
    <row r="148" ht="18" spans="1:31">
      <c r="A148" s="467">
        <v>126</v>
      </c>
      <c r="B148" s="11" t="s">
        <v>321</v>
      </c>
      <c r="C148" s="470">
        <v>0</v>
      </c>
      <c r="D148" s="469">
        <v>12</v>
      </c>
      <c r="E148" s="470">
        <f t="shared" si="149"/>
        <v>0</v>
      </c>
      <c r="F148" s="470"/>
      <c r="G148" s="474"/>
      <c r="H148" s="476"/>
      <c r="I148" s="470">
        <f t="shared" si="150"/>
        <v>0</v>
      </c>
      <c r="J148" s="470">
        <v>200000</v>
      </c>
      <c r="K148" s="470">
        <v>0.2</v>
      </c>
      <c r="L148" s="470">
        <f t="shared" si="151"/>
        <v>0</v>
      </c>
      <c r="M148" s="470">
        <f t="shared" si="152"/>
        <v>200000</v>
      </c>
      <c r="N148" s="470">
        <f t="shared" si="153"/>
        <v>200000</v>
      </c>
      <c r="O148" s="470">
        <f t="shared" si="154"/>
        <v>-200000</v>
      </c>
      <c r="P148" s="470">
        <f t="shared" si="155"/>
        <v>-14000</v>
      </c>
      <c r="Q148" s="470">
        <f t="shared" si="156"/>
        <v>0</v>
      </c>
      <c r="R148" s="470">
        <f t="shared" si="157"/>
        <v>0</v>
      </c>
      <c r="S148" s="470">
        <f t="shared" si="158"/>
        <v>0</v>
      </c>
      <c r="T148" s="470">
        <f t="shared" si="159"/>
        <v>0</v>
      </c>
      <c r="U148" s="470"/>
      <c r="V148" s="470">
        <f t="shared" si="160"/>
        <v>-14000</v>
      </c>
      <c r="W148" s="471">
        <v>12</v>
      </c>
      <c r="X148" s="470">
        <f t="shared" si="161"/>
        <v>-1166.66666666667</v>
      </c>
      <c r="Y148" s="476"/>
      <c r="Z148" s="470">
        <f t="shared" si="162"/>
        <v>-1166.66666666667</v>
      </c>
      <c r="AA148" s="473">
        <v>27794.2066266667</v>
      </c>
      <c r="AB148" s="473">
        <f t="shared" si="148"/>
        <v>-28960.8732933334</v>
      </c>
      <c r="AC148" s="473"/>
      <c r="AD148" s="473"/>
      <c r="AE148" s="473"/>
    </row>
    <row r="149" ht="18" spans="1:31">
      <c r="A149" s="467">
        <v>127</v>
      </c>
      <c r="B149" s="11" t="s">
        <v>322</v>
      </c>
      <c r="C149" s="470">
        <v>0</v>
      </c>
      <c r="D149" s="469">
        <v>12</v>
      </c>
      <c r="E149" s="470">
        <f t="shared" si="149"/>
        <v>0</v>
      </c>
      <c r="F149" s="470"/>
      <c r="G149" s="474"/>
      <c r="H149" s="476"/>
      <c r="I149" s="470">
        <f t="shared" si="150"/>
        <v>0</v>
      </c>
      <c r="J149" s="470">
        <v>200000</v>
      </c>
      <c r="K149" s="470">
        <v>0.2</v>
      </c>
      <c r="L149" s="470">
        <f t="shared" si="151"/>
        <v>0</v>
      </c>
      <c r="M149" s="470">
        <f t="shared" si="152"/>
        <v>200000</v>
      </c>
      <c r="N149" s="470">
        <f t="shared" si="153"/>
        <v>200000</v>
      </c>
      <c r="O149" s="470">
        <f t="shared" si="154"/>
        <v>-200000</v>
      </c>
      <c r="P149" s="470">
        <f t="shared" si="155"/>
        <v>-14000</v>
      </c>
      <c r="Q149" s="470">
        <f t="shared" si="156"/>
        <v>0</v>
      </c>
      <c r="R149" s="470">
        <f t="shared" si="157"/>
        <v>0</v>
      </c>
      <c r="S149" s="470">
        <f t="shared" si="158"/>
        <v>0</v>
      </c>
      <c r="T149" s="470">
        <f t="shared" si="159"/>
        <v>0</v>
      </c>
      <c r="U149" s="470"/>
      <c r="V149" s="470">
        <f t="shared" si="160"/>
        <v>-14000</v>
      </c>
      <c r="W149" s="471">
        <v>12</v>
      </c>
      <c r="X149" s="470">
        <f t="shared" si="161"/>
        <v>-1166.66666666667</v>
      </c>
      <c r="Y149" s="476"/>
      <c r="Z149" s="470">
        <f t="shared" si="162"/>
        <v>-1166.66666666667</v>
      </c>
      <c r="AA149" s="473">
        <v>27873.0796866667</v>
      </c>
      <c r="AB149" s="473">
        <f t="shared" si="148"/>
        <v>-29039.7463533334</v>
      </c>
      <c r="AC149" s="473"/>
      <c r="AD149" s="473"/>
      <c r="AE149" s="473"/>
    </row>
    <row r="150" ht="18" spans="1:31">
      <c r="A150" s="467">
        <v>128</v>
      </c>
      <c r="B150" s="11" t="s">
        <v>324</v>
      </c>
      <c r="C150" s="470">
        <v>48765.3333333321</v>
      </c>
      <c r="D150" s="469">
        <v>12</v>
      </c>
      <c r="E150" s="470">
        <f t="shared" si="149"/>
        <v>585183.999999985</v>
      </c>
      <c r="F150" s="470"/>
      <c r="G150" s="474"/>
      <c r="H150" s="476"/>
      <c r="I150" s="470">
        <f t="shared" si="150"/>
        <v>585183.999999985</v>
      </c>
      <c r="J150" s="470">
        <v>200000</v>
      </c>
      <c r="K150" s="470">
        <v>0.2</v>
      </c>
      <c r="L150" s="470">
        <f t="shared" si="151"/>
        <v>117036.799999997</v>
      </c>
      <c r="M150" s="470">
        <f t="shared" si="152"/>
        <v>317036.799999997</v>
      </c>
      <c r="N150" s="470">
        <f t="shared" si="153"/>
        <v>317036.799999997</v>
      </c>
      <c r="O150" s="470">
        <f t="shared" si="154"/>
        <v>268147.199999988</v>
      </c>
      <c r="P150" s="470">
        <f t="shared" si="155"/>
        <v>18770.3039999992</v>
      </c>
      <c r="Q150" s="470">
        <f t="shared" si="156"/>
        <v>0</v>
      </c>
      <c r="R150" s="470">
        <f t="shared" si="157"/>
        <v>0</v>
      </c>
      <c r="S150" s="470">
        <f t="shared" si="158"/>
        <v>0</v>
      </c>
      <c r="T150" s="470">
        <f t="shared" si="159"/>
        <v>0</v>
      </c>
      <c r="U150" s="470"/>
      <c r="V150" s="470">
        <f t="shared" si="160"/>
        <v>18770.3039999992</v>
      </c>
      <c r="W150" s="471">
        <v>12</v>
      </c>
      <c r="X150" s="470">
        <f t="shared" si="161"/>
        <v>1564.19199999993</v>
      </c>
      <c r="Y150" s="476"/>
      <c r="Z150" s="470">
        <f t="shared" si="162"/>
        <v>1564.19199999993</v>
      </c>
      <c r="AA150" s="473">
        <v>27105.9865626667</v>
      </c>
      <c r="AB150" s="473">
        <f t="shared" si="148"/>
        <v>-25541.7945626668</v>
      </c>
      <c r="AC150" s="473"/>
      <c r="AD150" s="473"/>
      <c r="AE150" s="473"/>
    </row>
    <row r="151" ht="18" spans="1:31">
      <c r="A151" s="467">
        <v>129</v>
      </c>
      <c r="B151" s="11" t="s">
        <v>325</v>
      </c>
      <c r="C151" s="470">
        <v>31743.6666666679</v>
      </c>
      <c r="D151" s="469">
        <v>12</v>
      </c>
      <c r="E151" s="470">
        <f t="shared" si="149"/>
        <v>380924.000000015</v>
      </c>
      <c r="F151" s="470"/>
      <c r="G151" s="474"/>
      <c r="H151" s="476"/>
      <c r="I151" s="470">
        <f t="shared" si="150"/>
        <v>380924.000000015</v>
      </c>
      <c r="J151" s="470">
        <v>200000</v>
      </c>
      <c r="K151" s="470">
        <v>0.2</v>
      </c>
      <c r="L151" s="470">
        <f t="shared" si="151"/>
        <v>76184.800000003</v>
      </c>
      <c r="M151" s="470">
        <f t="shared" si="152"/>
        <v>276184.800000003</v>
      </c>
      <c r="N151" s="470">
        <f t="shared" si="153"/>
        <v>276184.800000003</v>
      </c>
      <c r="O151" s="470">
        <f t="shared" si="154"/>
        <v>104739.200000012</v>
      </c>
      <c r="P151" s="470">
        <f t="shared" si="155"/>
        <v>7331.74400000084</v>
      </c>
      <c r="Q151" s="470">
        <f t="shared" si="156"/>
        <v>0</v>
      </c>
      <c r="R151" s="470">
        <f t="shared" si="157"/>
        <v>0</v>
      </c>
      <c r="S151" s="470">
        <f t="shared" si="158"/>
        <v>0</v>
      </c>
      <c r="T151" s="470">
        <f t="shared" si="159"/>
        <v>0</v>
      </c>
      <c r="U151" s="470"/>
      <c r="V151" s="470">
        <f t="shared" si="160"/>
        <v>7331.74400000084</v>
      </c>
      <c r="W151" s="471">
        <v>12</v>
      </c>
      <c r="X151" s="470">
        <f t="shared" si="161"/>
        <v>610.978666666736</v>
      </c>
      <c r="Y151" s="476"/>
      <c r="Z151" s="470">
        <f t="shared" si="162"/>
        <v>610.978666666736</v>
      </c>
      <c r="AA151" s="473">
        <v>22338.4826046667</v>
      </c>
      <c r="AB151" s="473">
        <f t="shared" si="148"/>
        <v>-21727.503938</v>
      </c>
      <c r="AC151" s="473"/>
      <c r="AD151" s="473"/>
      <c r="AE151" s="473"/>
    </row>
    <row r="152" ht="36" spans="1:31">
      <c r="A152" s="467">
        <v>130</v>
      </c>
      <c r="B152" s="11" t="s">
        <v>327</v>
      </c>
      <c r="C152" s="470">
        <v>29265.3333333358</v>
      </c>
      <c r="D152" s="469">
        <v>12</v>
      </c>
      <c r="E152" s="470">
        <f t="shared" si="149"/>
        <v>351184.00000003</v>
      </c>
      <c r="F152" s="470"/>
      <c r="G152" s="474"/>
      <c r="H152" s="476"/>
      <c r="I152" s="470">
        <f t="shared" si="150"/>
        <v>351184.00000003</v>
      </c>
      <c r="J152" s="470">
        <v>200000</v>
      </c>
      <c r="K152" s="470">
        <v>0.2</v>
      </c>
      <c r="L152" s="470">
        <f t="shared" si="151"/>
        <v>70236.800000006</v>
      </c>
      <c r="M152" s="470">
        <f t="shared" si="152"/>
        <v>270236.800000006</v>
      </c>
      <c r="N152" s="470">
        <f t="shared" si="153"/>
        <v>270236.800000006</v>
      </c>
      <c r="O152" s="470">
        <f t="shared" si="154"/>
        <v>80947.2000000238</v>
      </c>
      <c r="P152" s="470">
        <f t="shared" si="155"/>
        <v>5666.30400000167</v>
      </c>
      <c r="Q152" s="470">
        <f t="shared" si="156"/>
        <v>0</v>
      </c>
      <c r="R152" s="470">
        <f t="shared" si="157"/>
        <v>0</v>
      </c>
      <c r="S152" s="470">
        <f t="shared" si="158"/>
        <v>0</v>
      </c>
      <c r="T152" s="470">
        <f t="shared" si="159"/>
        <v>0</v>
      </c>
      <c r="U152" s="470"/>
      <c r="V152" s="470">
        <f t="shared" si="160"/>
        <v>5666.30400000167</v>
      </c>
      <c r="W152" s="471">
        <v>12</v>
      </c>
      <c r="X152" s="470">
        <f t="shared" si="161"/>
        <v>472.192000000139</v>
      </c>
      <c r="Y152" s="476"/>
      <c r="Z152" s="470">
        <f t="shared" si="162"/>
        <v>472.192000000139</v>
      </c>
      <c r="AA152" s="473">
        <v>27105.9865626667</v>
      </c>
      <c r="AB152" s="473">
        <f t="shared" si="148"/>
        <v>-26633.7945626666</v>
      </c>
      <c r="AC152" s="473"/>
      <c r="AD152" s="473"/>
      <c r="AE152" s="473"/>
    </row>
    <row r="153" ht="18" spans="1:31">
      <c r="A153" s="467">
        <v>131</v>
      </c>
      <c r="B153" s="11" t="s">
        <v>329</v>
      </c>
      <c r="C153" s="470">
        <v>31743.6666666679</v>
      </c>
      <c r="D153" s="469">
        <v>12</v>
      </c>
      <c r="E153" s="470">
        <f t="shared" si="149"/>
        <v>380924.000000015</v>
      </c>
      <c r="F153" s="470"/>
      <c r="G153" s="474"/>
      <c r="H153" s="476"/>
      <c r="I153" s="470">
        <f t="shared" si="150"/>
        <v>380924.000000015</v>
      </c>
      <c r="J153" s="470">
        <v>200000</v>
      </c>
      <c r="K153" s="470">
        <v>0.2</v>
      </c>
      <c r="L153" s="470">
        <f t="shared" si="151"/>
        <v>76184.800000003</v>
      </c>
      <c r="M153" s="470">
        <f t="shared" si="152"/>
        <v>276184.800000003</v>
      </c>
      <c r="N153" s="470">
        <f t="shared" si="153"/>
        <v>276184.800000003</v>
      </c>
      <c r="O153" s="470">
        <f t="shared" si="154"/>
        <v>104739.200000012</v>
      </c>
      <c r="P153" s="470">
        <f t="shared" si="155"/>
        <v>7331.74400000084</v>
      </c>
      <c r="Q153" s="470">
        <f t="shared" si="156"/>
        <v>0</v>
      </c>
      <c r="R153" s="470">
        <f t="shared" si="157"/>
        <v>0</v>
      </c>
      <c r="S153" s="470">
        <f t="shared" si="158"/>
        <v>0</v>
      </c>
      <c r="T153" s="470">
        <f t="shared" si="159"/>
        <v>0</v>
      </c>
      <c r="U153" s="470"/>
      <c r="V153" s="470">
        <f t="shared" si="160"/>
        <v>7331.74400000084</v>
      </c>
      <c r="W153" s="471">
        <v>12</v>
      </c>
      <c r="X153" s="470">
        <f t="shared" si="161"/>
        <v>610.978666666736</v>
      </c>
      <c r="Y153" s="476"/>
      <c r="Z153" s="470">
        <f t="shared" si="162"/>
        <v>610.978666666736</v>
      </c>
      <c r="AA153" s="473">
        <v>23036.0123466667</v>
      </c>
      <c r="AB153" s="473">
        <f t="shared" si="148"/>
        <v>-22425.03368</v>
      </c>
      <c r="AC153" s="473"/>
      <c r="AD153" s="473"/>
      <c r="AE153" s="473"/>
    </row>
    <row r="154" ht="18" spans="1:31">
      <c r="A154" s="467">
        <v>132</v>
      </c>
      <c r="B154" s="11" t="s">
        <v>331</v>
      </c>
      <c r="C154" s="470">
        <v>29265.3333333321</v>
      </c>
      <c r="D154" s="469">
        <v>12</v>
      </c>
      <c r="E154" s="470">
        <f t="shared" si="149"/>
        <v>351183.999999985</v>
      </c>
      <c r="F154" s="470"/>
      <c r="G154" s="474"/>
      <c r="H154" s="476"/>
      <c r="I154" s="470">
        <f t="shared" si="150"/>
        <v>351183.999999985</v>
      </c>
      <c r="J154" s="470">
        <v>200000</v>
      </c>
      <c r="K154" s="470">
        <v>0.2</v>
      </c>
      <c r="L154" s="470">
        <f t="shared" si="151"/>
        <v>70236.799999997</v>
      </c>
      <c r="M154" s="470">
        <f t="shared" si="152"/>
        <v>270236.799999997</v>
      </c>
      <c r="N154" s="470">
        <f t="shared" si="153"/>
        <v>270236.799999997</v>
      </c>
      <c r="O154" s="470">
        <f t="shared" si="154"/>
        <v>80947.1999999881</v>
      </c>
      <c r="P154" s="470">
        <f t="shared" si="155"/>
        <v>5666.30399999917</v>
      </c>
      <c r="Q154" s="470">
        <f t="shared" si="156"/>
        <v>0</v>
      </c>
      <c r="R154" s="470">
        <f t="shared" si="157"/>
        <v>0</v>
      </c>
      <c r="S154" s="470">
        <f t="shared" si="158"/>
        <v>0</v>
      </c>
      <c r="T154" s="470">
        <f t="shared" si="159"/>
        <v>0</v>
      </c>
      <c r="U154" s="470"/>
      <c r="V154" s="470">
        <f t="shared" si="160"/>
        <v>5666.30399999917</v>
      </c>
      <c r="W154" s="471">
        <v>12</v>
      </c>
      <c r="X154" s="470">
        <f t="shared" si="161"/>
        <v>472.19199999993</v>
      </c>
      <c r="Y154" s="476"/>
      <c r="Z154" s="470">
        <f t="shared" si="162"/>
        <v>472.19199999993</v>
      </c>
      <c r="AA154" s="473">
        <v>27029.2036746667</v>
      </c>
      <c r="AB154" s="473">
        <f t="shared" si="148"/>
        <v>-26557.0116746668</v>
      </c>
      <c r="AC154" s="473"/>
      <c r="AD154" s="473"/>
      <c r="AE154" s="473"/>
    </row>
    <row r="155" ht="18" spans="1:31">
      <c r="A155" s="467">
        <v>133</v>
      </c>
      <c r="B155" s="11" t="s">
        <v>333</v>
      </c>
      <c r="C155" s="470">
        <v>31743.6666666679</v>
      </c>
      <c r="D155" s="469">
        <v>12</v>
      </c>
      <c r="E155" s="470">
        <f t="shared" si="149"/>
        <v>380924.000000015</v>
      </c>
      <c r="F155" s="470"/>
      <c r="G155" s="474"/>
      <c r="H155" s="476"/>
      <c r="I155" s="470">
        <f t="shared" si="150"/>
        <v>380924.000000015</v>
      </c>
      <c r="J155" s="470">
        <v>200000</v>
      </c>
      <c r="K155" s="470">
        <v>0.2</v>
      </c>
      <c r="L155" s="470">
        <f t="shared" si="151"/>
        <v>76184.800000003</v>
      </c>
      <c r="M155" s="470">
        <f t="shared" si="152"/>
        <v>276184.800000003</v>
      </c>
      <c r="N155" s="470">
        <f t="shared" si="153"/>
        <v>276184.800000003</v>
      </c>
      <c r="O155" s="470">
        <f t="shared" si="154"/>
        <v>104739.200000012</v>
      </c>
      <c r="P155" s="470">
        <f t="shared" si="155"/>
        <v>7331.74400000084</v>
      </c>
      <c r="Q155" s="470">
        <f t="shared" si="156"/>
        <v>0</v>
      </c>
      <c r="R155" s="470">
        <f t="shared" si="157"/>
        <v>0</v>
      </c>
      <c r="S155" s="470">
        <f t="shared" si="158"/>
        <v>0</v>
      </c>
      <c r="T155" s="470">
        <f t="shared" si="159"/>
        <v>0</v>
      </c>
      <c r="U155" s="470"/>
      <c r="V155" s="470">
        <f t="shared" si="160"/>
        <v>7331.74400000084</v>
      </c>
      <c r="W155" s="471">
        <v>12</v>
      </c>
      <c r="X155" s="470">
        <f t="shared" si="161"/>
        <v>610.978666666736</v>
      </c>
      <c r="Y155" s="476"/>
      <c r="Z155" s="470">
        <f t="shared" si="162"/>
        <v>610.978666666736</v>
      </c>
      <c r="AA155" s="473">
        <v>22338.4826046667</v>
      </c>
      <c r="AB155" s="473">
        <f t="shared" si="148"/>
        <v>-21727.503938</v>
      </c>
      <c r="AC155" s="473"/>
      <c r="AD155" s="473"/>
      <c r="AE155" s="473"/>
    </row>
    <row r="156" ht="18" spans="1:31">
      <c r="A156" s="467">
        <v>134</v>
      </c>
      <c r="B156" s="11" t="s">
        <v>334</v>
      </c>
      <c r="C156" s="470">
        <v>29265.3333333321</v>
      </c>
      <c r="D156" s="469">
        <v>12</v>
      </c>
      <c r="E156" s="470">
        <f t="shared" si="149"/>
        <v>351183.999999985</v>
      </c>
      <c r="F156" s="470"/>
      <c r="G156" s="474"/>
      <c r="H156" s="476"/>
      <c r="I156" s="470">
        <f t="shared" si="150"/>
        <v>351183.999999985</v>
      </c>
      <c r="J156" s="470">
        <v>200000</v>
      </c>
      <c r="K156" s="470">
        <v>0.2</v>
      </c>
      <c r="L156" s="470">
        <f t="shared" si="151"/>
        <v>70236.799999997</v>
      </c>
      <c r="M156" s="470">
        <f t="shared" si="152"/>
        <v>270236.799999997</v>
      </c>
      <c r="N156" s="470">
        <f t="shared" si="153"/>
        <v>270236.799999997</v>
      </c>
      <c r="O156" s="470">
        <f t="shared" si="154"/>
        <v>80947.1999999881</v>
      </c>
      <c r="P156" s="470">
        <f t="shared" si="155"/>
        <v>5666.30399999917</v>
      </c>
      <c r="Q156" s="470">
        <f t="shared" si="156"/>
        <v>0</v>
      </c>
      <c r="R156" s="470">
        <f t="shared" si="157"/>
        <v>0</v>
      </c>
      <c r="S156" s="470">
        <f t="shared" si="158"/>
        <v>0</v>
      </c>
      <c r="T156" s="470">
        <f t="shared" si="159"/>
        <v>0</v>
      </c>
      <c r="U156" s="470"/>
      <c r="V156" s="470">
        <f t="shared" si="160"/>
        <v>5666.30399999917</v>
      </c>
      <c r="W156" s="471">
        <v>12</v>
      </c>
      <c r="X156" s="470">
        <f t="shared" si="161"/>
        <v>472.19199999993</v>
      </c>
      <c r="Y156" s="476"/>
      <c r="Z156" s="470">
        <f t="shared" si="162"/>
        <v>472.19199999993</v>
      </c>
      <c r="AA156" s="473">
        <v>21640.9528626667</v>
      </c>
      <c r="AB156" s="473">
        <f t="shared" si="148"/>
        <v>-21168.7608626668</v>
      </c>
      <c r="AC156" s="473"/>
      <c r="AD156" s="473"/>
      <c r="AE156" s="473"/>
    </row>
    <row r="157" ht="18" spans="1:31">
      <c r="A157" s="467">
        <v>135</v>
      </c>
      <c r="B157" s="18" t="s">
        <v>336</v>
      </c>
      <c r="C157" s="470">
        <v>29265.3333333321</v>
      </c>
      <c r="D157" s="469">
        <v>12</v>
      </c>
      <c r="E157" s="470">
        <f t="shared" si="149"/>
        <v>351183.999999985</v>
      </c>
      <c r="F157" s="470"/>
      <c r="G157" s="474"/>
      <c r="H157" s="476"/>
      <c r="I157" s="470">
        <f t="shared" si="150"/>
        <v>351183.999999985</v>
      </c>
      <c r="J157" s="470">
        <v>200000</v>
      </c>
      <c r="K157" s="470">
        <v>0.2</v>
      </c>
      <c r="L157" s="470">
        <f t="shared" si="151"/>
        <v>70236.799999997</v>
      </c>
      <c r="M157" s="470">
        <f t="shared" si="152"/>
        <v>270236.799999997</v>
      </c>
      <c r="N157" s="470">
        <f t="shared" si="153"/>
        <v>270236.799999997</v>
      </c>
      <c r="O157" s="470">
        <f t="shared" si="154"/>
        <v>80947.1999999881</v>
      </c>
      <c r="P157" s="470">
        <f t="shared" si="155"/>
        <v>5666.30399999917</v>
      </c>
      <c r="Q157" s="470">
        <f t="shared" si="156"/>
        <v>0</v>
      </c>
      <c r="R157" s="470">
        <f t="shared" si="157"/>
        <v>0</v>
      </c>
      <c r="S157" s="470">
        <f t="shared" si="158"/>
        <v>0</v>
      </c>
      <c r="T157" s="470">
        <f t="shared" si="159"/>
        <v>0</v>
      </c>
      <c r="U157" s="470"/>
      <c r="V157" s="470">
        <f t="shared" si="160"/>
        <v>5666.30399999917</v>
      </c>
      <c r="W157" s="471">
        <v>12</v>
      </c>
      <c r="X157" s="470">
        <f t="shared" si="161"/>
        <v>472.19199999993</v>
      </c>
      <c r="Y157" s="476"/>
      <c r="Z157" s="470">
        <f t="shared" si="162"/>
        <v>472.19199999993</v>
      </c>
      <c r="AA157" s="473">
        <v>17042.7138666667</v>
      </c>
      <c r="AB157" s="473">
        <f t="shared" si="148"/>
        <v>-16570.5218666668</v>
      </c>
      <c r="AC157" s="473"/>
      <c r="AD157" s="473"/>
      <c r="AE157" s="473"/>
    </row>
    <row r="158" ht="18" spans="1:31">
      <c r="A158" s="467">
        <v>136</v>
      </c>
      <c r="B158" s="18" t="s">
        <v>338</v>
      </c>
      <c r="C158" s="470">
        <v>29265.3333333321</v>
      </c>
      <c r="D158" s="469">
        <v>12</v>
      </c>
      <c r="E158" s="470">
        <f t="shared" si="149"/>
        <v>351183.999999985</v>
      </c>
      <c r="F158" s="470"/>
      <c r="G158" s="474"/>
      <c r="H158" s="476"/>
      <c r="I158" s="470">
        <f t="shared" si="150"/>
        <v>351183.999999985</v>
      </c>
      <c r="J158" s="470">
        <v>200000</v>
      </c>
      <c r="K158" s="470">
        <v>0.2</v>
      </c>
      <c r="L158" s="470">
        <f t="shared" si="151"/>
        <v>70236.799999997</v>
      </c>
      <c r="M158" s="470">
        <f t="shared" si="152"/>
        <v>270236.799999997</v>
      </c>
      <c r="N158" s="470">
        <f t="shared" si="153"/>
        <v>270236.799999997</v>
      </c>
      <c r="O158" s="470">
        <f t="shared" si="154"/>
        <v>80947.1999999881</v>
      </c>
      <c r="P158" s="470">
        <f t="shared" si="155"/>
        <v>5666.30399999917</v>
      </c>
      <c r="Q158" s="470">
        <f t="shared" si="156"/>
        <v>0</v>
      </c>
      <c r="R158" s="470">
        <f t="shared" si="157"/>
        <v>0</v>
      </c>
      <c r="S158" s="470">
        <f t="shared" si="158"/>
        <v>0</v>
      </c>
      <c r="T158" s="470">
        <f t="shared" si="159"/>
        <v>0</v>
      </c>
      <c r="U158" s="470"/>
      <c r="V158" s="470">
        <f t="shared" si="160"/>
        <v>5666.30399999917</v>
      </c>
      <c r="W158" s="471">
        <v>12</v>
      </c>
      <c r="X158" s="470">
        <f t="shared" si="161"/>
        <v>472.19199999993</v>
      </c>
      <c r="Y158" s="476"/>
      <c r="Z158" s="470">
        <f t="shared" si="162"/>
        <v>472.19199999993</v>
      </c>
      <c r="AA158" s="473">
        <v>17042.7138666667</v>
      </c>
      <c r="AB158" s="473">
        <f t="shared" si="148"/>
        <v>-16570.5218666668</v>
      </c>
      <c r="AC158" s="473"/>
      <c r="AD158" s="473"/>
      <c r="AE158" s="473"/>
    </row>
    <row r="159" ht="18" spans="1:31">
      <c r="A159" s="467">
        <v>137</v>
      </c>
      <c r="B159" s="18" t="s">
        <v>343</v>
      </c>
      <c r="C159" s="470">
        <v>24688.666666668</v>
      </c>
      <c r="D159" s="469">
        <v>12</v>
      </c>
      <c r="E159" s="470">
        <f t="shared" si="149"/>
        <v>296264.000000016</v>
      </c>
      <c r="F159" s="470"/>
      <c r="G159" s="474"/>
      <c r="H159" s="476"/>
      <c r="I159" s="470">
        <f t="shared" si="150"/>
        <v>296264.000000016</v>
      </c>
      <c r="J159" s="470">
        <v>200000</v>
      </c>
      <c r="K159" s="470">
        <v>0.2</v>
      </c>
      <c r="L159" s="470">
        <f t="shared" si="151"/>
        <v>59252.8000000033</v>
      </c>
      <c r="M159" s="470">
        <f t="shared" si="152"/>
        <v>259252.800000003</v>
      </c>
      <c r="N159" s="470">
        <f t="shared" si="153"/>
        <v>259252.800000003</v>
      </c>
      <c r="O159" s="470">
        <f t="shared" si="154"/>
        <v>37011.2000000131</v>
      </c>
      <c r="P159" s="470">
        <f t="shared" si="155"/>
        <v>2590.78400000091</v>
      </c>
      <c r="Q159" s="470">
        <f t="shared" si="156"/>
        <v>0</v>
      </c>
      <c r="R159" s="470">
        <f t="shared" si="157"/>
        <v>0</v>
      </c>
      <c r="S159" s="470">
        <f t="shared" si="158"/>
        <v>0</v>
      </c>
      <c r="T159" s="470">
        <f t="shared" si="159"/>
        <v>0</v>
      </c>
      <c r="U159" s="470"/>
      <c r="V159" s="470">
        <f t="shared" si="160"/>
        <v>2590.78400000091</v>
      </c>
      <c r="W159" s="471">
        <v>12</v>
      </c>
      <c r="X159" s="470">
        <f t="shared" si="161"/>
        <v>215.898666666743</v>
      </c>
      <c r="Y159" s="476"/>
      <c r="Z159" s="470">
        <f t="shared" si="162"/>
        <v>215.898666666743</v>
      </c>
      <c r="AA159" s="473">
        <v>17042.7138666667</v>
      </c>
      <c r="AB159" s="473">
        <f t="shared" si="148"/>
        <v>-16826.8152</v>
      </c>
      <c r="AC159" s="473"/>
      <c r="AD159" s="473"/>
      <c r="AE159" s="473"/>
    </row>
    <row r="160" ht="18" spans="1:31">
      <c r="A160" s="467">
        <v>138</v>
      </c>
      <c r="B160" s="18" t="s">
        <v>345</v>
      </c>
      <c r="C160" s="470">
        <v>24688.666666668</v>
      </c>
      <c r="D160" s="469">
        <v>12</v>
      </c>
      <c r="E160" s="470">
        <f t="shared" si="149"/>
        <v>296264.000000016</v>
      </c>
      <c r="F160" s="470"/>
      <c r="G160" s="474"/>
      <c r="H160" s="476"/>
      <c r="I160" s="470">
        <f t="shared" si="150"/>
        <v>296264.000000016</v>
      </c>
      <c r="J160" s="470">
        <v>200000</v>
      </c>
      <c r="K160" s="470">
        <v>0.2</v>
      </c>
      <c r="L160" s="470">
        <f t="shared" si="151"/>
        <v>59252.8000000033</v>
      </c>
      <c r="M160" s="470">
        <f t="shared" si="152"/>
        <v>259252.800000003</v>
      </c>
      <c r="N160" s="470">
        <f t="shared" si="153"/>
        <v>259252.800000003</v>
      </c>
      <c r="O160" s="470">
        <f t="shared" si="154"/>
        <v>37011.2000000131</v>
      </c>
      <c r="P160" s="470">
        <f t="shared" si="155"/>
        <v>2590.78400000091</v>
      </c>
      <c r="Q160" s="470">
        <f t="shared" si="156"/>
        <v>0</v>
      </c>
      <c r="R160" s="470">
        <f t="shared" si="157"/>
        <v>0</v>
      </c>
      <c r="S160" s="470">
        <f t="shared" si="158"/>
        <v>0</v>
      </c>
      <c r="T160" s="470">
        <f t="shared" si="159"/>
        <v>0</v>
      </c>
      <c r="U160" s="470"/>
      <c r="V160" s="470">
        <f t="shared" si="160"/>
        <v>2590.78400000091</v>
      </c>
      <c r="W160" s="471">
        <v>12</v>
      </c>
      <c r="X160" s="470">
        <f t="shared" si="161"/>
        <v>215.898666666743</v>
      </c>
      <c r="Y160" s="476"/>
      <c r="Z160" s="470">
        <f t="shared" si="162"/>
        <v>215.898666666743</v>
      </c>
      <c r="AA160" s="473">
        <v>17572.8850026667</v>
      </c>
      <c r="AB160" s="473">
        <f t="shared" si="148"/>
        <v>-17356.986336</v>
      </c>
      <c r="AC160" s="473"/>
      <c r="AD160" s="473"/>
      <c r="AE160" s="473"/>
    </row>
    <row r="161" ht="18" spans="1:31">
      <c r="A161" s="467">
        <v>139</v>
      </c>
      <c r="B161" s="18" t="s">
        <v>347</v>
      </c>
      <c r="C161" s="470">
        <v>24688.666666668</v>
      </c>
      <c r="D161" s="469">
        <v>12</v>
      </c>
      <c r="E161" s="470">
        <f t="shared" si="149"/>
        <v>296264.000000016</v>
      </c>
      <c r="F161" s="470"/>
      <c r="G161" s="474"/>
      <c r="H161" s="476"/>
      <c r="I161" s="470">
        <f t="shared" si="150"/>
        <v>296264.000000016</v>
      </c>
      <c r="J161" s="470">
        <v>200000</v>
      </c>
      <c r="K161" s="470">
        <v>0.2</v>
      </c>
      <c r="L161" s="470">
        <f t="shared" si="151"/>
        <v>59252.8000000033</v>
      </c>
      <c r="M161" s="470">
        <f t="shared" si="152"/>
        <v>259252.800000003</v>
      </c>
      <c r="N161" s="470">
        <f t="shared" si="153"/>
        <v>259252.800000003</v>
      </c>
      <c r="O161" s="470">
        <f t="shared" si="154"/>
        <v>37011.2000000131</v>
      </c>
      <c r="P161" s="470">
        <f t="shared" si="155"/>
        <v>2590.78400000091</v>
      </c>
      <c r="Q161" s="470">
        <f t="shared" si="156"/>
        <v>0</v>
      </c>
      <c r="R161" s="470">
        <f t="shared" si="157"/>
        <v>0</v>
      </c>
      <c r="S161" s="470">
        <f t="shared" si="158"/>
        <v>0</v>
      </c>
      <c r="T161" s="470">
        <f t="shared" si="159"/>
        <v>0</v>
      </c>
      <c r="U161" s="470"/>
      <c r="V161" s="470">
        <f t="shared" si="160"/>
        <v>2590.78400000091</v>
      </c>
      <c r="W161" s="471">
        <v>12</v>
      </c>
      <c r="X161" s="470">
        <f t="shared" si="161"/>
        <v>215.898666666743</v>
      </c>
      <c r="Y161" s="476"/>
      <c r="Z161" s="470">
        <f t="shared" si="162"/>
        <v>215.898666666743</v>
      </c>
      <c r="AA161" s="473">
        <v>17042.7138666667</v>
      </c>
      <c r="AB161" s="473">
        <f t="shared" si="148"/>
        <v>-16826.8152</v>
      </c>
      <c r="AC161" s="473"/>
      <c r="AD161" s="473"/>
      <c r="AE161" s="473"/>
    </row>
    <row r="162" ht="18" spans="1:31">
      <c r="A162" s="467">
        <v>140</v>
      </c>
      <c r="B162" s="18" t="s">
        <v>349</v>
      </c>
      <c r="C162" s="470">
        <v>24688.666666664</v>
      </c>
      <c r="D162" s="469">
        <v>12</v>
      </c>
      <c r="E162" s="470">
        <f t="shared" si="149"/>
        <v>296263.999999967</v>
      </c>
      <c r="F162" s="470"/>
      <c r="G162" s="474"/>
      <c r="H162" s="476"/>
      <c r="I162" s="470">
        <f t="shared" si="150"/>
        <v>296263.999999967</v>
      </c>
      <c r="J162" s="470">
        <v>200000</v>
      </c>
      <c r="K162" s="470">
        <v>0.2</v>
      </c>
      <c r="L162" s="470">
        <f t="shared" si="151"/>
        <v>59252.7999999935</v>
      </c>
      <c r="M162" s="470">
        <f t="shared" si="152"/>
        <v>259252.799999993</v>
      </c>
      <c r="N162" s="470">
        <f t="shared" si="153"/>
        <v>259252.799999993</v>
      </c>
      <c r="O162" s="470">
        <f t="shared" si="154"/>
        <v>37011.1999999739</v>
      </c>
      <c r="P162" s="470">
        <f t="shared" si="155"/>
        <v>2590.78399999818</v>
      </c>
      <c r="Q162" s="470">
        <f t="shared" si="156"/>
        <v>0</v>
      </c>
      <c r="R162" s="470">
        <f t="shared" si="157"/>
        <v>0</v>
      </c>
      <c r="S162" s="470">
        <f t="shared" si="158"/>
        <v>0</v>
      </c>
      <c r="T162" s="470">
        <f t="shared" si="159"/>
        <v>0</v>
      </c>
      <c r="U162" s="470"/>
      <c r="V162" s="470">
        <f t="shared" si="160"/>
        <v>2590.78399999818</v>
      </c>
      <c r="W162" s="471">
        <v>12</v>
      </c>
      <c r="X162" s="470">
        <f t="shared" si="161"/>
        <v>215.898666666515</v>
      </c>
      <c r="Y162" s="476"/>
      <c r="Z162" s="470">
        <f t="shared" si="162"/>
        <v>215.898666666515</v>
      </c>
      <c r="AA162" s="473">
        <v>10739.3048</v>
      </c>
      <c r="AB162" s="473">
        <f t="shared" si="148"/>
        <v>-10523.4061333335</v>
      </c>
      <c r="AC162" s="473"/>
      <c r="AD162" s="473"/>
      <c r="AE162" s="473"/>
    </row>
    <row r="163" ht="18" spans="1:31">
      <c r="A163" s="467">
        <v>141</v>
      </c>
      <c r="B163" s="18" t="s">
        <v>350</v>
      </c>
      <c r="C163" s="470">
        <v>24688.666666668</v>
      </c>
      <c r="D163" s="469">
        <v>12</v>
      </c>
      <c r="E163" s="470">
        <f t="shared" si="149"/>
        <v>296264.000000016</v>
      </c>
      <c r="F163" s="470"/>
      <c r="G163" s="474"/>
      <c r="H163" s="476"/>
      <c r="I163" s="470">
        <f t="shared" si="150"/>
        <v>296264.000000016</v>
      </c>
      <c r="J163" s="470">
        <v>200000</v>
      </c>
      <c r="K163" s="470">
        <v>0.2</v>
      </c>
      <c r="L163" s="470">
        <f t="shared" si="151"/>
        <v>59252.8000000033</v>
      </c>
      <c r="M163" s="470">
        <f t="shared" si="152"/>
        <v>259252.800000003</v>
      </c>
      <c r="N163" s="470">
        <f t="shared" si="153"/>
        <v>259252.800000003</v>
      </c>
      <c r="O163" s="470">
        <f t="shared" si="154"/>
        <v>37011.2000000131</v>
      </c>
      <c r="P163" s="470">
        <f t="shared" si="155"/>
        <v>2590.78400000091</v>
      </c>
      <c r="Q163" s="470">
        <f t="shared" si="156"/>
        <v>0</v>
      </c>
      <c r="R163" s="470">
        <f t="shared" si="157"/>
        <v>0</v>
      </c>
      <c r="S163" s="470">
        <f t="shared" si="158"/>
        <v>0</v>
      </c>
      <c r="T163" s="470">
        <f t="shared" si="159"/>
        <v>0</v>
      </c>
      <c r="U163" s="470"/>
      <c r="V163" s="470">
        <f t="shared" si="160"/>
        <v>2590.78400000091</v>
      </c>
      <c r="W163" s="471">
        <v>12</v>
      </c>
      <c r="X163" s="470">
        <f t="shared" si="161"/>
        <v>215.898666666743</v>
      </c>
      <c r="Y163" s="476"/>
      <c r="Z163" s="470">
        <f t="shared" si="162"/>
        <v>215.898666666743</v>
      </c>
      <c r="AA163" s="473">
        <v>11232.4576266667</v>
      </c>
      <c r="AB163" s="473">
        <f t="shared" si="148"/>
        <v>-11016.55896</v>
      </c>
      <c r="AC163" s="473"/>
      <c r="AD163" s="473"/>
      <c r="AE163" s="473"/>
    </row>
    <row r="164" ht="15.75" customHeight="1" spans="1:31">
      <c r="A164" s="467">
        <v>142</v>
      </c>
      <c r="B164" s="18" t="s">
        <v>351</v>
      </c>
      <c r="C164" s="470">
        <v>24688.666666668</v>
      </c>
      <c r="D164" s="469">
        <v>12</v>
      </c>
      <c r="E164" s="470">
        <f t="shared" si="149"/>
        <v>296264.000000016</v>
      </c>
      <c r="F164" s="470"/>
      <c r="G164" s="474"/>
      <c r="H164" s="476"/>
      <c r="I164" s="470">
        <f t="shared" si="150"/>
        <v>296264.000000016</v>
      </c>
      <c r="J164" s="470">
        <v>200000</v>
      </c>
      <c r="K164" s="470">
        <v>0.2</v>
      </c>
      <c r="L164" s="470">
        <f t="shared" si="151"/>
        <v>59252.8000000033</v>
      </c>
      <c r="M164" s="470">
        <f t="shared" si="152"/>
        <v>259252.800000003</v>
      </c>
      <c r="N164" s="470">
        <f t="shared" si="153"/>
        <v>259252.800000003</v>
      </c>
      <c r="O164" s="470">
        <f t="shared" si="154"/>
        <v>37011.2000000131</v>
      </c>
      <c r="P164" s="470">
        <f t="shared" si="155"/>
        <v>2590.78400000091</v>
      </c>
      <c r="Q164" s="470">
        <f t="shared" si="156"/>
        <v>0</v>
      </c>
      <c r="R164" s="470">
        <f t="shared" si="157"/>
        <v>0</v>
      </c>
      <c r="S164" s="470">
        <f t="shared" si="158"/>
        <v>0</v>
      </c>
      <c r="T164" s="470">
        <f t="shared" si="159"/>
        <v>0</v>
      </c>
      <c r="U164" s="470"/>
      <c r="V164" s="470">
        <f t="shared" si="160"/>
        <v>2590.78400000091</v>
      </c>
      <c r="W164" s="471">
        <v>12</v>
      </c>
      <c r="X164" s="470">
        <f t="shared" si="161"/>
        <v>215.898666666743</v>
      </c>
      <c r="Y164" s="476"/>
      <c r="Z164" s="470">
        <f t="shared" si="162"/>
        <v>215.898666666743</v>
      </c>
      <c r="AA164" s="473">
        <v>10776.4576266667</v>
      </c>
      <c r="AB164" s="473">
        <f t="shared" si="148"/>
        <v>-10560.55896</v>
      </c>
      <c r="AC164" s="473"/>
      <c r="AD164" s="473"/>
      <c r="AE164" s="473"/>
    </row>
    <row r="165" ht="18" spans="1:31">
      <c r="A165" s="467">
        <v>143</v>
      </c>
      <c r="B165" s="18" t="s">
        <v>353</v>
      </c>
      <c r="C165" s="470">
        <v>24688.666666668</v>
      </c>
      <c r="D165" s="469">
        <v>12</v>
      </c>
      <c r="E165" s="470">
        <f t="shared" si="149"/>
        <v>296264.000000016</v>
      </c>
      <c r="F165" s="470"/>
      <c r="G165" s="474"/>
      <c r="H165" s="476"/>
      <c r="I165" s="470">
        <f t="shared" si="150"/>
        <v>296264.000000016</v>
      </c>
      <c r="J165" s="470">
        <v>200000</v>
      </c>
      <c r="K165" s="470">
        <v>0.2</v>
      </c>
      <c r="L165" s="470">
        <f t="shared" si="151"/>
        <v>59252.8000000033</v>
      </c>
      <c r="M165" s="470">
        <f t="shared" si="152"/>
        <v>259252.800000003</v>
      </c>
      <c r="N165" s="470">
        <f t="shared" si="153"/>
        <v>259252.800000003</v>
      </c>
      <c r="O165" s="470">
        <f t="shared" si="154"/>
        <v>37011.2000000131</v>
      </c>
      <c r="P165" s="470">
        <f t="shared" si="155"/>
        <v>2590.78400000091</v>
      </c>
      <c r="Q165" s="470">
        <f t="shared" si="156"/>
        <v>0</v>
      </c>
      <c r="R165" s="470">
        <f t="shared" si="157"/>
        <v>0</v>
      </c>
      <c r="S165" s="470">
        <f t="shared" si="158"/>
        <v>0</v>
      </c>
      <c r="T165" s="470">
        <f t="shared" si="159"/>
        <v>0</v>
      </c>
      <c r="U165" s="470"/>
      <c r="V165" s="470">
        <f t="shared" si="160"/>
        <v>2590.78400000091</v>
      </c>
      <c r="W165" s="471">
        <v>12</v>
      </c>
      <c r="X165" s="470">
        <f t="shared" si="161"/>
        <v>215.898666666743</v>
      </c>
      <c r="Y165" s="476"/>
      <c r="Z165" s="470">
        <f t="shared" si="162"/>
        <v>215.898666666743</v>
      </c>
      <c r="AA165" s="473">
        <v>10739.3048</v>
      </c>
      <c r="AB165" s="473">
        <f t="shared" si="148"/>
        <v>-10523.4061333333</v>
      </c>
      <c r="AC165" s="473"/>
      <c r="AD165" s="473"/>
      <c r="AE165" s="473"/>
    </row>
    <row r="166" ht="18" spans="1:31">
      <c r="A166" s="467">
        <v>144</v>
      </c>
      <c r="B166" s="11" t="s">
        <v>359</v>
      </c>
      <c r="C166" s="470">
        <v>21045.333333332</v>
      </c>
      <c r="D166" s="469">
        <v>12</v>
      </c>
      <c r="E166" s="470">
        <f t="shared" si="149"/>
        <v>252543.999999984</v>
      </c>
      <c r="F166" s="470"/>
      <c r="G166" s="474"/>
      <c r="H166" s="476"/>
      <c r="I166" s="470">
        <f t="shared" si="150"/>
        <v>252543.999999984</v>
      </c>
      <c r="J166" s="470">
        <v>200000</v>
      </c>
      <c r="K166" s="470">
        <v>0.2</v>
      </c>
      <c r="L166" s="470">
        <f t="shared" si="151"/>
        <v>50508.7999999967</v>
      </c>
      <c r="M166" s="470">
        <f t="shared" si="152"/>
        <v>250508.799999997</v>
      </c>
      <c r="N166" s="470">
        <f t="shared" si="153"/>
        <v>250508.799999997</v>
      </c>
      <c r="O166" s="470">
        <f t="shared" si="154"/>
        <v>2035.19999998697</v>
      </c>
      <c r="P166" s="470">
        <f t="shared" si="155"/>
        <v>142.463999999088</v>
      </c>
      <c r="Q166" s="470">
        <f t="shared" si="156"/>
        <v>0</v>
      </c>
      <c r="R166" s="470">
        <f t="shared" si="157"/>
        <v>0</v>
      </c>
      <c r="S166" s="470">
        <f t="shared" si="158"/>
        <v>0</v>
      </c>
      <c r="T166" s="470">
        <f t="shared" si="159"/>
        <v>0</v>
      </c>
      <c r="U166" s="470"/>
      <c r="V166" s="470">
        <f t="shared" si="160"/>
        <v>142.463999999088</v>
      </c>
      <c r="W166" s="471">
        <v>12</v>
      </c>
      <c r="X166" s="470">
        <f t="shared" si="161"/>
        <v>11.871999999924</v>
      </c>
      <c r="Y166" s="476"/>
      <c r="Z166" s="470">
        <f t="shared" si="162"/>
        <v>11.871999999924</v>
      </c>
      <c r="AA166" s="473">
        <v>10776.4576266667</v>
      </c>
      <c r="AB166" s="473">
        <f t="shared" si="148"/>
        <v>-10764.5856266668</v>
      </c>
      <c r="AC166" s="473"/>
      <c r="AD166" s="473"/>
      <c r="AE166" s="473"/>
    </row>
    <row r="167" ht="18" spans="1:31">
      <c r="A167" s="467">
        <v>145</v>
      </c>
      <c r="B167" s="11" t="s">
        <v>362</v>
      </c>
      <c r="C167" s="470">
        <v>21045.333333332</v>
      </c>
      <c r="D167" s="469">
        <v>12</v>
      </c>
      <c r="E167" s="470">
        <f t="shared" si="149"/>
        <v>252543.999999984</v>
      </c>
      <c r="F167" s="470"/>
      <c r="G167" s="474"/>
      <c r="H167" s="476"/>
      <c r="I167" s="470">
        <f t="shared" si="150"/>
        <v>252543.999999984</v>
      </c>
      <c r="J167" s="470">
        <v>200000</v>
      </c>
      <c r="K167" s="470">
        <v>0.2</v>
      </c>
      <c r="L167" s="470">
        <f t="shared" si="151"/>
        <v>50508.7999999967</v>
      </c>
      <c r="M167" s="470">
        <f t="shared" si="152"/>
        <v>250508.799999997</v>
      </c>
      <c r="N167" s="470">
        <f t="shared" si="153"/>
        <v>250508.799999997</v>
      </c>
      <c r="O167" s="470">
        <f t="shared" si="154"/>
        <v>2035.19999998697</v>
      </c>
      <c r="P167" s="470">
        <f t="shared" si="155"/>
        <v>142.463999999088</v>
      </c>
      <c r="Q167" s="470">
        <f t="shared" si="156"/>
        <v>0</v>
      </c>
      <c r="R167" s="470">
        <f t="shared" si="157"/>
        <v>0</v>
      </c>
      <c r="S167" s="470">
        <f t="shared" si="158"/>
        <v>0</v>
      </c>
      <c r="T167" s="470">
        <f t="shared" si="159"/>
        <v>0</v>
      </c>
      <c r="U167" s="470"/>
      <c r="V167" s="470">
        <f t="shared" si="160"/>
        <v>142.463999999088</v>
      </c>
      <c r="W167" s="471">
        <v>12</v>
      </c>
      <c r="X167" s="470">
        <f t="shared" si="161"/>
        <v>11.871999999924</v>
      </c>
      <c r="Y167" s="476"/>
      <c r="Z167" s="470">
        <f t="shared" si="162"/>
        <v>11.871999999924</v>
      </c>
      <c r="AA167" s="473">
        <v>11232.4576266667</v>
      </c>
      <c r="AB167" s="473">
        <f t="shared" si="148"/>
        <v>-11220.5856266668</v>
      </c>
      <c r="AC167" s="473"/>
      <c r="AD167" s="473"/>
      <c r="AE167" s="473"/>
    </row>
    <row r="168" ht="18" spans="1:31">
      <c r="A168" s="467">
        <v>146</v>
      </c>
      <c r="B168" s="11" t="s">
        <v>666</v>
      </c>
      <c r="C168" s="470">
        <v>21045.333333332</v>
      </c>
      <c r="D168" s="469">
        <v>12</v>
      </c>
      <c r="E168" s="470">
        <f t="shared" si="149"/>
        <v>252543.999999984</v>
      </c>
      <c r="F168" s="470"/>
      <c r="G168" s="474"/>
      <c r="H168" s="476"/>
      <c r="I168" s="470">
        <f t="shared" si="150"/>
        <v>252543.999999984</v>
      </c>
      <c r="J168" s="470">
        <v>200000</v>
      </c>
      <c r="K168" s="470">
        <v>0.2</v>
      </c>
      <c r="L168" s="470">
        <f t="shared" si="151"/>
        <v>50508.7999999967</v>
      </c>
      <c r="M168" s="470">
        <f t="shared" si="152"/>
        <v>250508.799999997</v>
      </c>
      <c r="N168" s="470">
        <f t="shared" si="153"/>
        <v>250508.799999997</v>
      </c>
      <c r="O168" s="470">
        <f t="shared" si="154"/>
        <v>2035.19999998697</v>
      </c>
      <c r="P168" s="470">
        <f t="shared" si="155"/>
        <v>142.463999999088</v>
      </c>
      <c r="Q168" s="470">
        <f t="shared" si="156"/>
        <v>0</v>
      </c>
      <c r="R168" s="470">
        <f t="shared" si="157"/>
        <v>0</v>
      </c>
      <c r="S168" s="470">
        <f t="shared" si="158"/>
        <v>0</v>
      </c>
      <c r="T168" s="470">
        <f t="shared" si="159"/>
        <v>0</v>
      </c>
      <c r="U168" s="470"/>
      <c r="V168" s="470">
        <f t="shared" si="160"/>
        <v>142.463999999088</v>
      </c>
      <c r="W168" s="471">
        <v>12</v>
      </c>
      <c r="X168" s="470">
        <f t="shared" si="161"/>
        <v>11.871999999924</v>
      </c>
      <c r="Y168" s="476"/>
      <c r="Z168" s="470">
        <f t="shared" si="162"/>
        <v>11.871999999924</v>
      </c>
      <c r="AA168" s="473">
        <v>10776.4576266667</v>
      </c>
      <c r="AB168" s="473">
        <f t="shared" si="148"/>
        <v>-10764.5856266668</v>
      </c>
      <c r="AC168" s="473"/>
      <c r="AD168" s="473"/>
      <c r="AE168" s="473"/>
    </row>
    <row r="169" ht="18" spans="1:31">
      <c r="A169" s="467">
        <v>147</v>
      </c>
      <c r="B169" s="11" t="s">
        <v>363</v>
      </c>
      <c r="C169" s="470">
        <v>21045.333333332</v>
      </c>
      <c r="D169" s="469">
        <v>12</v>
      </c>
      <c r="E169" s="470">
        <f t="shared" si="149"/>
        <v>252543.999999984</v>
      </c>
      <c r="F169" s="470"/>
      <c r="G169" s="474"/>
      <c r="H169" s="476"/>
      <c r="I169" s="470">
        <f t="shared" si="150"/>
        <v>252543.999999984</v>
      </c>
      <c r="J169" s="470">
        <v>200000</v>
      </c>
      <c r="K169" s="470">
        <v>0.2</v>
      </c>
      <c r="L169" s="470">
        <f t="shared" si="151"/>
        <v>50508.7999999967</v>
      </c>
      <c r="M169" s="470">
        <f t="shared" si="152"/>
        <v>250508.799999997</v>
      </c>
      <c r="N169" s="470">
        <f t="shared" si="153"/>
        <v>250508.799999997</v>
      </c>
      <c r="O169" s="470">
        <f t="shared" si="154"/>
        <v>2035.19999998697</v>
      </c>
      <c r="P169" s="470">
        <f t="shared" si="155"/>
        <v>142.463999999088</v>
      </c>
      <c r="Q169" s="470">
        <f t="shared" si="156"/>
        <v>0</v>
      </c>
      <c r="R169" s="470">
        <f t="shared" si="157"/>
        <v>0</v>
      </c>
      <c r="S169" s="470">
        <f t="shared" si="158"/>
        <v>0</v>
      </c>
      <c r="T169" s="470">
        <f t="shared" si="159"/>
        <v>0</v>
      </c>
      <c r="U169" s="470"/>
      <c r="V169" s="470">
        <f t="shared" si="160"/>
        <v>142.463999999088</v>
      </c>
      <c r="W169" s="471">
        <v>12</v>
      </c>
      <c r="X169" s="470">
        <f t="shared" si="161"/>
        <v>11.871999999924</v>
      </c>
      <c r="Y169" s="476"/>
      <c r="Z169" s="470">
        <f t="shared" si="162"/>
        <v>11.871999999924</v>
      </c>
      <c r="AA169" s="473">
        <v>11232.4576266667</v>
      </c>
      <c r="AB169" s="473">
        <f t="shared" si="148"/>
        <v>-11220.5856266668</v>
      </c>
      <c r="AC169" s="473"/>
      <c r="AD169" s="473"/>
      <c r="AE169" s="473"/>
    </row>
    <row r="170" ht="18" spans="1:31">
      <c r="A170" s="467">
        <v>148</v>
      </c>
      <c r="B170" s="11" t="s">
        <v>364</v>
      </c>
      <c r="C170" s="470">
        <v>21045.333333332</v>
      </c>
      <c r="D170" s="469">
        <v>12</v>
      </c>
      <c r="E170" s="470">
        <f t="shared" si="149"/>
        <v>252543.999999984</v>
      </c>
      <c r="F170" s="470"/>
      <c r="G170" s="474"/>
      <c r="H170" s="476"/>
      <c r="I170" s="470">
        <f t="shared" si="150"/>
        <v>252543.999999984</v>
      </c>
      <c r="J170" s="470">
        <v>200000</v>
      </c>
      <c r="K170" s="470">
        <v>0.2</v>
      </c>
      <c r="L170" s="470">
        <f t="shared" si="151"/>
        <v>50508.7999999967</v>
      </c>
      <c r="M170" s="470">
        <f t="shared" si="152"/>
        <v>250508.799999997</v>
      </c>
      <c r="N170" s="470">
        <f t="shared" si="153"/>
        <v>250508.799999997</v>
      </c>
      <c r="O170" s="470">
        <f t="shared" si="154"/>
        <v>2035.19999998697</v>
      </c>
      <c r="P170" s="470">
        <f t="shared" si="155"/>
        <v>142.463999999088</v>
      </c>
      <c r="Q170" s="470">
        <f t="shared" si="156"/>
        <v>0</v>
      </c>
      <c r="R170" s="470">
        <f t="shared" si="157"/>
        <v>0</v>
      </c>
      <c r="S170" s="470">
        <f t="shared" si="158"/>
        <v>0</v>
      </c>
      <c r="T170" s="470">
        <f t="shared" si="159"/>
        <v>0</v>
      </c>
      <c r="U170" s="470"/>
      <c r="V170" s="470">
        <f t="shared" si="160"/>
        <v>142.463999999088</v>
      </c>
      <c r="W170" s="471">
        <v>12</v>
      </c>
      <c r="X170" s="470">
        <f t="shared" si="161"/>
        <v>11.871999999924</v>
      </c>
      <c r="Y170" s="476"/>
      <c r="Z170" s="470">
        <f t="shared" si="162"/>
        <v>11.871999999924</v>
      </c>
      <c r="AA170" s="473">
        <v>10776.4576266667</v>
      </c>
      <c r="AB170" s="473">
        <f t="shared" si="148"/>
        <v>-10764.5856266668</v>
      </c>
      <c r="AC170" s="473"/>
      <c r="AD170" s="473"/>
      <c r="AE170" s="473"/>
    </row>
    <row r="171" ht="18" spans="1:31">
      <c r="A171" s="467">
        <v>149</v>
      </c>
      <c r="B171" s="11" t="s">
        <v>365</v>
      </c>
      <c r="C171" s="470">
        <v>21045.333333336</v>
      </c>
      <c r="D171" s="469">
        <v>12</v>
      </c>
      <c r="E171" s="470">
        <f t="shared" si="149"/>
        <v>252544.000000033</v>
      </c>
      <c r="F171" s="470"/>
      <c r="G171" s="474"/>
      <c r="H171" s="476"/>
      <c r="I171" s="470">
        <f t="shared" si="150"/>
        <v>252544.000000033</v>
      </c>
      <c r="J171" s="470">
        <v>200000</v>
      </c>
      <c r="K171" s="470">
        <v>0.2</v>
      </c>
      <c r="L171" s="470">
        <f t="shared" si="151"/>
        <v>50508.8000000065</v>
      </c>
      <c r="M171" s="470">
        <f t="shared" si="152"/>
        <v>250508.800000007</v>
      </c>
      <c r="N171" s="470">
        <f t="shared" si="153"/>
        <v>250508.800000007</v>
      </c>
      <c r="O171" s="470">
        <f t="shared" si="154"/>
        <v>2035.20000002609</v>
      </c>
      <c r="P171" s="470">
        <f t="shared" si="155"/>
        <v>142.464000001826</v>
      </c>
      <c r="Q171" s="470">
        <f t="shared" si="156"/>
        <v>0</v>
      </c>
      <c r="R171" s="470">
        <f t="shared" si="157"/>
        <v>0</v>
      </c>
      <c r="S171" s="470">
        <f t="shared" si="158"/>
        <v>0</v>
      </c>
      <c r="T171" s="470">
        <f t="shared" si="159"/>
        <v>0</v>
      </c>
      <c r="U171" s="470"/>
      <c r="V171" s="470">
        <f t="shared" si="160"/>
        <v>142.464000001826</v>
      </c>
      <c r="W171" s="471">
        <v>12</v>
      </c>
      <c r="X171" s="470">
        <f t="shared" si="161"/>
        <v>11.8720000001522</v>
      </c>
      <c r="Y171" s="476"/>
      <c r="Z171" s="470">
        <f t="shared" si="162"/>
        <v>11.8720000001522</v>
      </c>
      <c r="AA171" s="473">
        <v>10776.4576266667</v>
      </c>
      <c r="AB171" s="473">
        <f t="shared" si="148"/>
        <v>-10764.5856266665</v>
      </c>
      <c r="AC171" s="473"/>
      <c r="AD171" s="473"/>
      <c r="AE171" s="473"/>
    </row>
    <row r="172" ht="18" spans="1:31">
      <c r="A172" s="467">
        <v>150</v>
      </c>
      <c r="B172" s="11" t="s">
        <v>367</v>
      </c>
      <c r="C172" s="470">
        <v>21045.333333336</v>
      </c>
      <c r="D172" s="469">
        <v>12</v>
      </c>
      <c r="E172" s="470">
        <f t="shared" si="149"/>
        <v>252544.000000033</v>
      </c>
      <c r="F172" s="470"/>
      <c r="G172" s="474"/>
      <c r="H172" s="476"/>
      <c r="I172" s="470">
        <f t="shared" si="150"/>
        <v>252544.000000033</v>
      </c>
      <c r="J172" s="470">
        <v>200000</v>
      </c>
      <c r="K172" s="470">
        <v>0.2</v>
      </c>
      <c r="L172" s="470">
        <f t="shared" si="151"/>
        <v>50508.8000000065</v>
      </c>
      <c r="M172" s="470">
        <f t="shared" si="152"/>
        <v>250508.800000007</v>
      </c>
      <c r="N172" s="470">
        <f t="shared" si="153"/>
        <v>250508.800000007</v>
      </c>
      <c r="O172" s="470">
        <f t="shared" si="154"/>
        <v>2035.20000002609</v>
      </c>
      <c r="P172" s="470">
        <f t="shared" si="155"/>
        <v>142.464000001826</v>
      </c>
      <c r="Q172" s="470">
        <f t="shared" si="156"/>
        <v>0</v>
      </c>
      <c r="R172" s="470">
        <f t="shared" si="157"/>
        <v>0</v>
      </c>
      <c r="S172" s="470">
        <f t="shared" si="158"/>
        <v>0</v>
      </c>
      <c r="T172" s="470">
        <f t="shared" si="159"/>
        <v>0</v>
      </c>
      <c r="U172" s="470"/>
      <c r="V172" s="470">
        <f t="shared" si="160"/>
        <v>142.464000001826</v>
      </c>
      <c r="W172" s="471">
        <v>12</v>
      </c>
      <c r="X172" s="470">
        <f t="shared" si="161"/>
        <v>11.8720000001522</v>
      </c>
      <c r="Y172" s="476"/>
      <c r="Z172" s="470">
        <f t="shared" si="162"/>
        <v>11.8720000001522</v>
      </c>
      <c r="AA172" s="473">
        <v>11232.4576266667</v>
      </c>
      <c r="AB172" s="473">
        <f t="shared" si="148"/>
        <v>-11220.5856266665</v>
      </c>
      <c r="AC172" s="473"/>
      <c r="AD172" s="473"/>
      <c r="AE172" s="473"/>
    </row>
    <row r="173" ht="18" spans="1:31">
      <c r="A173" s="467">
        <v>151</v>
      </c>
      <c r="B173" s="14" t="s">
        <v>368</v>
      </c>
      <c r="C173" s="470">
        <v>21045.333333336</v>
      </c>
      <c r="D173" s="469">
        <v>12</v>
      </c>
      <c r="E173" s="470">
        <f t="shared" si="149"/>
        <v>252544.000000033</v>
      </c>
      <c r="F173" s="470"/>
      <c r="G173" s="474"/>
      <c r="H173" s="476"/>
      <c r="I173" s="470">
        <f t="shared" si="150"/>
        <v>252544.000000033</v>
      </c>
      <c r="J173" s="470">
        <v>200000</v>
      </c>
      <c r="K173" s="470">
        <v>0.2</v>
      </c>
      <c r="L173" s="470">
        <f t="shared" si="151"/>
        <v>50508.8000000065</v>
      </c>
      <c r="M173" s="470">
        <f t="shared" si="152"/>
        <v>250508.800000007</v>
      </c>
      <c r="N173" s="470">
        <f t="shared" si="153"/>
        <v>250508.800000007</v>
      </c>
      <c r="O173" s="470">
        <f t="shared" si="154"/>
        <v>2035.20000002609</v>
      </c>
      <c r="P173" s="470">
        <f t="shared" si="155"/>
        <v>142.464000001826</v>
      </c>
      <c r="Q173" s="470">
        <f t="shared" si="156"/>
        <v>0</v>
      </c>
      <c r="R173" s="470">
        <f t="shared" si="157"/>
        <v>0</v>
      </c>
      <c r="S173" s="470">
        <f t="shared" si="158"/>
        <v>0</v>
      </c>
      <c r="T173" s="470">
        <f t="shared" si="159"/>
        <v>0</v>
      </c>
      <c r="U173" s="470"/>
      <c r="V173" s="470">
        <f t="shared" si="160"/>
        <v>142.464000001826</v>
      </c>
      <c r="W173" s="471">
        <v>12</v>
      </c>
      <c r="X173" s="470">
        <f t="shared" si="161"/>
        <v>11.8720000001522</v>
      </c>
      <c r="Y173" s="476"/>
      <c r="Z173" s="470">
        <f t="shared" si="162"/>
        <v>11.8720000001522</v>
      </c>
      <c r="AA173" s="473">
        <v>9152.59979</v>
      </c>
      <c r="AB173" s="473">
        <f t="shared" si="148"/>
        <v>-9140.72778999985</v>
      </c>
      <c r="AC173" s="473"/>
      <c r="AD173" s="473"/>
      <c r="AE173" s="473"/>
    </row>
    <row r="174" ht="18" spans="1:31">
      <c r="A174" s="467">
        <v>152</v>
      </c>
      <c r="B174" s="11" t="s">
        <v>369</v>
      </c>
      <c r="C174" s="470">
        <v>21045.333333336</v>
      </c>
      <c r="D174" s="469">
        <v>12</v>
      </c>
      <c r="E174" s="470">
        <f t="shared" si="149"/>
        <v>252544.000000033</v>
      </c>
      <c r="F174" s="470"/>
      <c r="G174" s="474"/>
      <c r="H174" s="476"/>
      <c r="I174" s="470">
        <f t="shared" si="150"/>
        <v>252544.000000033</v>
      </c>
      <c r="J174" s="470">
        <v>200000</v>
      </c>
      <c r="K174" s="470">
        <v>0.2</v>
      </c>
      <c r="L174" s="470">
        <f t="shared" si="151"/>
        <v>50508.8000000065</v>
      </c>
      <c r="M174" s="470">
        <f t="shared" si="152"/>
        <v>250508.800000007</v>
      </c>
      <c r="N174" s="470">
        <f t="shared" si="153"/>
        <v>250508.800000007</v>
      </c>
      <c r="O174" s="470">
        <f t="shared" si="154"/>
        <v>2035.20000002609</v>
      </c>
      <c r="P174" s="470">
        <f t="shared" si="155"/>
        <v>142.464000001826</v>
      </c>
      <c r="Q174" s="470">
        <f t="shared" si="156"/>
        <v>0</v>
      </c>
      <c r="R174" s="470">
        <f t="shared" si="157"/>
        <v>0</v>
      </c>
      <c r="S174" s="470">
        <f t="shared" si="158"/>
        <v>0</v>
      </c>
      <c r="T174" s="470">
        <f t="shared" si="159"/>
        <v>0</v>
      </c>
      <c r="U174" s="470"/>
      <c r="V174" s="470">
        <f t="shared" si="160"/>
        <v>142.464000001826</v>
      </c>
      <c r="W174" s="471">
        <v>12</v>
      </c>
      <c r="X174" s="470">
        <f t="shared" si="161"/>
        <v>11.8720000001522</v>
      </c>
      <c r="Y174" s="476"/>
      <c r="Z174" s="470">
        <f t="shared" si="162"/>
        <v>11.8720000001522</v>
      </c>
      <c r="AA174" s="473">
        <v>9152.59979</v>
      </c>
      <c r="AB174" s="473">
        <f t="shared" si="148"/>
        <v>-9140.72778999985</v>
      </c>
      <c r="AC174" s="473"/>
      <c r="AD174" s="473"/>
      <c r="AE174" s="473"/>
    </row>
    <row r="175" ht="18" spans="1:31">
      <c r="A175" s="467">
        <v>153</v>
      </c>
      <c r="B175" s="18" t="s">
        <v>370</v>
      </c>
      <c r="C175" s="470">
        <v>21045.333333336</v>
      </c>
      <c r="D175" s="469">
        <v>12</v>
      </c>
      <c r="E175" s="470">
        <f t="shared" si="149"/>
        <v>252544.000000033</v>
      </c>
      <c r="F175" s="470"/>
      <c r="G175" s="474"/>
      <c r="H175" s="476"/>
      <c r="I175" s="470">
        <f t="shared" si="150"/>
        <v>252544.000000033</v>
      </c>
      <c r="J175" s="470">
        <v>200000</v>
      </c>
      <c r="K175" s="470">
        <v>0.2</v>
      </c>
      <c r="L175" s="470">
        <f t="shared" si="151"/>
        <v>50508.8000000065</v>
      </c>
      <c r="M175" s="470">
        <f t="shared" si="152"/>
        <v>250508.800000007</v>
      </c>
      <c r="N175" s="470">
        <f t="shared" si="153"/>
        <v>250508.800000007</v>
      </c>
      <c r="O175" s="470">
        <f t="shared" si="154"/>
        <v>2035.20000002609</v>
      </c>
      <c r="P175" s="470">
        <f t="shared" si="155"/>
        <v>142.464000001826</v>
      </c>
      <c r="Q175" s="470">
        <f t="shared" si="156"/>
        <v>0</v>
      </c>
      <c r="R175" s="470">
        <f t="shared" si="157"/>
        <v>0</v>
      </c>
      <c r="S175" s="470">
        <f t="shared" si="158"/>
        <v>0</v>
      </c>
      <c r="T175" s="470">
        <f t="shared" si="159"/>
        <v>0</v>
      </c>
      <c r="U175" s="470"/>
      <c r="V175" s="470">
        <f t="shared" si="160"/>
        <v>142.464000001826</v>
      </c>
      <c r="W175" s="471">
        <v>12</v>
      </c>
      <c r="X175" s="470">
        <f t="shared" si="161"/>
        <v>11.8720000001522</v>
      </c>
      <c r="Y175" s="476"/>
      <c r="Z175" s="470">
        <f t="shared" si="162"/>
        <v>11.8720000001522</v>
      </c>
      <c r="AA175" s="473">
        <v>9504.20414</v>
      </c>
      <c r="AB175" s="473">
        <f t="shared" si="148"/>
        <v>-9492.33213999985</v>
      </c>
      <c r="AC175" s="473"/>
      <c r="AD175" s="473"/>
      <c r="AE175" s="473"/>
    </row>
    <row r="176" ht="29.25" customHeight="1" spans="1:31">
      <c r="A176" s="467">
        <v>154</v>
      </c>
      <c r="B176" s="18" t="s">
        <v>357</v>
      </c>
      <c r="C176" s="470">
        <v>21045.333333336</v>
      </c>
      <c r="D176" s="469">
        <v>12</v>
      </c>
      <c r="E176" s="470">
        <f t="shared" si="149"/>
        <v>252544.000000033</v>
      </c>
      <c r="F176" s="470"/>
      <c r="G176" s="474"/>
      <c r="H176" s="476"/>
      <c r="I176" s="470">
        <f t="shared" si="150"/>
        <v>252544.000000033</v>
      </c>
      <c r="J176" s="470">
        <v>200000</v>
      </c>
      <c r="K176" s="470">
        <v>0.2</v>
      </c>
      <c r="L176" s="470">
        <f t="shared" si="151"/>
        <v>50508.8000000065</v>
      </c>
      <c r="M176" s="470">
        <f t="shared" si="152"/>
        <v>250508.800000007</v>
      </c>
      <c r="N176" s="470">
        <f t="shared" si="153"/>
        <v>250508.800000007</v>
      </c>
      <c r="O176" s="470">
        <f t="shared" si="154"/>
        <v>2035.20000002609</v>
      </c>
      <c r="P176" s="470">
        <f t="shared" si="155"/>
        <v>142.464000001826</v>
      </c>
      <c r="Q176" s="470">
        <f t="shared" si="156"/>
        <v>0</v>
      </c>
      <c r="R176" s="470">
        <f t="shared" si="157"/>
        <v>0</v>
      </c>
      <c r="S176" s="470">
        <f t="shared" si="158"/>
        <v>0</v>
      </c>
      <c r="T176" s="470">
        <f t="shared" si="159"/>
        <v>0</v>
      </c>
      <c r="U176" s="470"/>
      <c r="V176" s="470">
        <f t="shared" si="160"/>
        <v>142.464000001826</v>
      </c>
      <c r="W176" s="471">
        <v>12</v>
      </c>
      <c r="X176" s="470">
        <f t="shared" si="161"/>
        <v>11.8720000001522</v>
      </c>
      <c r="Y176" s="476"/>
      <c r="Z176" s="470">
        <f t="shared" si="162"/>
        <v>11.8720000001522</v>
      </c>
      <c r="AA176" s="473">
        <v>4365.33075466667</v>
      </c>
      <c r="AB176" s="473">
        <f t="shared" si="148"/>
        <v>-4353.45875466652</v>
      </c>
      <c r="AC176" s="473"/>
      <c r="AD176" s="473"/>
      <c r="AE176" s="473"/>
    </row>
    <row r="177" ht="36" spans="1:31">
      <c r="A177" s="467">
        <v>155</v>
      </c>
      <c r="B177" s="11" t="s">
        <v>371</v>
      </c>
      <c r="C177" s="470">
        <v>21045.333333332</v>
      </c>
      <c r="D177" s="469">
        <v>12</v>
      </c>
      <c r="E177" s="470">
        <f t="shared" si="149"/>
        <v>252543.999999984</v>
      </c>
      <c r="F177" s="470"/>
      <c r="G177" s="474"/>
      <c r="H177" s="476"/>
      <c r="I177" s="470">
        <f t="shared" si="150"/>
        <v>252543.999999984</v>
      </c>
      <c r="J177" s="470">
        <v>200000</v>
      </c>
      <c r="K177" s="470">
        <v>0.2</v>
      </c>
      <c r="L177" s="470">
        <f t="shared" si="151"/>
        <v>50508.7999999967</v>
      </c>
      <c r="M177" s="470">
        <f t="shared" si="152"/>
        <v>250508.799999997</v>
      </c>
      <c r="N177" s="470">
        <f t="shared" si="153"/>
        <v>250508.799999997</v>
      </c>
      <c r="O177" s="470">
        <f t="shared" si="154"/>
        <v>2035.19999998697</v>
      </c>
      <c r="P177" s="470">
        <f t="shared" si="155"/>
        <v>142.463999999088</v>
      </c>
      <c r="Q177" s="470">
        <f t="shared" si="156"/>
        <v>0</v>
      </c>
      <c r="R177" s="470">
        <f t="shared" si="157"/>
        <v>0</v>
      </c>
      <c r="S177" s="470">
        <f t="shared" si="158"/>
        <v>0</v>
      </c>
      <c r="T177" s="470">
        <f t="shared" si="159"/>
        <v>0</v>
      </c>
      <c r="U177" s="470"/>
      <c r="V177" s="470">
        <f t="shared" si="160"/>
        <v>142.463999999088</v>
      </c>
      <c r="W177" s="471">
        <v>12</v>
      </c>
      <c r="X177" s="470">
        <f t="shared" si="161"/>
        <v>11.871999999924</v>
      </c>
      <c r="Y177" s="476"/>
      <c r="Z177" s="470">
        <f t="shared" si="162"/>
        <v>11.871999999924</v>
      </c>
      <c r="AA177" s="473">
        <v>4227.52372266667</v>
      </c>
      <c r="AB177" s="473">
        <f t="shared" si="148"/>
        <v>-4215.65172266675</v>
      </c>
      <c r="AC177" s="473"/>
      <c r="AD177" s="473"/>
      <c r="AE177" s="473"/>
    </row>
    <row r="178" ht="18" spans="1:31">
      <c r="A178" s="467">
        <v>156</v>
      </c>
      <c r="B178" s="11" t="s">
        <v>373</v>
      </c>
      <c r="C178" s="470">
        <v>21045.333333332</v>
      </c>
      <c r="D178" s="469">
        <v>12</v>
      </c>
      <c r="E178" s="470">
        <f t="shared" si="149"/>
        <v>252543.999999984</v>
      </c>
      <c r="F178" s="470"/>
      <c r="G178" s="474"/>
      <c r="H178" s="476"/>
      <c r="I178" s="470">
        <f t="shared" si="150"/>
        <v>252543.999999984</v>
      </c>
      <c r="J178" s="470">
        <v>200000</v>
      </c>
      <c r="K178" s="470">
        <v>0.2</v>
      </c>
      <c r="L178" s="470">
        <f t="shared" si="151"/>
        <v>50508.7999999967</v>
      </c>
      <c r="M178" s="470">
        <f t="shared" si="152"/>
        <v>250508.799999997</v>
      </c>
      <c r="N178" s="470">
        <f t="shared" si="153"/>
        <v>250508.799999997</v>
      </c>
      <c r="O178" s="470">
        <f t="shared" si="154"/>
        <v>2035.19999998697</v>
      </c>
      <c r="P178" s="470">
        <f t="shared" si="155"/>
        <v>142.463999999088</v>
      </c>
      <c r="Q178" s="470">
        <f t="shared" si="156"/>
        <v>0</v>
      </c>
      <c r="R178" s="470">
        <f t="shared" si="157"/>
        <v>0</v>
      </c>
      <c r="S178" s="470">
        <f t="shared" si="158"/>
        <v>0</v>
      </c>
      <c r="T178" s="470">
        <f t="shared" si="159"/>
        <v>0</v>
      </c>
      <c r="U178" s="470"/>
      <c r="V178" s="470">
        <f t="shared" si="160"/>
        <v>142.463999999088</v>
      </c>
      <c r="W178" s="471">
        <v>12</v>
      </c>
      <c r="X178" s="470">
        <f t="shared" si="161"/>
        <v>11.871999999924</v>
      </c>
      <c r="Y178" s="476"/>
      <c r="Z178" s="470">
        <f t="shared" si="162"/>
        <v>11.871999999924</v>
      </c>
      <c r="AA178" s="473">
        <v>3963.52372266667</v>
      </c>
      <c r="AB178" s="473">
        <f t="shared" si="148"/>
        <v>-3951.65172266675</v>
      </c>
      <c r="AC178" s="473"/>
      <c r="AD178" s="473"/>
      <c r="AE178" s="473"/>
    </row>
    <row r="179" ht="18" spans="1:31">
      <c r="A179" s="467">
        <v>157</v>
      </c>
      <c r="B179" s="18" t="s">
        <v>374</v>
      </c>
      <c r="C179" s="470">
        <v>21045.333333332</v>
      </c>
      <c r="D179" s="469">
        <v>12</v>
      </c>
      <c r="E179" s="470">
        <f t="shared" si="149"/>
        <v>252543.999999984</v>
      </c>
      <c r="F179" s="470"/>
      <c r="G179" s="474"/>
      <c r="H179" s="476"/>
      <c r="I179" s="470">
        <f t="shared" si="150"/>
        <v>252543.999999984</v>
      </c>
      <c r="J179" s="470">
        <v>200000</v>
      </c>
      <c r="K179" s="470">
        <v>0.2</v>
      </c>
      <c r="L179" s="470">
        <f t="shared" si="151"/>
        <v>50508.7999999967</v>
      </c>
      <c r="M179" s="470">
        <f t="shared" si="152"/>
        <v>250508.799999997</v>
      </c>
      <c r="N179" s="470">
        <f t="shared" si="153"/>
        <v>250508.799999997</v>
      </c>
      <c r="O179" s="470">
        <f t="shared" si="154"/>
        <v>2035.19999998697</v>
      </c>
      <c r="P179" s="470">
        <f t="shared" si="155"/>
        <v>142.463999999088</v>
      </c>
      <c r="Q179" s="470">
        <f t="shared" si="156"/>
        <v>0</v>
      </c>
      <c r="R179" s="470">
        <f t="shared" si="157"/>
        <v>0</v>
      </c>
      <c r="S179" s="470">
        <f t="shared" si="158"/>
        <v>0</v>
      </c>
      <c r="T179" s="470">
        <f t="shared" si="159"/>
        <v>0</v>
      </c>
      <c r="U179" s="470"/>
      <c r="V179" s="470">
        <f t="shared" si="160"/>
        <v>142.463999999088</v>
      </c>
      <c r="W179" s="471">
        <v>12</v>
      </c>
      <c r="X179" s="470">
        <f t="shared" si="161"/>
        <v>11.871999999924</v>
      </c>
      <c r="Y179" s="476"/>
      <c r="Z179" s="470">
        <f t="shared" si="162"/>
        <v>11.871999999924</v>
      </c>
      <c r="AA179" s="473">
        <v>4227.52372266667</v>
      </c>
      <c r="AB179" s="473">
        <f t="shared" si="148"/>
        <v>-4215.65172266675</v>
      </c>
      <c r="AC179" s="473"/>
      <c r="AD179" s="473"/>
      <c r="AE179" s="473"/>
    </row>
    <row r="180" ht="18" spans="1:31">
      <c r="A180" s="459"/>
      <c r="B180" s="11" t="s">
        <v>376</v>
      </c>
      <c r="C180" s="470"/>
      <c r="D180" s="469"/>
      <c r="E180" s="470"/>
      <c r="F180" s="470"/>
      <c r="G180" s="476"/>
      <c r="H180" s="476"/>
      <c r="I180" s="470"/>
      <c r="J180" s="470"/>
      <c r="K180" s="470"/>
      <c r="L180" s="470"/>
      <c r="M180" s="470"/>
      <c r="N180" s="470"/>
      <c r="O180" s="470"/>
      <c r="P180" s="470"/>
      <c r="Q180" s="470"/>
      <c r="R180" s="470"/>
      <c r="S180" s="470"/>
      <c r="T180" s="470"/>
      <c r="U180" s="470"/>
      <c r="V180" s="470"/>
      <c r="W180" s="471"/>
      <c r="X180" s="470"/>
      <c r="Y180" s="476"/>
      <c r="Z180" s="470"/>
      <c r="AA180" s="473"/>
      <c r="AB180" s="473">
        <f t="shared" si="148"/>
        <v>0</v>
      </c>
      <c r="AC180" s="473"/>
      <c r="AD180" s="473"/>
      <c r="AE180" s="473"/>
    </row>
    <row r="181" ht="18" spans="1:31">
      <c r="A181" s="459"/>
      <c r="B181" s="11" t="s">
        <v>378</v>
      </c>
      <c r="C181" s="483">
        <v>10191</v>
      </c>
      <c r="D181" s="469">
        <v>12</v>
      </c>
      <c r="E181" s="470">
        <f t="shared" si="149"/>
        <v>122292</v>
      </c>
      <c r="F181" s="470"/>
      <c r="G181" s="474"/>
      <c r="H181" s="476"/>
      <c r="I181" s="470">
        <f t="shared" si="150"/>
        <v>122292</v>
      </c>
      <c r="J181" s="470">
        <v>200000</v>
      </c>
      <c r="K181" s="470">
        <v>0.2</v>
      </c>
      <c r="L181" s="470">
        <f t="shared" si="151"/>
        <v>24458.4</v>
      </c>
      <c r="M181" s="470">
        <f t="shared" si="152"/>
        <v>224458.4</v>
      </c>
      <c r="N181" s="470">
        <f t="shared" si="153"/>
        <v>224458.4</v>
      </c>
      <c r="O181" s="470">
        <f t="shared" si="154"/>
        <v>-102166.4</v>
      </c>
      <c r="P181" s="470">
        <f t="shared" si="155"/>
        <v>-7151.648</v>
      </c>
      <c r="Q181" s="470">
        <f t="shared" si="156"/>
        <v>0</v>
      </c>
      <c r="R181" s="470">
        <f t="shared" si="157"/>
        <v>0</v>
      </c>
      <c r="S181" s="470">
        <f t="shared" si="158"/>
        <v>0</v>
      </c>
      <c r="T181" s="470">
        <f t="shared" si="159"/>
        <v>0</v>
      </c>
      <c r="U181" s="470"/>
      <c r="V181" s="470">
        <f t="shared" si="160"/>
        <v>-7151.648</v>
      </c>
      <c r="W181" s="471">
        <v>12</v>
      </c>
      <c r="X181" s="470">
        <f t="shared" si="161"/>
        <v>-595.970666666667</v>
      </c>
      <c r="Y181" s="476"/>
      <c r="Z181" s="470">
        <f t="shared" si="162"/>
        <v>-595.970666666667</v>
      </c>
      <c r="AA181" s="473">
        <v>4227.52372266667</v>
      </c>
      <c r="AB181" s="473">
        <f t="shared" si="148"/>
        <v>-4823.49438933334</v>
      </c>
    </row>
    <row r="182" ht="18" spans="1:31">
      <c r="B182" s="11" t="s">
        <v>379</v>
      </c>
      <c r="C182" s="473">
        <v>10191</v>
      </c>
      <c r="D182" s="469">
        <v>12</v>
      </c>
      <c r="E182" s="470">
        <f t="shared" si="149"/>
        <v>122292</v>
      </c>
      <c r="G182" s="474"/>
      <c r="I182" s="470">
        <f t="shared" si="150"/>
        <v>122292</v>
      </c>
      <c r="J182" s="470">
        <v>200000</v>
      </c>
      <c r="K182" s="470">
        <v>0.2</v>
      </c>
      <c r="L182" s="470">
        <f t="shared" si="151"/>
        <v>24458.4</v>
      </c>
      <c r="M182" s="470">
        <f t="shared" si="152"/>
        <v>224458.4</v>
      </c>
      <c r="N182" s="470">
        <f t="shared" si="153"/>
        <v>224458.4</v>
      </c>
      <c r="O182" s="470">
        <f t="shared" si="154"/>
        <v>-102166.4</v>
      </c>
      <c r="P182" s="470">
        <f t="shared" si="155"/>
        <v>-7151.648</v>
      </c>
      <c r="Q182" s="470">
        <f t="shared" si="156"/>
        <v>0</v>
      </c>
      <c r="R182" s="470">
        <f t="shared" si="157"/>
        <v>0</v>
      </c>
      <c r="S182" s="470">
        <f t="shared" si="158"/>
        <v>0</v>
      </c>
      <c r="T182" s="470">
        <f t="shared" si="159"/>
        <v>0</v>
      </c>
      <c r="U182" s="470"/>
      <c r="V182" s="470">
        <f t="shared" si="160"/>
        <v>-7151.648</v>
      </c>
      <c r="W182" s="471">
        <v>12</v>
      </c>
      <c r="X182" s="470">
        <f t="shared" si="161"/>
        <v>-595.970666666667</v>
      </c>
      <c r="Z182" s="470">
        <f t="shared" si="162"/>
        <v>-595.970666666667</v>
      </c>
      <c r="AA182" s="473">
        <v>3963.52372266667</v>
      </c>
      <c r="AB182" s="473">
        <f t="shared" si="148"/>
        <v>-4559.49438933334</v>
      </c>
    </row>
    <row r="183" ht="18" spans="1:31">
      <c r="B183" s="11" t="s">
        <v>380</v>
      </c>
      <c r="C183" s="473">
        <v>10191</v>
      </c>
      <c r="D183" s="469">
        <v>12</v>
      </c>
      <c r="E183" s="470">
        <f t="shared" si="149"/>
        <v>122292</v>
      </c>
      <c r="G183" s="474"/>
      <c r="I183" s="470">
        <f t="shared" si="150"/>
        <v>122292</v>
      </c>
      <c r="J183" s="470">
        <v>200000</v>
      </c>
      <c r="K183" s="470">
        <v>0.2</v>
      </c>
      <c r="L183" s="470">
        <f t="shared" si="151"/>
        <v>24458.4</v>
      </c>
      <c r="M183" s="470">
        <f t="shared" si="152"/>
        <v>224458.4</v>
      </c>
      <c r="N183" s="470">
        <f t="shared" si="153"/>
        <v>224458.4</v>
      </c>
      <c r="O183" s="470">
        <f t="shared" si="154"/>
        <v>-102166.4</v>
      </c>
      <c r="P183" s="470">
        <f t="shared" si="155"/>
        <v>-7151.648</v>
      </c>
      <c r="Q183" s="470">
        <f t="shared" si="156"/>
        <v>0</v>
      </c>
      <c r="R183" s="470">
        <f t="shared" si="157"/>
        <v>0</v>
      </c>
      <c r="S183" s="470">
        <f t="shared" si="158"/>
        <v>0</v>
      </c>
      <c r="T183" s="470">
        <f t="shared" si="159"/>
        <v>0</v>
      </c>
      <c r="U183" s="470"/>
      <c r="V183" s="470">
        <f t="shared" si="160"/>
        <v>-7151.648</v>
      </c>
      <c r="W183" s="471">
        <v>12</v>
      </c>
      <c r="X183" s="470">
        <f t="shared" si="161"/>
        <v>-595.970666666667</v>
      </c>
      <c r="Z183" s="470">
        <f t="shared" si="162"/>
        <v>-595.970666666667</v>
      </c>
      <c r="AA183" s="473">
        <v>4227.52372266667</v>
      </c>
      <c r="AB183" s="473">
        <f t="shared" si="148"/>
        <v>-4823.49438933334</v>
      </c>
    </row>
    <row r="184" ht="18" spans="1:31">
      <c r="B184" s="11" t="s">
        <v>381</v>
      </c>
      <c r="C184" s="473">
        <v>10191</v>
      </c>
      <c r="D184" s="469">
        <v>12</v>
      </c>
      <c r="E184" s="470">
        <f t="shared" si="149"/>
        <v>122292</v>
      </c>
      <c r="G184" s="474"/>
      <c r="I184" s="470">
        <f t="shared" si="150"/>
        <v>122292</v>
      </c>
      <c r="J184" s="470">
        <v>200000</v>
      </c>
      <c r="K184" s="470">
        <v>0.2</v>
      </c>
      <c r="L184" s="470">
        <f t="shared" si="151"/>
        <v>24458.4</v>
      </c>
      <c r="M184" s="470">
        <f t="shared" si="152"/>
        <v>224458.4</v>
      </c>
      <c r="N184" s="470">
        <f t="shared" si="153"/>
        <v>224458.4</v>
      </c>
      <c r="O184" s="470">
        <f t="shared" si="154"/>
        <v>-102166.4</v>
      </c>
      <c r="P184" s="470">
        <f t="shared" si="155"/>
        <v>-7151.648</v>
      </c>
      <c r="Q184" s="470">
        <f t="shared" si="156"/>
        <v>0</v>
      </c>
      <c r="R184" s="470">
        <f t="shared" si="157"/>
        <v>0</v>
      </c>
      <c r="S184" s="470">
        <f t="shared" si="158"/>
        <v>0</v>
      </c>
      <c r="T184" s="470">
        <f t="shared" si="159"/>
        <v>0</v>
      </c>
      <c r="V184" s="470">
        <f t="shared" si="160"/>
        <v>-7151.648</v>
      </c>
      <c r="W184" s="471">
        <v>12</v>
      </c>
      <c r="X184" s="470">
        <f t="shared" si="161"/>
        <v>-595.970666666667</v>
      </c>
      <c r="Z184" s="470">
        <f t="shared" si="162"/>
        <v>-595.970666666667</v>
      </c>
      <c r="AA184" s="473">
        <v>4089.71669066667</v>
      </c>
      <c r="AB184" s="473">
        <f t="shared" si="148"/>
        <v>-4685.68735733334</v>
      </c>
    </row>
    <row r="185" ht="18" spans="1:31">
      <c r="B185" s="11" t="s">
        <v>382</v>
      </c>
      <c r="C185" s="473">
        <v>10191</v>
      </c>
      <c r="D185" s="469">
        <v>12</v>
      </c>
      <c r="E185" s="470">
        <f t="shared" si="149"/>
        <v>122292</v>
      </c>
      <c r="G185" s="474"/>
      <c r="I185" s="470">
        <f t="shared" si="150"/>
        <v>122292</v>
      </c>
      <c r="J185" s="470">
        <v>200000</v>
      </c>
      <c r="K185" s="470">
        <v>0.2</v>
      </c>
      <c r="L185" s="470">
        <f t="shared" si="151"/>
        <v>24458.4</v>
      </c>
      <c r="M185" s="470">
        <f t="shared" si="152"/>
        <v>224458.4</v>
      </c>
      <c r="N185" s="470">
        <f t="shared" si="153"/>
        <v>224458.4</v>
      </c>
      <c r="O185" s="470">
        <f t="shared" si="154"/>
        <v>-102166.4</v>
      </c>
      <c r="P185" s="470">
        <f t="shared" si="155"/>
        <v>-7151.648</v>
      </c>
      <c r="Q185" s="470">
        <f t="shared" si="156"/>
        <v>0</v>
      </c>
      <c r="R185" s="470">
        <f t="shared" si="157"/>
        <v>0</v>
      </c>
      <c r="S185" s="470">
        <f t="shared" si="158"/>
        <v>0</v>
      </c>
      <c r="T185" s="470">
        <f t="shared" si="159"/>
        <v>0</v>
      </c>
      <c r="V185" s="470">
        <f t="shared" si="160"/>
        <v>-7151.648</v>
      </c>
      <c r="W185" s="471">
        <v>12</v>
      </c>
      <c r="X185" s="470">
        <f t="shared" si="161"/>
        <v>-595.970666666667</v>
      </c>
      <c r="Z185" s="470">
        <f t="shared" si="162"/>
        <v>-595.970666666667</v>
      </c>
      <c r="AA185" s="473">
        <v>4227.52372266667</v>
      </c>
      <c r="AB185" s="473">
        <f t="shared" si="148"/>
        <v>-4823.49438933334</v>
      </c>
    </row>
    <row r="186" ht="18" spans="1:31">
      <c r="B186" s="18" t="s">
        <v>383</v>
      </c>
      <c r="C186" s="473">
        <v>10191</v>
      </c>
      <c r="D186" s="469">
        <v>12</v>
      </c>
      <c r="E186" s="470">
        <f t="shared" si="149"/>
        <v>122292</v>
      </c>
      <c r="G186" s="474"/>
      <c r="I186" s="470">
        <f t="shared" si="150"/>
        <v>122292</v>
      </c>
      <c r="J186" s="470">
        <v>200000</v>
      </c>
      <c r="K186" s="470">
        <v>0.2</v>
      </c>
      <c r="L186" s="470">
        <f t="shared" si="151"/>
        <v>24458.4</v>
      </c>
      <c r="M186" s="470">
        <f t="shared" si="152"/>
        <v>224458.4</v>
      </c>
      <c r="N186" s="470">
        <f t="shared" si="153"/>
        <v>224458.4</v>
      </c>
      <c r="O186" s="470">
        <f t="shared" si="154"/>
        <v>-102166.4</v>
      </c>
      <c r="P186" s="470">
        <f t="shared" si="155"/>
        <v>-7151.648</v>
      </c>
      <c r="Q186" s="470">
        <f t="shared" si="156"/>
        <v>0</v>
      </c>
      <c r="R186" s="470">
        <f t="shared" si="157"/>
        <v>0</v>
      </c>
      <c r="S186" s="470">
        <f t="shared" si="158"/>
        <v>0</v>
      </c>
      <c r="T186" s="470">
        <f t="shared" si="159"/>
        <v>0</v>
      </c>
      <c r="V186" s="470">
        <f t="shared" si="160"/>
        <v>-7151.648</v>
      </c>
      <c r="W186" s="471">
        <v>12</v>
      </c>
      <c r="X186" s="470">
        <f t="shared" si="161"/>
        <v>-595.970666666667</v>
      </c>
      <c r="Z186" s="470">
        <f t="shared" si="162"/>
        <v>-595.970666666667</v>
      </c>
      <c r="AA186" s="473">
        <v>4089.71669066667</v>
      </c>
      <c r="AB186" s="473">
        <f t="shared" si="148"/>
        <v>-4685.68735733334</v>
      </c>
    </row>
    <row r="187" ht="18" spans="1:31">
      <c r="B187" s="18" t="s">
        <v>385</v>
      </c>
      <c r="C187" s="473">
        <v>10191</v>
      </c>
      <c r="D187" s="469">
        <v>12</v>
      </c>
      <c r="E187" s="470">
        <f t="shared" si="149"/>
        <v>122292</v>
      </c>
      <c r="G187" s="474"/>
      <c r="I187" s="470">
        <f t="shared" si="150"/>
        <v>122292</v>
      </c>
      <c r="J187" s="470">
        <v>200000</v>
      </c>
      <c r="K187" s="470">
        <v>0.2</v>
      </c>
      <c r="L187" s="470">
        <f t="shared" si="151"/>
        <v>24458.4</v>
      </c>
      <c r="M187" s="470">
        <f t="shared" si="152"/>
        <v>224458.4</v>
      </c>
      <c r="N187" s="470">
        <f t="shared" si="153"/>
        <v>224458.4</v>
      </c>
      <c r="O187" s="470">
        <f t="shared" si="154"/>
        <v>-102166.4</v>
      </c>
      <c r="P187" s="470">
        <f t="shared" si="155"/>
        <v>-7151.648</v>
      </c>
      <c r="Q187" s="470">
        <f t="shared" si="156"/>
        <v>0</v>
      </c>
      <c r="R187" s="470">
        <f t="shared" si="157"/>
        <v>0</v>
      </c>
      <c r="S187" s="470">
        <f t="shared" si="158"/>
        <v>0</v>
      </c>
      <c r="T187" s="470">
        <f t="shared" si="159"/>
        <v>0</v>
      </c>
      <c r="V187" s="470">
        <f t="shared" si="160"/>
        <v>-7151.648</v>
      </c>
      <c r="W187" s="471">
        <v>12</v>
      </c>
      <c r="X187" s="470">
        <f t="shared" si="161"/>
        <v>-595.970666666667</v>
      </c>
      <c r="Z187" s="470">
        <f t="shared" si="162"/>
        <v>-595.970666666667</v>
      </c>
      <c r="AA187" s="473">
        <v>3210.15440486667</v>
      </c>
      <c r="AB187" s="473">
        <f t="shared" si="148"/>
        <v>-3806.12507153334</v>
      </c>
    </row>
    <row r="188" ht="18" spans="1:31">
      <c r="B188" s="11" t="s">
        <v>668</v>
      </c>
      <c r="C188" s="473">
        <v>10191</v>
      </c>
      <c r="D188" s="469">
        <v>12</v>
      </c>
      <c r="E188" s="470">
        <f t="shared" si="149"/>
        <v>122292</v>
      </c>
      <c r="G188" s="474"/>
      <c r="I188" s="470">
        <f t="shared" si="150"/>
        <v>122292</v>
      </c>
      <c r="J188" s="470">
        <v>200000</v>
      </c>
      <c r="K188" s="470">
        <v>0.2</v>
      </c>
      <c r="L188" s="470">
        <f t="shared" si="151"/>
        <v>24458.4</v>
      </c>
      <c r="M188" s="470">
        <f t="shared" si="152"/>
        <v>224458.4</v>
      </c>
      <c r="N188" s="470">
        <f t="shared" si="153"/>
        <v>224458.4</v>
      </c>
      <c r="O188" s="470">
        <f t="shared" si="154"/>
        <v>-102166.4</v>
      </c>
      <c r="P188" s="470">
        <f t="shared" si="155"/>
        <v>-7151.648</v>
      </c>
      <c r="Q188" s="470">
        <f t="shared" si="156"/>
        <v>0</v>
      </c>
      <c r="R188" s="470">
        <f t="shared" si="157"/>
        <v>0</v>
      </c>
      <c r="S188" s="470">
        <f t="shared" si="158"/>
        <v>0</v>
      </c>
      <c r="T188" s="470">
        <f t="shared" si="159"/>
        <v>0</v>
      </c>
      <c r="V188" s="470">
        <f t="shared" si="160"/>
        <v>-7151.648</v>
      </c>
      <c r="W188" s="471">
        <v>12</v>
      </c>
      <c r="X188" s="470">
        <f t="shared" si="161"/>
        <v>-595.970666666667</v>
      </c>
      <c r="Z188" s="470">
        <f t="shared" si="162"/>
        <v>-595.970666666667</v>
      </c>
      <c r="AA188" s="473">
        <v>2708.91364066667</v>
      </c>
      <c r="AB188" s="473">
        <f t="shared" si="148"/>
        <v>-3304.88430733334</v>
      </c>
    </row>
    <row r="189" ht="18" spans="1:31">
      <c r="B189" s="11" t="s">
        <v>386</v>
      </c>
      <c r="C189" s="473">
        <v>10191</v>
      </c>
      <c r="D189" s="469">
        <v>12</v>
      </c>
      <c r="E189" s="470">
        <f t="shared" si="149"/>
        <v>122292</v>
      </c>
      <c r="G189" s="474"/>
      <c r="I189" s="470">
        <f t="shared" si="150"/>
        <v>122292</v>
      </c>
      <c r="J189" s="470">
        <v>200000</v>
      </c>
      <c r="K189" s="470">
        <v>0.2</v>
      </c>
      <c r="L189" s="470">
        <f t="shared" si="151"/>
        <v>24458.4</v>
      </c>
      <c r="M189" s="470">
        <f t="shared" si="152"/>
        <v>224458.4</v>
      </c>
      <c r="N189" s="470">
        <f t="shared" si="153"/>
        <v>224458.4</v>
      </c>
      <c r="O189" s="470">
        <f t="shared" si="154"/>
        <v>-102166.4</v>
      </c>
      <c r="P189" s="470">
        <f t="shared" si="155"/>
        <v>-7151.648</v>
      </c>
      <c r="Q189" s="470">
        <f t="shared" si="156"/>
        <v>0</v>
      </c>
      <c r="R189" s="470">
        <f t="shared" si="157"/>
        <v>0</v>
      </c>
      <c r="S189" s="470">
        <f t="shared" si="158"/>
        <v>0</v>
      </c>
      <c r="T189" s="470">
        <f t="shared" si="159"/>
        <v>0</v>
      </c>
      <c r="V189" s="470">
        <f t="shared" si="160"/>
        <v>-7151.648</v>
      </c>
      <c r="W189" s="471">
        <v>12</v>
      </c>
      <c r="X189" s="470">
        <f t="shared" si="161"/>
        <v>-595.970666666667</v>
      </c>
      <c r="Z189" s="470">
        <f t="shared" si="162"/>
        <v>-595.970666666667</v>
      </c>
      <c r="AA189" s="473">
        <v>2708.91364066667</v>
      </c>
      <c r="AB189" s="473">
        <f t="shared" si="148"/>
        <v>-3304.88430733334</v>
      </c>
    </row>
    <row r="190" ht="18" spans="1:31">
      <c r="B190" s="18" t="s">
        <v>358</v>
      </c>
      <c r="C190" s="473">
        <v>10191</v>
      </c>
      <c r="D190" s="469">
        <v>12</v>
      </c>
      <c r="E190" s="470">
        <f t="shared" si="149"/>
        <v>122292</v>
      </c>
      <c r="G190" s="474"/>
      <c r="I190" s="470">
        <f t="shared" si="150"/>
        <v>122292</v>
      </c>
      <c r="J190" s="470">
        <v>200000</v>
      </c>
      <c r="K190" s="470">
        <v>0.2</v>
      </c>
      <c r="L190" s="470">
        <f t="shared" si="151"/>
        <v>24458.4</v>
      </c>
      <c r="M190" s="470">
        <f t="shared" si="152"/>
        <v>224458.4</v>
      </c>
      <c r="N190" s="470">
        <f t="shared" si="153"/>
        <v>224458.4</v>
      </c>
      <c r="O190" s="470">
        <f t="shared" si="154"/>
        <v>-102166.4</v>
      </c>
      <c r="P190" s="470">
        <f t="shared" si="155"/>
        <v>-7151.648</v>
      </c>
      <c r="Q190" s="470">
        <f t="shared" si="156"/>
        <v>0</v>
      </c>
      <c r="R190" s="470">
        <f t="shared" si="157"/>
        <v>0</v>
      </c>
      <c r="S190" s="470">
        <f t="shared" si="158"/>
        <v>0</v>
      </c>
      <c r="T190" s="470">
        <f t="shared" si="159"/>
        <v>0</v>
      </c>
      <c r="V190" s="470">
        <f t="shared" si="160"/>
        <v>-7151.648</v>
      </c>
      <c r="W190" s="471">
        <v>12</v>
      </c>
      <c r="X190" s="470">
        <f t="shared" si="161"/>
        <v>-595.970666666667</v>
      </c>
      <c r="Z190" s="470">
        <f t="shared" si="162"/>
        <v>-595.970666666667</v>
      </c>
      <c r="AA190" s="473">
        <v>2708.91364066667</v>
      </c>
      <c r="AB190" s="473">
        <f t="shared" si="148"/>
        <v>-3304.88430733334</v>
      </c>
    </row>
    <row r="191" ht="18" spans="1:31">
      <c r="B191" s="18" t="s">
        <v>389</v>
      </c>
      <c r="C191" s="473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70">
        <v>200000</v>
      </c>
      <c r="K191" s="470">
        <v>0.2</v>
      </c>
      <c r="L191" s="470">
        <f t="shared" si="151"/>
        <v>24456</v>
      </c>
      <c r="M191" s="470">
        <f t="shared" si="152"/>
        <v>224456</v>
      </c>
      <c r="N191" s="470">
        <f t="shared" si="153"/>
        <v>224456</v>
      </c>
      <c r="O191" s="470">
        <f t="shared" si="154"/>
        <v>-102176</v>
      </c>
      <c r="P191" s="470">
        <f t="shared" si="155"/>
        <v>-7152.32</v>
      </c>
      <c r="Q191" s="470">
        <f t="shared" si="156"/>
        <v>0</v>
      </c>
      <c r="R191" s="470">
        <f t="shared" si="157"/>
        <v>0</v>
      </c>
      <c r="S191" s="470">
        <f t="shared" si="158"/>
        <v>0</v>
      </c>
      <c r="T191" s="470">
        <f t="shared" si="159"/>
        <v>0</v>
      </c>
      <c r="V191" s="470">
        <f t="shared" si="160"/>
        <v>-7152.32</v>
      </c>
      <c r="W191" s="471">
        <v>12</v>
      </c>
      <c r="X191" s="470">
        <f t="shared" si="161"/>
        <v>-596.026666666667</v>
      </c>
      <c r="Z191" s="470">
        <f t="shared" si="162"/>
        <v>-596.026666666667</v>
      </c>
      <c r="AA191" s="473">
        <v>3511.79662266667</v>
      </c>
      <c r="AB191" s="473">
        <f t="shared" si="148"/>
        <v>-4107.82328933334</v>
      </c>
    </row>
    <row r="192" ht="18" spans="1:31">
      <c r="B192" s="18" t="s">
        <v>392</v>
      </c>
      <c r="C192" s="470"/>
      <c r="D192" s="469"/>
      <c r="E192" s="470"/>
      <c r="F192" s="470"/>
      <c r="G192" s="476"/>
      <c r="H192" s="476"/>
      <c r="I192" s="470"/>
      <c r="J192" s="470"/>
      <c r="K192" s="470"/>
      <c r="L192" s="470"/>
      <c r="M192" s="470"/>
      <c r="N192" s="470"/>
      <c r="O192" s="470"/>
      <c r="P192" s="470"/>
      <c r="Q192" s="470"/>
      <c r="R192" s="470"/>
      <c r="S192" s="470"/>
      <c r="T192" s="470"/>
      <c r="U192" s="470"/>
      <c r="V192" s="470"/>
      <c r="W192" s="471"/>
      <c r="X192" s="470"/>
      <c r="Y192" s="476"/>
      <c r="Z192" s="470"/>
      <c r="AA192" s="473"/>
      <c r="AB192" s="473">
        <f t="shared" si="148"/>
        <v>0</v>
      </c>
    </row>
    <row r="193" ht="35.25" customHeight="1" spans="2:28">
      <c r="B193" s="18" t="s">
        <v>396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70">
        <v>200000</v>
      </c>
      <c r="K193" s="470">
        <v>0.2</v>
      </c>
      <c r="L193" s="470">
        <f t="shared" ref="L193:L197" si="165">I193*K193</f>
        <v>21053.5999999997</v>
      </c>
      <c r="M193" s="470">
        <f t="shared" ref="M193:M197" si="166">J193+L193</f>
        <v>221053.6</v>
      </c>
      <c r="N193" s="470">
        <f t="shared" ref="N193:N197" si="167">F193+G193+H193+M193</f>
        <v>221053.6</v>
      </c>
      <c r="O193" s="470">
        <f t="shared" ref="O193:O197" si="168">E193-N193</f>
        <v>-115785.600000001</v>
      </c>
      <c r="P193" s="470">
        <f t="shared" ref="P193:P197" si="169">IF(O193&lt;300000,0.07*O193,21000)</f>
        <v>-8104.99200000009</v>
      </c>
      <c r="Q193" s="470">
        <f t="shared" ref="Q193:Q197" si="170">IF((O193-300000)&lt;0,0,IF((O193-300000)&lt;300000,0.11*(O193-300000),33000))</f>
        <v>0</v>
      </c>
      <c r="R193" s="470">
        <f t="shared" ref="R193:R197" si="171">IF((O193-600000)&lt;0,0,IF((O193-600000)&lt;500000,0.15*(O193-600000),75000))</f>
        <v>0</v>
      </c>
      <c r="S193" s="470">
        <f t="shared" ref="S193:S197" si="172">IF((O193-1100000)&lt;0,0,IF((O193-1100000)&lt;500000,0.19*(O193-1100000),95000))</f>
        <v>0</v>
      </c>
      <c r="T193" s="470">
        <f t="shared" ref="T193:T197" si="173">IF((O193-1600000)&lt;0,0,IF((O193-1600000)&lt;1600000,0.21*(O193-1600000),336000))</f>
        <v>0</v>
      </c>
      <c r="V193" s="470">
        <f t="shared" ref="V193:V197" si="174">P193+Q193+R193+S193+T193+U193</f>
        <v>-8104.99200000009</v>
      </c>
      <c r="W193" s="471">
        <v>12</v>
      </c>
      <c r="X193" s="470">
        <f t="shared" ref="X193:X197" si="175">V193/W193</f>
        <v>-675.416000000008</v>
      </c>
      <c r="Z193" s="470">
        <f t="shared" ref="Z193:Z197" si="176">X193</f>
        <v>-675.416000000008</v>
      </c>
      <c r="AA193" s="473">
        <v>3511.79662266667</v>
      </c>
      <c r="AB193" s="473">
        <f t="shared" si="148"/>
        <v>-4187.21262266668</v>
      </c>
    </row>
    <row r="194" ht="26.25" customHeight="1" spans="2:28">
      <c r="B194" s="18" t="s">
        <v>399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70">
        <v>200000</v>
      </c>
      <c r="K194" s="470">
        <v>0.2</v>
      </c>
      <c r="L194" s="470">
        <f t="shared" si="165"/>
        <v>21053.5999999997</v>
      </c>
      <c r="M194" s="470">
        <f t="shared" si="166"/>
        <v>221053.6</v>
      </c>
      <c r="N194" s="470">
        <f t="shared" si="167"/>
        <v>221053.6</v>
      </c>
      <c r="O194" s="470">
        <f t="shared" si="168"/>
        <v>-115785.600000001</v>
      </c>
      <c r="P194" s="470">
        <f t="shared" si="169"/>
        <v>-8104.99200000009</v>
      </c>
      <c r="Q194" s="470">
        <f t="shared" si="170"/>
        <v>0</v>
      </c>
      <c r="R194" s="470">
        <f t="shared" si="171"/>
        <v>0</v>
      </c>
      <c r="S194" s="470">
        <f t="shared" si="172"/>
        <v>0</v>
      </c>
      <c r="T194" s="470">
        <f t="shared" si="173"/>
        <v>0</v>
      </c>
      <c r="V194" s="470">
        <f t="shared" si="174"/>
        <v>-8104.99200000009</v>
      </c>
      <c r="W194" s="471">
        <v>12</v>
      </c>
      <c r="X194" s="470">
        <f t="shared" si="175"/>
        <v>-675.416000000008</v>
      </c>
      <c r="Z194" s="470">
        <f t="shared" si="176"/>
        <v>-675.416000000008</v>
      </c>
      <c r="AA194" s="473">
        <v>3511.79662266667</v>
      </c>
      <c r="AB194" s="473">
        <f t="shared" si="148"/>
        <v>-4187.21262266668</v>
      </c>
    </row>
    <row r="195" ht="18" spans="2:28">
      <c r="B195" s="18" t="s">
        <v>400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70">
        <v>200000</v>
      </c>
      <c r="K195" s="470">
        <v>0.2</v>
      </c>
      <c r="L195" s="470">
        <f t="shared" si="165"/>
        <v>21053.5999999997</v>
      </c>
      <c r="M195" s="470">
        <f t="shared" si="166"/>
        <v>221053.6</v>
      </c>
      <c r="N195" s="470">
        <f t="shared" si="167"/>
        <v>221053.6</v>
      </c>
      <c r="O195" s="470">
        <f t="shared" si="168"/>
        <v>-115785.600000001</v>
      </c>
      <c r="P195" s="470">
        <f t="shared" si="169"/>
        <v>-8104.99200000009</v>
      </c>
      <c r="Q195" s="470">
        <f t="shared" si="170"/>
        <v>0</v>
      </c>
      <c r="R195" s="470">
        <f t="shared" si="171"/>
        <v>0</v>
      </c>
      <c r="S195" s="470">
        <f t="shared" si="172"/>
        <v>0</v>
      </c>
      <c r="T195" s="470">
        <f t="shared" si="173"/>
        <v>0</v>
      </c>
      <c r="V195" s="470">
        <f t="shared" si="174"/>
        <v>-8104.99200000009</v>
      </c>
      <c r="W195" s="471">
        <v>12</v>
      </c>
      <c r="X195" s="470">
        <f t="shared" si="175"/>
        <v>-675.416000000008</v>
      </c>
      <c r="Z195" s="470">
        <f t="shared" si="176"/>
        <v>-675.416000000008</v>
      </c>
      <c r="AA195" s="473">
        <v>3511.79662266667</v>
      </c>
      <c r="AB195" s="473">
        <f t="shared" si="148"/>
        <v>-4187.21262266668</v>
      </c>
    </row>
    <row r="196" ht="18" spans="2:28">
      <c r="B196" s="18" t="s">
        <v>401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70">
        <v>200000</v>
      </c>
      <c r="K196" s="470">
        <v>0.2</v>
      </c>
      <c r="L196" s="470">
        <f t="shared" si="165"/>
        <v>24458.4</v>
      </c>
      <c r="M196" s="470">
        <f t="shared" si="166"/>
        <v>224458.4</v>
      </c>
      <c r="N196" s="470">
        <f t="shared" si="167"/>
        <v>224458.4</v>
      </c>
      <c r="O196" s="470">
        <f t="shared" si="168"/>
        <v>-102166.4</v>
      </c>
      <c r="P196" s="470">
        <f t="shared" si="169"/>
        <v>-7151.648</v>
      </c>
      <c r="Q196" s="470">
        <f t="shared" si="170"/>
        <v>0</v>
      </c>
      <c r="R196" s="470">
        <f t="shared" si="171"/>
        <v>0</v>
      </c>
      <c r="S196" s="470">
        <f t="shared" si="172"/>
        <v>0</v>
      </c>
      <c r="T196" s="470">
        <f t="shared" si="173"/>
        <v>0</v>
      </c>
      <c r="V196" s="470">
        <f t="shared" si="174"/>
        <v>-7151.648</v>
      </c>
      <c r="W196" s="471">
        <v>12</v>
      </c>
      <c r="X196" s="470">
        <f t="shared" si="175"/>
        <v>-595.970666666667</v>
      </c>
      <c r="Z196" s="470">
        <f t="shared" si="176"/>
        <v>-595.970666666667</v>
      </c>
      <c r="AA196" s="473">
        <v>3511.79662266667</v>
      </c>
      <c r="AB196" s="473">
        <f t="shared" si="148"/>
        <v>-4107.76728933334</v>
      </c>
    </row>
    <row r="197" ht="18" spans="2:28">
      <c r="B197" s="18" t="s">
        <v>404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70">
        <v>200000</v>
      </c>
      <c r="K197" s="470">
        <v>0.2</v>
      </c>
      <c r="L197" s="470">
        <f t="shared" si="165"/>
        <v>24458.4</v>
      </c>
      <c r="M197" s="470">
        <f t="shared" si="166"/>
        <v>224458.4</v>
      </c>
      <c r="N197" s="470">
        <f t="shared" si="167"/>
        <v>224458.4</v>
      </c>
      <c r="O197" s="470">
        <f t="shared" si="168"/>
        <v>-102166.4</v>
      </c>
      <c r="P197" s="470">
        <f t="shared" si="169"/>
        <v>-7151.648</v>
      </c>
      <c r="Q197" s="470">
        <f t="shared" si="170"/>
        <v>0</v>
      </c>
      <c r="R197" s="470">
        <f t="shared" si="171"/>
        <v>0</v>
      </c>
      <c r="S197" s="470">
        <f t="shared" si="172"/>
        <v>0</v>
      </c>
      <c r="T197" s="470">
        <f t="shared" si="173"/>
        <v>0</v>
      </c>
      <c r="V197" s="470">
        <f t="shared" si="174"/>
        <v>-7151.648</v>
      </c>
      <c r="W197" s="471">
        <v>12</v>
      </c>
      <c r="X197" s="470">
        <f t="shared" si="175"/>
        <v>-595.970666666667</v>
      </c>
      <c r="Z197" s="470">
        <f t="shared" si="176"/>
        <v>-595.970666666667</v>
      </c>
      <c r="AA197" s="473">
        <v>3511.79662266667</v>
      </c>
      <c r="AB197" s="473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27" workbookViewId="0">
      <selection activeCell="X40" sqref="X40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694</v>
      </c>
      <c r="AA4" s="466"/>
      <c r="AB4" s="466" t="s">
        <v>883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 t="shared" ref="E6:E32" si="0">C6*D6</f>
        <v>23219834.004</v>
      </c>
      <c r="F6" s="470"/>
      <c r="G6" s="470"/>
      <c r="H6" s="470"/>
      <c r="I6" s="470">
        <f t="shared" ref="I6:I32" si="1">E6-F6-G6-H6</f>
        <v>23219834.004</v>
      </c>
      <c r="J6" s="470">
        <v>200000</v>
      </c>
      <c r="K6" s="470">
        <v>0.2</v>
      </c>
      <c r="L6" s="470">
        <f t="shared" ref="L6:L32" si="2">I6*K6</f>
        <v>4643966.8008</v>
      </c>
      <c r="M6" s="470">
        <f t="shared" ref="M6:M32" si="3">J6+L6</f>
        <v>4843966.8008</v>
      </c>
      <c r="N6" s="470">
        <f t="shared" ref="N6:N32" si="4">F6+G6+H6+M6</f>
        <v>4843966.8008</v>
      </c>
      <c r="O6" s="470">
        <f t="shared" ref="O6:O32" si="5">E6-N6</f>
        <v>18375867.2032</v>
      </c>
      <c r="P6" s="470">
        <f t="shared" ref="P6:P32" si="6">IF(O6&lt;300000,0.07*O6,21000)</f>
        <v>21000</v>
      </c>
      <c r="Q6" s="470">
        <f t="shared" ref="Q6:Q32" si="7">IF((O6-300000)&lt;0,0,IF((O6-300000)&lt;300000,0.11*(O6-300000),33000))</f>
        <v>33000</v>
      </c>
      <c r="R6" s="470">
        <f t="shared" ref="R6:R32" si="8">IF((O6-600000)&lt;0,0,IF((O6-600000)&lt;500000,0.15*(O6-600000),75000))</f>
        <v>75000</v>
      </c>
      <c r="S6" s="470">
        <f t="shared" ref="S6:S32" si="9">IF((O6-1100000)&lt;0,0,IF((O6-1100000)&lt;500000,0.19*(O6-1100000),95000))</f>
        <v>95000</v>
      </c>
      <c r="T6" s="470">
        <f t="shared" ref="T6:T32" si="10">IF((O6-1600000)&lt;0,0,IF((O6-1600000)&lt;1600000,0.21*(O6-1600000),336000))</f>
        <v>336000</v>
      </c>
      <c r="U6" s="470">
        <f t="shared" ref="U6:U23" si="11">24%*(O6-3200000)</f>
        <v>3642208.128768</v>
      </c>
      <c r="V6" s="470">
        <f t="shared" ref="V6:V32" si="12">P6+Q6+R6+S6+T6+U6</f>
        <v>4202208.128768</v>
      </c>
      <c r="W6" s="471">
        <v>12</v>
      </c>
      <c r="X6" s="470">
        <f t="shared" ref="X6:X32" si="13">V6/W6</f>
        <v>350184.010730667</v>
      </c>
      <c r="Y6" s="470"/>
      <c r="Z6" s="470">
        <f t="shared" ref="Z6:Z32" si="14">X6</f>
        <v>350184.010730667</v>
      </c>
      <c r="AA6" s="473">
        <v>201165.835946667</v>
      </c>
      <c r="AB6" s="473">
        <f t="shared" ref="AB6:AB32" si="15"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f>852373.166666667+100000</f>
        <v>952373.166666667</v>
      </c>
      <c r="D7" s="469">
        <v>12</v>
      </c>
      <c r="E7" s="470">
        <f t="shared" si="0"/>
        <v>11428478</v>
      </c>
      <c r="F7" s="470"/>
      <c r="G7" s="470">
        <v>731878.24</v>
      </c>
      <c r="H7" s="470"/>
      <c r="I7" s="470">
        <f t="shared" si="1"/>
        <v>10696599.76</v>
      </c>
      <c r="J7" s="470">
        <v>200000</v>
      </c>
      <c r="K7" s="470">
        <v>0.2</v>
      </c>
      <c r="L7" s="470">
        <f t="shared" si="2"/>
        <v>2139319.952</v>
      </c>
      <c r="M7" s="470">
        <f t="shared" si="3"/>
        <v>2339319.952</v>
      </c>
      <c r="N7" s="470">
        <f t="shared" si="4"/>
        <v>3071198.192</v>
      </c>
      <c r="O7" s="470">
        <f t="shared" si="5"/>
        <v>8357279.808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1237747.15392</v>
      </c>
      <c r="V7" s="470">
        <f t="shared" si="12"/>
        <v>1797747.15392</v>
      </c>
      <c r="W7" s="471">
        <v>12</v>
      </c>
      <c r="X7" s="470">
        <f t="shared" si="13"/>
        <v>149812.262826667</v>
      </c>
      <c r="Y7" s="470"/>
      <c r="Z7" s="470">
        <f t="shared" si="14"/>
        <v>149812.262826667</v>
      </c>
      <c r="AA7" s="473">
        <v>82627.9514186667</v>
      </c>
      <c r="AB7" s="473">
        <f t="shared" si="15"/>
        <v>67184.311408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f>1052373.16666667+100000</f>
        <v>1152373.16666667</v>
      </c>
      <c r="D8" s="469">
        <v>12</v>
      </c>
      <c r="E8" s="470">
        <f t="shared" si="0"/>
        <v>13828478</v>
      </c>
      <c r="F8" s="470"/>
      <c r="G8" s="470">
        <v>0</v>
      </c>
      <c r="H8" s="470"/>
      <c r="I8" s="470">
        <f t="shared" si="1"/>
        <v>13828478</v>
      </c>
      <c r="J8" s="470">
        <v>200000</v>
      </c>
      <c r="K8" s="470">
        <v>0.2</v>
      </c>
      <c r="L8" s="470">
        <f t="shared" si="2"/>
        <v>2765695.60000001</v>
      </c>
      <c r="M8" s="470">
        <f t="shared" si="3"/>
        <v>2965695.60000001</v>
      </c>
      <c r="N8" s="470">
        <f t="shared" si="4"/>
        <v>2965695.60000001</v>
      </c>
      <c r="O8" s="470">
        <f t="shared" si="5"/>
        <v>10862782.4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1839067.77600001</v>
      </c>
      <c r="V8" s="470">
        <f t="shared" si="12"/>
        <v>2399067.77600001</v>
      </c>
      <c r="W8" s="471">
        <v>12</v>
      </c>
      <c r="X8" s="470">
        <f t="shared" si="13"/>
        <v>199922.314666667</v>
      </c>
      <c r="Y8" s="470"/>
      <c r="Z8" s="470">
        <f t="shared" si="14"/>
        <v>199922.314666667</v>
      </c>
      <c r="AA8" s="473">
        <v>121027.951418667</v>
      </c>
      <c r="AB8" s="473">
        <f t="shared" si="15"/>
        <v>78894.3632480003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0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1"/>
        <v>10563803.809</v>
      </c>
      <c r="J9" s="470">
        <v>200000</v>
      </c>
      <c r="K9" s="470">
        <v>0.2</v>
      </c>
      <c r="L9" s="470">
        <f t="shared" si="2"/>
        <v>2112760.7618</v>
      </c>
      <c r="M9" s="470">
        <f t="shared" si="3"/>
        <v>2312760.7618</v>
      </c>
      <c r="N9" s="470">
        <f t="shared" si="4"/>
        <v>3057434.9528</v>
      </c>
      <c r="O9" s="470">
        <f t="shared" si="5"/>
        <v>8251043.0472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1212250.331328</v>
      </c>
      <c r="V9" s="470">
        <f t="shared" si="12"/>
        <v>1772250.331328</v>
      </c>
      <c r="W9" s="471">
        <v>12</v>
      </c>
      <c r="X9" s="470">
        <f t="shared" si="13"/>
        <v>147687.527610667</v>
      </c>
      <c r="Y9" s="470"/>
      <c r="Z9" s="470">
        <f t="shared" si="14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300</v>
      </c>
      <c r="C10" s="615">
        <v>1300519.22</v>
      </c>
      <c r="D10" s="469">
        <v>12</v>
      </c>
      <c r="E10" s="470">
        <f t="shared" si="0"/>
        <v>15606230.64</v>
      </c>
      <c r="F10" s="470">
        <f>'[6]JANUARY 2024'!$V$10*12</f>
        <v>12795.951</v>
      </c>
      <c r="G10" s="470">
        <v>731878.24</v>
      </c>
      <c r="H10" s="470"/>
      <c r="I10" s="470">
        <f t="shared" si="1"/>
        <v>14861556.449</v>
      </c>
      <c r="J10" s="470">
        <v>200000</v>
      </c>
      <c r="K10" s="470">
        <v>0.2</v>
      </c>
      <c r="L10" s="470">
        <f t="shared" si="2"/>
        <v>2972311.2898</v>
      </c>
      <c r="M10" s="470">
        <f t="shared" si="3"/>
        <v>3172311.2898</v>
      </c>
      <c r="N10" s="470">
        <f t="shared" si="4"/>
        <v>3916985.4808</v>
      </c>
      <c r="O10" s="470">
        <f t="shared" si="5"/>
        <v>11689245.1592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2037418.838208</v>
      </c>
      <c r="V10" s="470">
        <f t="shared" si="12"/>
        <v>2597418.838208</v>
      </c>
      <c r="W10" s="471">
        <v>12</v>
      </c>
      <c r="X10" s="470">
        <f t="shared" si="13"/>
        <v>216451.569850667</v>
      </c>
      <c r="Y10" s="470"/>
      <c r="Z10" s="470">
        <f t="shared" si="14"/>
        <v>216451.569850667</v>
      </c>
      <c r="AA10" s="473">
        <v>111223.216202667</v>
      </c>
      <c r="AB10" s="473">
        <f t="shared" si="15"/>
        <v>105228.353648</v>
      </c>
      <c r="AC10" s="473"/>
      <c r="AD10" s="473"/>
      <c r="AE10" s="473"/>
    </row>
    <row r="11" ht="18" spans="1:31">
      <c r="A11" s="467">
        <v>8</v>
      </c>
      <c r="B11" s="18" t="s">
        <v>908</v>
      </c>
      <c r="C11" s="468">
        <f>952373.166666667+100000</f>
        <v>1052373.16666667</v>
      </c>
      <c r="D11" s="469">
        <v>12</v>
      </c>
      <c r="E11" s="470">
        <f t="shared" si="0"/>
        <v>12628478</v>
      </c>
      <c r="F11" s="470"/>
      <c r="G11" s="470">
        <v>0</v>
      </c>
      <c r="H11" s="470"/>
      <c r="I11" s="470">
        <f t="shared" si="1"/>
        <v>12628478</v>
      </c>
      <c r="J11" s="470">
        <v>200000</v>
      </c>
      <c r="K11" s="470">
        <v>0.2</v>
      </c>
      <c r="L11" s="470">
        <f t="shared" si="2"/>
        <v>2525695.60000001</v>
      </c>
      <c r="M11" s="470">
        <f t="shared" si="3"/>
        <v>2725695.60000001</v>
      </c>
      <c r="N11" s="470">
        <f t="shared" si="4"/>
        <v>2725695.60000001</v>
      </c>
      <c r="O11" s="470">
        <f t="shared" si="5"/>
        <v>9902782.40000003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1608667.77600001</v>
      </c>
      <c r="V11" s="470">
        <f t="shared" si="12"/>
        <v>2168667.77600001</v>
      </c>
      <c r="W11" s="471">
        <v>12</v>
      </c>
      <c r="X11" s="470">
        <f t="shared" si="13"/>
        <v>180722.314666667</v>
      </c>
      <c r="Y11" s="470"/>
      <c r="Z11" s="470">
        <f t="shared" si="14"/>
        <v>180722.314666667</v>
      </c>
      <c r="AA11" s="473">
        <v>101827.951418667</v>
      </c>
      <c r="AB11" s="473">
        <f t="shared" si="15"/>
        <v>78894.3632480003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856034</v>
      </c>
      <c r="D12" s="469">
        <v>12</v>
      </c>
      <c r="E12" s="470">
        <f t="shared" si="0"/>
        <v>10272408</v>
      </c>
      <c r="F12" s="470">
        <f>10293.3979166667*12</f>
        <v>123520.775</v>
      </c>
      <c r="G12" s="470">
        <f>59136.2866666667*12</f>
        <v>709635.44</v>
      </c>
      <c r="H12" s="470"/>
      <c r="I12" s="470">
        <f t="shared" si="1"/>
        <v>9439251.785</v>
      </c>
      <c r="J12" s="470">
        <v>200000</v>
      </c>
      <c r="K12" s="470">
        <v>0.2</v>
      </c>
      <c r="L12" s="470">
        <f t="shared" si="2"/>
        <v>1887850.357</v>
      </c>
      <c r="M12" s="470">
        <f t="shared" si="3"/>
        <v>2087850.357</v>
      </c>
      <c r="N12" s="470">
        <f t="shared" si="4"/>
        <v>2921006.572</v>
      </c>
      <c r="O12" s="470">
        <f t="shared" si="5"/>
        <v>7351401.428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996336.34272</v>
      </c>
      <c r="V12" s="470">
        <f t="shared" si="12"/>
        <v>1556336.34272</v>
      </c>
      <c r="W12" s="471">
        <v>12</v>
      </c>
      <c r="X12" s="470">
        <f t="shared" si="13"/>
        <v>129694.695226667</v>
      </c>
      <c r="Y12" s="470"/>
      <c r="Z12" s="470">
        <f t="shared" si="14"/>
        <v>129694.695226667</v>
      </c>
      <c r="AA12" s="473">
        <v>74036.1031466667</v>
      </c>
      <c r="AB12" s="473">
        <f t="shared" si="15"/>
        <v>55658.5920799999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f>842118.083333333+100000</f>
        <v>942118.083333333</v>
      </c>
      <c r="D13" s="469">
        <v>12</v>
      </c>
      <c r="E13" s="470">
        <f t="shared" si="0"/>
        <v>11305417</v>
      </c>
      <c r="F13" s="470">
        <f>'[6]JANUARY 2024'!$V$14*12</f>
        <v>9305.952</v>
      </c>
      <c r="G13" s="470">
        <v>558833.36</v>
      </c>
      <c r="H13" s="470"/>
      <c r="I13" s="470">
        <f t="shared" si="1"/>
        <v>10737277.688</v>
      </c>
      <c r="J13" s="470">
        <v>200000</v>
      </c>
      <c r="K13" s="470">
        <v>0.2</v>
      </c>
      <c r="L13" s="470">
        <f t="shared" si="2"/>
        <v>2147455.5376</v>
      </c>
      <c r="M13" s="470">
        <f t="shared" si="3"/>
        <v>2347455.5376</v>
      </c>
      <c r="N13" s="470">
        <f t="shared" si="4"/>
        <v>2915594.8496</v>
      </c>
      <c r="O13" s="470">
        <f t="shared" si="5"/>
        <v>8389822.1504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1245557.316096</v>
      </c>
      <c r="V13" s="470">
        <f t="shared" si="12"/>
        <v>1805557.316096</v>
      </c>
      <c r="W13" s="471">
        <v>12</v>
      </c>
      <c r="X13" s="470">
        <f t="shared" si="13"/>
        <v>150463.109674667</v>
      </c>
      <c r="Y13" s="470"/>
      <c r="Z13" s="470">
        <f t="shared" si="14"/>
        <v>150463.109674667</v>
      </c>
      <c r="AA13" s="473">
        <v>94625.7820586667</v>
      </c>
      <c r="AB13" s="473">
        <f t="shared" si="15"/>
        <v>55837.3276159999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0"/>
        <v>6652485</v>
      </c>
      <c r="F14" s="470"/>
      <c r="G14" s="470">
        <v>464998.8</v>
      </c>
      <c r="H14" s="470"/>
      <c r="I14" s="470">
        <f t="shared" si="1"/>
        <v>6187486.2</v>
      </c>
      <c r="J14" s="470">
        <v>200000</v>
      </c>
      <c r="K14" s="470">
        <v>0.2</v>
      </c>
      <c r="L14" s="470">
        <f t="shared" si="2"/>
        <v>1237497.24</v>
      </c>
      <c r="M14" s="470">
        <f t="shared" si="3"/>
        <v>1437497.24</v>
      </c>
      <c r="N14" s="470">
        <f t="shared" si="4"/>
        <v>1902496.04</v>
      </c>
      <c r="O14" s="470">
        <f t="shared" si="5"/>
        <v>4749988.96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371997.3504</v>
      </c>
      <c r="V14" s="470">
        <f t="shared" si="12"/>
        <v>931997.3504</v>
      </c>
      <c r="W14" s="471">
        <v>12</v>
      </c>
      <c r="X14" s="470">
        <f t="shared" si="13"/>
        <v>77666.4458666667</v>
      </c>
      <c r="Y14" s="470"/>
      <c r="Z14" s="470">
        <f t="shared" si="14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f>660498</f>
        <v>660498</v>
      </c>
      <c r="D15" s="469">
        <v>12</v>
      </c>
      <c r="E15" s="470">
        <f t="shared" si="0"/>
        <v>7925976</v>
      </c>
      <c r="F15" s="470"/>
      <c r="G15" s="474">
        <v>451678.08</v>
      </c>
      <c r="H15" s="470"/>
      <c r="I15" s="470">
        <f t="shared" si="1"/>
        <v>7474297.92</v>
      </c>
      <c r="J15" s="470">
        <v>200000</v>
      </c>
      <c r="K15" s="470">
        <v>0.2</v>
      </c>
      <c r="L15" s="470">
        <f t="shared" si="2"/>
        <v>1494859.584</v>
      </c>
      <c r="M15" s="470">
        <f t="shared" si="3"/>
        <v>1694859.584</v>
      </c>
      <c r="N15" s="470">
        <f t="shared" si="4"/>
        <v>2146537.664</v>
      </c>
      <c r="O15" s="470">
        <f t="shared" si="5"/>
        <v>5779438.336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619065.20064</v>
      </c>
      <c r="V15" s="470">
        <f t="shared" si="12"/>
        <v>1179065.20064</v>
      </c>
      <c r="W15" s="471">
        <v>12</v>
      </c>
      <c r="X15" s="470">
        <f t="shared" si="13"/>
        <v>98255.4333866667</v>
      </c>
      <c r="Y15" s="470"/>
      <c r="Z15" s="470">
        <f t="shared" si="14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f>732746.5+100000</f>
        <v>832746.5</v>
      </c>
      <c r="D16" s="469">
        <v>12</v>
      </c>
      <c r="E16" s="470">
        <f t="shared" si="0"/>
        <v>9992958</v>
      </c>
      <c r="F16" s="470"/>
      <c r="G16" s="470">
        <v>425036.64</v>
      </c>
      <c r="H16" s="470"/>
      <c r="I16" s="470">
        <f t="shared" si="1"/>
        <v>9567921.36</v>
      </c>
      <c r="J16" s="470">
        <v>200000</v>
      </c>
      <c r="K16" s="470">
        <v>0.2</v>
      </c>
      <c r="L16" s="470">
        <f t="shared" si="2"/>
        <v>1913584.272</v>
      </c>
      <c r="M16" s="470">
        <f t="shared" si="3"/>
        <v>2113584.272</v>
      </c>
      <c r="N16" s="470">
        <f t="shared" si="4"/>
        <v>2538620.912</v>
      </c>
      <c r="O16" s="470">
        <f t="shared" si="5"/>
        <v>7454337.088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1021040.90112</v>
      </c>
      <c r="V16" s="470">
        <f t="shared" si="12"/>
        <v>1581040.90112</v>
      </c>
      <c r="W16" s="471">
        <v>12</v>
      </c>
      <c r="X16" s="470">
        <f t="shared" si="13"/>
        <v>131753.408426667</v>
      </c>
      <c r="Y16" s="470"/>
      <c r="Z16" s="470">
        <f t="shared" si="14"/>
        <v>131753.408426667</v>
      </c>
      <c r="AA16" s="473">
        <v>46666.6666666667</v>
      </c>
      <c r="AB16" s="473">
        <f t="shared" si="15"/>
        <v>85086.74176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0"/>
        <v>6141659</v>
      </c>
      <c r="F17" s="470"/>
      <c r="G17" s="470">
        <v>424132.72</v>
      </c>
      <c r="H17" s="470"/>
      <c r="I17" s="470">
        <f t="shared" si="1"/>
        <v>5717526.28</v>
      </c>
      <c r="J17" s="470">
        <v>200000</v>
      </c>
      <c r="K17" s="470">
        <v>0.2</v>
      </c>
      <c r="L17" s="470">
        <f t="shared" si="2"/>
        <v>1143505.256</v>
      </c>
      <c r="M17" s="470">
        <f t="shared" si="3"/>
        <v>1343505.256</v>
      </c>
      <c r="N17" s="470">
        <f t="shared" si="4"/>
        <v>1767637.976</v>
      </c>
      <c r="O17" s="470">
        <f t="shared" si="5"/>
        <v>4374021.024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281765.045760001</v>
      </c>
      <c r="V17" s="470">
        <f t="shared" si="12"/>
        <v>841765.045760001</v>
      </c>
      <c r="W17" s="471">
        <v>12</v>
      </c>
      <c r="X17" s="470">
        <f t="shared" si="13"/>
        <v>70147.0871466667</v>
      </c>
      <c r="Y17" s="470"/>
      <c r="Z17" s="470">
        <f t="shared" si="14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0"/>
        <v>6586991</v>
      </c>
      <c r="F18" s="470"/>
      <c r="G18" s="470">
        <v>411759.28</v>
      </c>
      <c r="H18" s="470"/>
      <c r="I18" s="470">
        <f t="shared" si="1"/>
        <v>6175231.72</v>
      </c>
      <c r="J18" s="470">
        <v>200000</v>
      </c>
      <c r="K18" s="470">
        <v>0.2</v>
      </c>
      <c r="L18" s="470">
        <f t="shared" si="2"/>
        <v>1235046.344</v>
      </c>
      <c r="M18" s="470">
        <f t="shared" si="3"/>
        <v>1435046.344</v>
      </c>
      <c r="N18" s="470">
        <f t="shared" si="4"/>
        <v>1846805.624</v>
      </c>
      <c r="O18" s="470">
        <f t="shared" si="5"/>
        <v>4740185.376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369644.490240001</v>
      </c>
      <c r="V18" s="470">
        <f t="shared" si="12"/>
        <v>929644.490240001</v>
      </c>
      <c r="W18" s="471">
        <v>12</v>
      </c>
      <c r="X18" s="470">
        <f t="shared" si="13"/>
        <v>77470.3741866667</v>
      </c>
      <c r="Y18" s="470"/>
      <c r="Z18" s="470">
        <f t="shared" si="14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f>636026.916666667+100000</f>
        <v>736026.916666667</v>
      </c>
      <c r="D19" s="469">
        <v>12</v>
      </c>
      <c r="E19" s="470">
        <f t="shared" si="0"/>
        <v>8832323</v>
      </c>
      <c r="F19" s="470">
        <f>618.53*12</f>
        <v>7422.36</v>
      </c>
      <c r="G19" s="470">
        <v>399385.84</v>
      </c>
      <c r="H19" s="470"/>
      <c r="I19" s="470">
        <f t="shared" si="1"/>
        <v>8425514.8</v>
      </c>
      <c r="J19" s="470">
        <v>200000</v>
      </c>
      <c r="K19" s="470">
        <v>0.2</v>
      </c>
      <c r="L19" s="470">
        <f t="shared" si="2"/>
        <v>1685102.96</v>
      </c>
      <c r="M19" s="470">
        <f t="shared" si="3"/>
        <v>1885102.96</v>
      </c>
      <c r="N19" s="470">
        <f t="shared" si="4"/>
        <v>2291911.16</v>
      </c>
      <c r="O19" s="470">
        <f t="shared" si="5"/>
        <v>6540411.84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801698.841600001</v>
      </c>
      <c r="V19" s="470">
        <f t="shared" si="12"/>
        <v>1361698.8416</v>
      </c>
      <c r="W19" s="471">
        <v>12</v>
      </c>
      <c r="X19" s="470">
        <f t="shared" si="13"/>
        <v>113474.903466667</v>
      </c>
      <c r="Y19" s="470"/>
      <c r="Z19" s="470">
        <f t="shared" si="14"/>
        <v>113474.903466667</v>
      </c>
      <c r="AA19" s="473">
        <v>46666.6666666667</v>
      </c>
      <c r="AB19" s="473">
        <f t="shared" si="15"/>
        <v>66808.2368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0"/>
        <v>6454742</v>
      </c>
      <c r="F20" s="470"/>
      <c r="G20" s="470">
        <v>362779.36</v>
      </c>
      <c r="H20" s="470"/>
      <c r="I20" s="470">
        <f t="shared" si="1"/>
        <v>6091962.64</v>
      </c>
      <c r="J20" s="470">
        <v>200000</v>
      </c>
      <c r="K20" s="470">
        <v>0.2</v>
      </c>
      <c r="L20" s="470">
        <f t="shared" si="2"/>
        <v>1218392.528</v>
      </c>
      <c r="M20" s="470">
        <f t="shared" si="3"/>
        <v>1418392.528</v>
      </c>
      <c r="N20" s="470">
        <f t="shared" si="4"/>
        <v>1781171.888</v>
      </c>
      <c r="O20" s="470">
        <f t="shared" si="5"/>
        <v>4673570.112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353656.826880001</v>
      </c>
      <c r="V20" s="470">
        <f t="shared" si="12"/>
        <v>913656.826880001</v>
      </c>
      <c r="W20" s="471">
        <v>12</v>
      </c>
      <c r="X20" s="470">
        <f t="shared" si="13"/>
        <v>76138.0689066667</v>
      </c>
      <c r="Y20" s="470"/>
      <c r="Z20" s="470">
        <f t="shared" si="14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f>553512.5+100000</f>
        <v>653512.5</v>
      </c>
      <c r="D21" s="469">
        <v>12</v>
      </c>
      <c r="E21" s="470">
        <f t="shared" si="0"/>
        <v>7842150</v>
      </c>
      <c r="F21" s="470"/>
      <c r="G21" s="470">
        <v>339372</v>
      </c>
      <c r="H21" s="470"/>
      <c r="I21" s="470">
        <f t="shared" si="1"/>
        <v>7502778</v>
      </c>
      <c r="J21" s="470">
        <v>200000</v>
      </c>
      <c r="K21" s="470">
        <v>0.2</v>
      </c>
      <c r="L21" s="470">
        <f t="shared" si="2"/>
        <v>1500555.6</v>
      </c>
      <c r="M21" s="470">
        <f t="shared" si="3"/>
        <v>1700555.6</v>
      </c>
      <c r="N21" s="470">
        <f t="shared" si="4"/>
        <v>2039927.6</v>
      </c>
      <c r="O21" s="470">
        <f t="shared" si="5"/>
        <v>5802222.4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624533.376</v>
      </c>
      <c r="V21" s="470">
        <f t="shared" si="12"/>
        <v>1184533.376</v>
      </c>
      <c r="W21" s="471">
        <v>12</v>
      </c>
      <c r="X21" s="470">
        <f t="shared" si="13"/>
        <v>98711.1146666667</v>
      </c>
      <c r="Y21" s="470"/>
      <c r="Z21" s="470">
        <f t="shared" si="14"/>
        <v>98711.1146666667</v>
      </c>
      <c r="AA21" s="473">
        <v>46666.6666666667</v>
      </c>
      <c r="AB21" s="473">
        <f t="shared" si="15"/>
        <v>52044.448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0"/>
        <v>5562150</v>
      </c>
      <c r="F22" s="470"/>
      <c r="G22" s="470">
        <v>339372</v>
      </c>
      <c r="H22" s="470"/>
      <c r="I22" s="470">
        <f t="shared" si="1"/>
        <v>5222778</v>
      </c>
      <c r="J22" s="470">
        <v>200000</v>
      </c>
      <c r="K22" s="470">
        <v>0.2</v>
      </c>
      <c r="L22" s="470">
        <f t="shared" si="2"/>
        <v>1044555.6</v>
      </c>
      <c r="M22" s="470">
        <f t="shared" si="3"/>
        <v>1244555.6</v>
      </c>
      <c r="N22" s="470">
        <f t="shared" si="4"/>
        <v>1583927.6</v>
      </c>
      <c r="O22" s="470">
        <f t="shared" si="5"/>
        <v>3978222.4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186773.376</v>
      </c>
      <c r="V22" s="470">
        <f t="shared" si="12"/>
        <v>746773.376</v>
      </c>
      <c r="W22" s="471">
        <v>12</v>
      </c>
      <c r="X22" s="470">
        <f t="shared" si="13"/>
        <v>62231.1146666667</v>
      </c>
      <c r="Y22" s="470"/>
      <c r="Z22" s="470">
        <f t="shared" si="14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f>453029.666666667+100000</f>
        <v>553029.666666667</v>
      </c>
      <c r="D23" s="469">
        <v>12</v>
      </c>
      <c r="E23" s="470">
        <f t="shared" si="0"/>
        <v>6636356</v>
      </c>
      <c r="F23" s="470"/>
      <c r="G23" s="470">
        <v>281308.48</v>
      </c>
      <c r="H23" s="470"/>
      <c r="I23" s="470">
        <f t="shared" si="1"/>
        <v>6355047.52</v>
      </c>
      <c r="J23" s="470">
        <v>200000</v>
      </c>
      <c r="K23" s="470">
        <v>0.2</v>
      </c>
      <c r="L23" s="470">
        <f t="shared" si="2"/>
        <v>1271009.504</v>
      </c>
      <c r="M23" s="470">
        <f t="shared" si="3"/>
        <v>1471009.504</v>
      </c>
      <c r="N23" s="470">
        <f t="shared" si="4"/>
        <v>1752317.984</v>
      </c>
      <c r="O23" s="470">
        <f t="shared" si="5"/>
        <v>4884038.016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404169.123840001</v>
      </c>
      <c r="V23" s="470">
        <f t="shared" si="12"/>
        <v>964169.123840001</v>
      </c>
      <c r="W23" s="471">
        <v>12</v>
      </c>
      <c r="X23" s="470">
        <f t="shared" si="13"/>
        <v>80347.4269866667</v>
      </c>
      <c r="Y23" s="470"/>
      <c r="Z23" s="470">
        <f t="shared" si="14"/>
        <v>80347.4269866667</v>
      </c>
      <c r="AA23" s="473">
        <v>42371.8157286667</v>
      </c>
      <c r="AB23" s="473">
        <f t="shared" si="15"/>
        <v>37975.611258</v>
      </c>
      <c r="AC23" s="473"/>
      <c r="AD23" s="473"/>
      <c r="AE23" s="473"/>
    </row>
    <row r="24" ht="18" spans="1:31">
      <c r="A24" s="467">
        <v>21</v>
      </c>
      <c r="B24" s="4" t="s">
        <v>478</v>
      </c>
      <c r="C24" s="468">
        <v>330481.666666667</v>
      </c>
      <c r="D24" s="469">
        <v>12</v>
      </c>
      <c r="E24" s="470">
        <f t="shared" si="0"/>
        <v>3965780</v>
      </c>
      <c r="F24" s="470"/>
      <c r="G24" s="470">
        <v>259662.4</v>
      </c>
      <c r="H24" s="470"/>
      <c r="I24" s="470">
        <f t="shared" si="1"/>
        <v>3706117.6</v>
      </c>
      <c r="J24" s="470">
        <v>200000</v>
      </c>
      <c r="K24" s="470">
        <v>0.2</v>
      </c>
      <c r="L24" s="470">
        <f t="shared" si="2"/>
        <v>741223.520000001</v>
      </c>
      <c r="M24" s="470">
        <f t="shared" si="3"/>
        <v>941223.520000001</v>
      </c>
      <c r="N24" s="470">
        <f t="shared" si="4"/>
        <v>1200885.92</v>
      </c>
      <c r="O24" s="470">
        <f t="shared" si="5"/>
        <v>2764894.08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244627.756800001</v>
      </c>
      <c r="U24" s="470"/>
      <c r="V24" s="470">
        <f t="shared" si="12"/>
        <v>468627.756800001</v>
      </c>
      <c r="W24" s="471">
        <v>12</v>
      </c>
      <c r="X24" s="470">
        <f t="shared" si="13"/>
        <v>39052.3130666667</v>
      </c>
      <c r="Y24" s="470"/>
      <c r="Z24" s="470">
        <f t="shared" si="14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0"/>
        <v>3965780</v>
      </c>
      <c r="F25" s="470"/>
      <c r="G25" s="470">
        <v>259662.4</v>
      </c>
      <c r="H25" s="470"/>
      <c r="I25" s="470">
        <f t="shared" si="1"/>
        <v>3706117.6</v>
      </c>
      <c r="J25" s="470">
        <v>200000</v>
      </c>
      <c r="K25" s="470">
        <v>0.2</v>
      </c>
      <c r="L25" s="470">
        <f t="shared" si="2"/>
        <v>741223.520000001</v>
      </c>
      <c r="M25" s="470">
        <f t="shared" si="3"/>
        <v>941223.520000001</v>
      </c>
      <c r="N25" s="470">
        <f t="shared" si="4"/>
        <v>1200885.92</v>
      </c>
      <c r="O25" s="470">
        <f t="shared" si="5"/>
        <v>2764894.08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244627.756800001</v>
      </c>
      <c r="U25" s="470"/>
      <c r="V25" s="470">
        <f t="shared" si="12"/>
        <v>468627.756800001</v>
      </c>
      <c r="W25" s="471">
        <v>12</v>
      </c>
      <c r="X25" s="470">
        <f t="shared" si="13"/>
        <v>39052.3130666667</v>
      </c>
      <c r="Y25" s="470"/>
      <c r="Z25" s="470">
        <f t="shared" si="14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0"/>
        <v>4445780</v>
      </c>
      <c r="F26" s="470"/>
      <c r="G26" s="470">
        <v>259662.4</v>
      </c>
      <c r="H26" s="470"/>
      <c r="I26" s="470">
        <f t="shared" si="1"/>
        <v>4186117.6</v>
      </c>
      <c r="J26" s="470">
        <v>200000</v>
      </c>
      <c r="K26" s="470">
        <v>0.2</v>
      </c>
      <c r="L26" s="470">
        <f t="shared" si="2"/>
        <v>837223.520000001</v>
      </c>
      <c r="M26" s="470">
        <f t="shared" si="3"/>
        <v>1037223.52</v>
      </c>
      <c r="N26" s="470">
        <f t="shared" si="4"/>
        <v>1296885.92</v>
      </c>
      <c r="O26" s="470">
        <f t="shared" si="5"/>
        <v>3148894.08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325267.756800001</v>
      </c>
      <c r="U26" s="470"/>
      <c r="V26" s="470">
        <f t="shared" si="12"/>
        <v>549267.756800001</v>
      </c>
      <c r="W26" s="471">
        <v>12</v>
      </c>
      <c r="X26" s="470">
        <f t="shared" si="13"/>
        <v>45772.3130666667</v>
      </c>
      <c r="Y26" s="470"/>
      <c r="Z26" s="470">
        <f t="shared" si="14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0"/>
        <v>3877984</v>
      </c>
      <c r="F27" s="470"/>
      <c r="G27" s="470">
        <v>252638.72</v>
      </c>
      <c r="H27" s="470"/>
      <c r="I27" s="470">
        <f t="shared" si="1"/>
        <v>3625345.28</v>
      </c>
      <c r="J27" s="470">
        <v>200000</v>
      </c>
      <c r="K27" s="470">
        <v>0.2</v>
      </c>
      <c r="L27" s="470">
        <f t="shared" si="2"/>
        <v>725069.055999999</v>
      </c>
      <c r="M27" s="470">
        <f t="shared" si="3"/>
        <v>925069.055999999</v>
      </c>
      <c r="N27" s="470">
        <f t="shared" si="4"/>
        <v>1177707.776</v>
      </c>
      <c r="O27" s="470">
        <f t="shared" si="5"/>
        <v>2700276.224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231058.007039999</v>
      </c>
      <c r="U27" s="470"/>
      <c r="V27" s="470">
        <f t="shared" si="12"/>
        <v>455058.007039999</v>
      </c>
      <c r="W27" s="471">
        <v>12</v>
      </c>
      <c r="X27" s="470">
        <f t="shared" si="13"/>
        <v>37921.5005866666</v>
      </c>
      <c r="Y27" s="470"/>
      <c r="Z27" s="470">
        <f t="shared" si="14"/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0"/>
        <v>3790188</v>
      </c>
      <c r="F28" s="470"/>
      <c r="G28" s="470">
        <v>245615.04</v>
      </c>
      <c r="H28" s="470"/>
      <c r="I28" s="470">
        <f t="shared" si="1"/>
        <v>3544572.96</v>
      </c>
      <c r="J28" s="470">
        <v>200000</v>
      </c>
      <c r="K28" s="470">
        <v>0.2</v>
      </c>
      <c r="L28" s="470">
        <f t="shared" si="2"/>
        <v>708914.592</v>
      </c>
      <c r="M28" s="470">
        <f t="shared" si="3"/>
        <v>908914.592</v>
      </c>
      <c r="N28" s="470">
        <f t="shared" si="4"/>
        <v>1154529.632</v>
      </c>
      <c r="O28" s="470">
        <f t="shared" si="5"/>
        <v>2635658.368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217488.25728</v>
      </c>
      <c r="U28" s="470"/>
      <c r="V28" s="470">
        <f t="shared" si="12"/>
        <v>441488.25728</v>
      </c>
      <c r="W28" s="471">
        <v>12</v>
      </c>
      <c r="X28" s="470">
        <f t="shared" si="13"/>
        <v>36790.6881066667</v>
      </c>
      <c r="Y28" s="470"/>
      <c r="Z28" s="470">
        <f t="shared" si="14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0"/>
        <v>3790188</v>
      </c>
      <c r="F29" s="470"/>
      <c r="G29" s="470">
        <v>245615.04</v>
      </c>
      <c r="H29" s="470"/>
      <c r="I29" s="470">
        <f t="shared" si="1"/>
        <v>3544572.96</v>
      </c>
      <c r="J29" s="470">
        <v>200000</v>
      </c>
      <c r="K29" s="470">
        <v>0.2</v>
      </c>
      <c r="L29" s="470">
        <f t="shared" si="2"/>
        <v>708914.592</v>
      </c>
      <c r="M29" s="470">
        <f t="shared" si="3"/>
        <v>908914.592</v>
      </c>
      <c r="N29" s="470">
        <f t="shared" si="4"/>
        <v>1154529.632</v>
      </c>
      <c r="O29" s="470">
        <f t="shared" si="5"/>
        <v>2635658.368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217488.25728</v>
      </c>
      <c r="U29" s="470"/>
      <c r="V29" s="470">
        <f t="shared" si="12"/>
        <v>441488.25728</v>
      </c>
      <c r="W29" s="471">
        <v>12</v>
      </c>
      <c r="X29" s="470">
        <f t="shared" si="13"/>
        <v>36790.6881066667</v>
      </c>
      <c r="Y29" s="470"/>
      <c r="Z29" s="470">
        <f t="shared" si="14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0"/>
        <v>3965780</v>
      </c>
      <c r="F30" s="470"/>
      <c r="G30" s="470">
        <v>259662.4</v>
      </c>
      <c r="H30" s="470"/>
      <c r="I30" s="470">
        <f t="shared" si="1"/>
        <v>3706117.6</v>
      </c>
      <c r="J30" s="470">
        <v>200000</v>
      </c>
      <c r="K30" s="470">
        <v>0.2</v>
      </c>
      <c r="L30" s="470">
        <f t="shared" si="2"/>
        <v>741223.520000001</v>
      </c>
      <c r="M30" s="470">
        <f t="shared" si="3"/>
        <v>941223.520000001</v>
      </c>
      <c r="N30" s="470">
        <f t="shared" si="4"/>
        <v>1200885.92</v>
      </c>
      <c r="O30" s="470">
        <f t="shared" si="5"/>
        <v>2764894.08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244627.756800001</v>
      </c>
      <c r="U30" s="470"/>
      <c r="V30" s="470">
        <f t="shared" si="12"/>
        <v>468627.756800001</v>
      </c>
      <c r="W30" s="471">
        <v>12</v>
      </c>
      <c r="X30" s="470">
        <f t="shared" si="13"/>
        <v>39052.3130666667</v>
      </c>
      <c r="Y30" s="470"/>
      <c r="Z30" s="470">
        <f t="shared" si="14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0"/>
        <v>3367583</v>
      </c>
      <c r="F31" s="470"/>
      <c r="G31" s="474">
        <v>221406.64</v>
      </c>
      <c r="H31" s="470"/>
      <c r="I31" s="470">
        <f t="shared" si="1"/>
        <v>3146176.36</v>
      </c>
      <c r="J31" s="470">
        <v>200000</v>
      </c>
      <c r="K31" s="470">
        <v>0.2</v>
      </c>
      <c r="L31" s="470">
        <f t="shared" si="2"/>
        <v>629235.272000001</v>
      </c>
      <c r="M31" s="470">
        <f t="shared" si="3"/>
        <v>829235.272000001</v>
      </c>
      <c r="N31" s="470">
        <f t="shared" si="4"/>
        <v>1050641.912</v>
      </c>
      <c r="O31" s="470">
        <f t="shared" si="5"/>
        <v>2316941.088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150557.628480001</v>
      </c>
      <c r="U31" s="470"/>
      <c r="V31" s="470">
        <f t="shared" si="12"/>
        <v>374557.628480001</v>
      </c>
      <c r="W31" s="471">
        <v>12</v>
      </c>
      <c r="X31" s="470">
        <f t="shared" si="13"/>
        <v>31213.1357066667</v>
      </c>
      <c r="Y31" s="470"/>
      <c r="Z31" s="470">
        <f t="shared" si="14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0"/>
        <v>3293517</v>
      </c>
      <c r="F32" s="470"/>
      <c r="G32" s="474">
        <f>17956.78*12</f>
        <v>215481.36</v>
      </c>
      <c r="H32" s="470"/>
      <c r="I32" s="470">
        <f t="shared" si="1"/>
        <v>3078035.64</v>
      </c>
      <c r="J32" s="470">
        <v>200000</v>
      </c>
      <c r="K32" s="470">
        <v>0.2</v>
      </c>
      <c r="L32" s="470">
        <f t="shared" si="2"/>
        <v>615607.128</v>
      </c>
      <c r="M32" s="470">
        <f t="shared" si="3"/>
        <v>815607.128</v>
      </c>
      <c r="N32" s="470">
        <f t="shared" si="4"/>
        <v>1031088.488</v>
      </c>
      <c r="O32" s="470">
        <f t="shared" si="5"/>
        <v>2262428.512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139109.98752</v>
      </c>
      <c r="U32" s="470"/>
      <c r="V32" s="470">
        <f t="shared" si="12"/>
        <v>363109.98752</v>
      </c>
      <c r="W32" s="471">
        <v>12</v>
      </c>
      <c r="X32" s="470">
        <f t="shared" si="13"/>
        <v>30259.1656266667</v>
      </c>
      <c r="Y32" s="470"/>
      <c r="Z32" s="470">
        <f t="shared" si="14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 t="shared" ref="E35:E37" si="16">C35*D35</f>
        <v>18428640</v>
      </c>
      <c r="F35" s="470"/>
      <c r="G35" s="474">
        <v>1378291.2</v>
      </c>
      <c r="H35" s="470"/>
      <c r="I35" s="470">
        <f t="shared" ref="I35:I37" si="17">E35-F35-G35-H35</f>
        <v>17050348.8</v>
      </c>
      <c r="J35" s="470">
        <v>200000</v>
      </c>
      <c r="K35" s="470">
        <v>0.2</v>
      </c>
      <c r="L35" s="470">
        <f t="shared" ref="L35:L37" si="18">I35*K35</f>
        <v>3410069.76</v>
      </c>
      <c r="M35" s="470">
        <f t="shared" ref="M35:M37" si="19">J35+L35</f>
        <v>3610069.76</v>
      </c>
      <c r="N35" s="470">
        <f t="shared" ref="N35:N37" si="20">F35+G35+H35+M35</f>
        <v>4988360.96</v>
      </c>
      <c r="O35" s="470">
        <f t="shared" ref="O35:O37" si="21">E35-N35</f>
        <v>13440279.04</v>
      </c>
      <c r="P35" s="470">
        <f t="shared" ref="P35:P37" si="22">IF(O35&lt;300000,0.07*O35,21000)</f>
        <v>21000</v>
      </c>
      <c r="Q35" s="470">
        <f t="shared" ref="Q35:Q37" si="23">IF((O35-300000)&lt;0,0,IF((O35-300000)&lt;300000,0.11*(O35-300000),33000))</f>
        <v>33000</v>
      </c>
      <c r="R35" s="470">
        <f t="shared" ref="R35:R37" si="24">IF((O35-600000)&lt;0,0,IF((O35-600000)&lt;500000,0.15*(O35-600000),75000))</f>
        <v>75000</v>
      </c>
      <c r="S35" s="470">
        <f t="shared" ref="S35:S37" si="25">IF((O35-1100000)&lt;0,0,IF((O35-1100000)&lt;500000,0.19*(O35-1100000),95000))</f>
        <v>95000</v>
      </c>
      <c r="T35" s="470">
        <f t="shared" ref="T35:T37" si="26">IF((O35-1600000)&lt;0,0,IF((O35-1600000)&lt;1600000,0.21*(O35-1600000),336000))</f>
        <v>336000</v>
      </c>
      <c r="U35" s="470">
        <f>24%*(O35-3200000)</f>
        <v>2457666.9696</v>
      </c>
      <c r="V35" s="470">
        <f t="shared" ref="V35:V37" si="27">P35+Q35+R35+S35+T35+U35</f>
        <v>3017666.9696</v>
      </c>
      <c r="W35" s="470">
        <v>12</v>
      </c>
      <c r="X35" s="470">
        <f t="shared" ref="X35:X37" si="28">V35/W35</f>
        <v>251472.247466667</v>
      </c>
      <c r="Y35" s="470"/>
      <c r="Z35" s="470">
        <f t="shared" ref="Z35:Z37" si="29">X35</f>
        <v>251472.247466667</v>
      </c>
      <c r="AA35" s="470">
        <v>161106.806858667</v>
      </c>
      <c r="AB35" s="470">
        <f t="shared" ref="AB35:AB37" si="30"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 t="shared" si="16"/>
        <v>4236356</v>
      </c>
      <c r="F36" s="470"/>
      <c r="G36" s="474">
        <v>281308.48</v>
      </c>
      <c r="H36" s="470"/>
      <c r="I36" s="470">
        <f t="shared" si="17"/>
        <v>3955047.52</v>
      </c>
      <c r="J36" s="470">
        <v>200000</v>
      </c>
      <c r="K36" s="470">
        <v>0.2</v>
      </c>
      <c r="L36" s="470">
        <f t="shared" si="18"/>
        <v>791009.504000001</v>
      </c>
      <c r="M36" s="470">
        <f t="shared" si="19"/>
        <v>991009.504000001</v>
      </c>
      <c r="N36" s="470">
        <f t="shared" si="20"/>
        <v>1272317.984</v>
      </c>
      <c r="O36" s="470">
        <f t="shared" si="21"/>
        <v>2964038.016</v>
      </c>
      <c r="P36" s="470">
        <f t="shared" si="22"/>
        <v>21000</v>
      </c>
      <c r="Q36" s="470">
        <f t="shared" si="23"/>
        <v>33000</v>
      </c>
      <c r="R36" s="470">
        <f t="shared" si="24"/>
        <v>75000</v>
      </c>
      <c r="S36" s="470">
        <f t="shared" si="25"/>
        <v>95000</v>
      </c>
      <c r="T36" s="470">
        <f t="shared" si="26"/>
        <v>286447.983360001</v>
      </c>
      <c r="U36" s="470"/>
      <c r="V36" s="470">
        <f t="shared" si="27"/>
        <v>510447.983360001</v>
      </c>
      <c r="W36" s="470">
        <v>12</v>
      </c>
      <c r="X36" s="470">
        <f t="shared" si="28"/>
        <v>42537.3319466667</v>
      </c>
      <c r="Y36" s="470"/>
      <c r="Z36" s="470">
        <f t="shared" si="29"/>
        <v>42537.3319466667</v>
      </c>
      <c r="AA36" s="473">
        <v>17042.7138666667</v>
      </c>
      <c r="AB36" s="470">
        <f t="shared" si="30"/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 t="shared" si="16"/>
        <v>4331587</v>
      </c>
      <c r="F37" s="470"/>
      <c r="G37" s="474">
        <v>288926.96</v>
      </c>
      <c r="H37" s="470"/>
      <c r="I37" s="470">
        <f t="shared" si="17"/>
        <v>4042660.04</v>
      </c>
      <c r="J37" s="470">
        <v>200000</v>
      </c>
      <c r="K37" s="470">
        <v>0.2</v>
      </c>
      <c r="L37" s="470">
        <f t="shared" si="18"/>
        <v>808532.007999999</v>
      </c>
      <c r="M37" s="470">
        <f t="shared" si="19"/>
        <v>1008532.008</v>
      </c>
      <c r="N37" s="470">
        <f t="shared" si="20"/>
        <v>1297458.968</v>
      </c>
      <c r="O37" s="470">
        <f t="shared" si="21"/>
        <v>3034128.032</v>
      </c>
      <c r="P37" s="470">
        <f t="shared" si="22"/>
        <v>21000</v>
      </c>
      <c r="Q37" s="470">
        <f t="shared" si="23"/>
        <v>33000</v>
      </c>
      <c r="R37" s="470">
        <f t="shared" si="24"/>
        <v>75000</v>
      </c>
      <c r="S37" s="470">
        <f t="shared" si="25"/>
        <v>95000</v>
      </c>
      <c r="T37" s="470">
        <f t="shared" si="26"/>
        <v>301166.886719999</v>
      </c>
      <c r="U37" s="470"/>
      <c r="V37" s="470">
        <f t="shared" si="27"/>
        <v>525166.886719999</v>
      </c>
      <c r="W37" s="470">
        <v>12</v>
      </c>
      <c r="X37" s="470">
        <f t="shared" si="28"/>
        <v>43763.9072266666</v>
      </c>
      <c r="Y37" s="470"/>
      <c r="Z37" s="470">
        <f t="shared" si="29"/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912</v>
      </c>
      <c r="C40" s="468">
        <v>929949.42</v>
      </c>
      <c r="D40" s="469">
        <v>12</v>
      </c>
      <c r="E40" s="470">
        <f t="shared" ref="E40:E50" si="31">C40*D40</f>
        <v>11159393.04</v>
      </c>
      <c r="F40" s="470"/>
      <c r="G40" s="474">
        <v>1378291.2</v>
      </c>
      <c r="H40" s="470"/>
      <c r="I40" s="470">
        <f t="shared" ref="I40:I50" si="32">E40-F40-G40-H40</f>
        <v>9781101.84</v>
      </c>
      <c r="J40" s="470">
        <v>200000</v>
      </c>
      <c r="K40" s="470">
        <v>0.2</v>
      </c>
      <c r="L40" s="470">
        <f t="shared" ref="L40:L50" si="33">I40*K40</f>
        <v>1956220.368</v>
      </c>
      <c r="M40" s="470">
        <f t="shared" ref="M40:M50" si="34">J40+L40</f>
        <v>2156220.368</v>
      </c>
      <c r="N40" s="470">
        <f t="shared" ref="N40:N50" si="35">F40+G40+H40+M40</f>
        <v>3534511.568</v>
      </c>
      <c r="O40" s="470">
        <f t="shared" ref="O40:O50" si="36">E40-N40</f>
        <v>7624881.472</v>
      </c>
      <c r="P40" s="470">
        <f t="shared" ref="P40:P50" si="37">IF(O40&lt;300000,0.07*O40,21000)</f>
        <v>21000</v>
      </c>
      <c r="Q40" s="470">
        <f t="shared" ref="Q40:Q50" si="38">IF((O40-300000)&lt;0,0,IF((O40-300000)&lt;300000,0.11*(O40-300000),33000))</f>
        <v>33000</v>
      </c>
      <c r="R40" s="470">
        <f t="shared" ref="R40:R50" si="39">IF((O40-600000)&lt;0,0,IF((O40-600000)&lt;500000,0.15*(O40-600000),75000))</f>
        <v>75000</v>
      </c>
      <c r="S40" s="470">
        <f t="shared" ref="S40:S50" si="40">IF((O40-1100000)&lt;0,0,IF((O40-1100000)&lt;500000,0.19*(O40-1100000),95000))</f>
        <v>95000</v>
      </c>
      <c r="T40" s="470">
        <f t="shared" ref="T40:T50" si="41">IF((O40-1600000)&lt;0,0,IF((O40-1600000)&lt;1600000,0.21*(O40-1600000),336000))</f>
        <v>336000</v>
      </c>
      <c r="U40" s="470">
        <f>0.24*(O40-3200000)</f>
        <v>1061971.55328</v>
      </c>
      <c r="V40" s="470">
        <f t="shared" ref="V40:V50" si="42">P40+Q40+R40+S40+T40+U40</f>
        <v>1621971.55328</v>
      </c>
      <c r="W40" s="471">
        <v>12</v>
      </c>
      <c r="X40" s="470">
        <f t="shared" ref="X40:X50" si="43">V40/W40</f>
        <v>135164.296106667</v>
      </c>
      <c r="Y40" s="470"/>
      <c r="Z40" s="470">
        <f t="shared" ref="Z40:Z50" si="44">X40</f>
        <v>135164.296106667</v>
      </c>
      <c r="AA40" s="473">
        <v>180306.806858667</v>
      </c>
      <c r="AB40" s="473">
        <f t="shared" ref="AB40:AB50" si="45">Z40-AA40</f>
        <v>-45142.5107520004</v>
      </c>
      <c r="AC40" s="473"/>
      <c r="AD40" s="473"/>
      <c r="AE40" s="473"/>
    </row>
    <row r="41" ht="18" spans="1:31">
      <c r="A41" s="467">
        <v>36</v>
      </c>
      <c r="B41" s="11" t="s">
        <v>914</v>
      </c>
      <c r="C41" s="470">
        <v>780675.583333333</v>
      </c>
      <c r="D41" s="469">
        <v>12</v>
      </c>
      <c r="E41" s="470">
        <f t="shared" si="31"/>
        <v>9368107</v>
      </c>
      <c r="F41" s="476"/>
      <c r="G41" s="474">
        <v>595848.56</v>
      </c>
      <c r="H41" s="476"/>
      <c r="I41" s="470">
        <f t="shared" si="32"/>
        <v>8772258.44</v>
      </c>
      <c r="J41" s="470">
        <v>200000</v>
      </c>
      <c r="K41" s="470">
        <v>0.2</v>
      </c>
      <c r="L41" s="470">
        <f t="shared" si="33"/>
        <v>1754451.688</v>
      </c>
      <c r="M41" s="470">
        <f t="shared" si="34"/>
        <v>1954451.688</v>
      </c>
      <c r="N41" s="470">
        <f t="shared" si="35"/>
        <v>2550300.248</v>
      </c>
      <c r="O41" s="470">
        <f t="shared" si="36"/>
        <v>6817806.752</v>
      </c>
      <c r="P41" s="470">
        <f t="shared" si="37"/>
        <v>21000</v>
      </c>
      <c r="Q41" s="470">
        <f t="shared" si="38"/>
        <v>33000</v>
      </c>
      <c r="R41" s="470">
        <f t="shared" si="39"/>
        <v>75000</v>
      </c>
      <c r="S41" s="470">
        <f t="shared" si="40"/>
        <v>95000</v>
      </c>
      <c r="T41" s="470">
        <f t="shared" si="41"/>
        <v>336000</v>
      </c>
      <c r="U41" s="470">
        <f t="shared" ref="U41:U47" si="46">24%*(O41-3200000)</f>
        <v>868273.620479999</v>
      </c>
      <c r="V41" s="470">
        <f t="shared" si="42"/>
        <v>1428273.62048</v>
      </c>
      <c r="W41" s="471">
        <v>12</v>
      </c>
      <c r="X41" s="470">
        <f t="shared" si="43"/>
        <v>119022.801706667</v>
      </c>
      <c r="Y41" s="476"/>
      <c r="Z41" s="470">
        <f t="shared" si="44"/>
        <v>119022.801706667</v>
      </c>
      <c r="AA41" s="473">
        <v>79956.9391466667</v>
      </c>
      <c r="AB41" s="473">
        <f t="shared" si="45"/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616">
        <v>1019203.58333333</v>
      </c>
      <c r="D42" s="469">
        <v>12</v>
      </c>
      <c r="E42" s="470">
        <f t="shared" si="31"/>
        <v>12230443</v>
      </c>
      <c r="F42" s="476"/>
      <c r="G42" s="474">
        <v>709635.44</v>
      </c>
      <c r="H42" s="476"/>
      <c r="I42" s="470">
        <f t="shared" si="32"/>
        <v>11520807.56</v>
      </c>
      <c r="J42" s="470">
        <v>200000</v>
      </c>
      <c r="K42" s="470">
        <v>0.2</v>
      </c>
      <c r="L42" s="470">
        <f t="shared" si="33"/>
        <v>2304161.51199999</v>
      </c>
      <c r="M42" s="470">
        <f t="shared" si="34"/>
        <v>2504161.51199999</v>
      </c>
      <c r="N42" s="470">
        <f t="shared" si="35"/>
        <v>3213796.95199999</v>
      </c>
      <c r="O42" s="470">
        <f t="shared" si="36"/>
        <v>9016646.04799997</v>
      </c>
      <c r="P42" s="470">
        <f t="shared" si="37"/>
        <v>21000</v>
      </c>
      <c r="Q42" s="470">
        <f t="shared" si="38"/>
        <v>33000</v>
      </c>
      <c r="R42" s="470">
        <f t="shared" si="39"/>
        <v>75000</v>
      </c>
      <c r="S42" s="470">
        <f t="shared" si="40"/>
        <v>95000</v>
      </c>
      <c r="T42" s="470">
        <f t="shared" si="41"/>
        <v>336000</v>
      </c>
      <c r="U42" s="470">
        <f t="shared" si="46"/>
        <v>1395995.05151999</v>
      </c>
      <c r="V42" s="470">
        <f t="shared" si="42"/>
        <v>1955995.05151999</v>
      </c>
      <c r="W42" s="471">
        <v>12</v>
      </c>
      <c r="X42" s="470">
        <f t="shared" si="43"/>
        <v>162999.587626666</v>
      </c>
      <c r="Y42" s="476"/>
      <c r="Z42" s="470">
        <f t="shared" si="44"/>
        <v>162999.587626666</v>
      </c>
      <c r="AA42" s="473">
        <v>97273.5138506667</v>
      </c>
      <c r="AB42" s="473">
        <f t="shared" si="45"/>
        <v>65726.0737759993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1"/>
        <v>9368107</v>
      </c>
      <c r="F43" s="476"/>
      <c r="G43" s="474">
        <v>595848.56</v>
      </c>
      <c r="H43" s="476"/>
      <c r="I43" s="470">
        <f t="shared" si="32"/>
        <v>8772258.44</v>
      </c>
      <c r="J43" s="470">
        <v>200000</v>
      </c>
      <c r="K43" s="470">
        <v>0.2</v>
      </c>
      <c r="L43" s="470">
        <f t="shared" si="33"/>
        <v>1754451.688</v>
      </c>
      <c r="M43" s="470">
        <f t="shared" si="34"/>
        <v>1954451.688</v>
      </c>
      <c r="N43" s="470">
        <f t="shared" si="35"/>
        <v>2550300.248</v>
      </c>
      <c r="O43" s="470">
        <f t="shared" si="36"/>
        <v>6817806.752</v>
      </c>
      <c r="P43" s="470">
        <f t="shared" si="37"/>
        <v>21000</v>
      </c>
      <c r="Q43" s="470">
        <f t="shared" si="38"/>
        <v>33000</v>
      </c>
      <c r="R43" s="470">
        <f t="shared" si="39"/>
        <v>75000</v>
      </c>
      <c r="S43" s="470">
        <f t="shared" si="40"/>
        <v>95000</v>
      </c>
      <c r="T43" s="470">
        <f t="shared" si="41"/>
        <v>336000</v>
      </c>
      <c r="U43" s="470">
        <f t="shared" si="46"/>
        <v>868273.620479999</v>
      </c>
      <c r="V43" s="470">
        <f t="shared" si="42"/>
        <v>1428273.62048</v>
      </c>
      <c r="W43" s="471">
        <v>12</v>
      </c>
      <c r="X43" s="470">
        <f t="shared" si="43"/>
        <v>119022.801706667</v>
      </c>
      <c r="Y43" s="476"/>
      <c r="Z43" s="470">
        <f t="shared" si="44"/>
        <v>119022.801706667</v>
      </c>
      <c r="AA43" s="473">
        <v>79956.9391466667</v>
      </c>
      <c r="AB43" s="473">
        <f t="shared" si="4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1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2"/>
        <v>8762206.19</v>
      </c>
      <c r="J44" s="470">
        <v>200000</v>
      </c>
      <c r="K44" s="470">
        <v>0.2</v>
      </c>
      <c r="L44" s="470">
        <f t="shared" si="33"/>
        <v>1752441.238</v>
      </c>
      <c r="M44" s="470">
        <f t="shared" si="34"/>
        <v>1952441.238</v>
      </c>
      <c r="N44" s="470">
        <f t="shared" si="35"/>
        <v>2558342.048</v>
      </c>
      <c r="O44" s="470">
        <f t="shared" si="36"/>
        <v>6809764.952</v>
      </c>
      <c r="P44" s="470">
        <f t="shared" si="37"/>
        <v>21000</v>
      </c>
      <c r="Q44" s="470">
        <f t="shared" si="38"/>
        <v>33000</v>
      </c>
      <c r="R44" s="470">
        <f t="shared" si="39"/>
        <v>75000</v>
      </c>
      <c r="S44" s="470">
        <f t="shared" si="40"/>
        <v>95000</v>
      </c>
      <c r="T44" s="470">
        <f t="shared" si="41"/>
        <v>336000</v>
      </c>
      <c r="U44" s="470">
        <f t="shared" si="46"/>
        <v>866343.588479999</v>
      </c>
      <c r="V44" s="470">
        <f t="shared" si="42"/>
        <v>1426343.58848</v>
      </c>
      <c r="W44" s="471">
        <v>12</v>
      </c>
      <c r="X44" s="470">
        <f t="shared" si="43"/>
        <v>118861.965706667</v>
      </c>
      <c r="Y44" s="476"/>
      <c r="Z44" s="470">
        <f t="shared" si="44"/>
        <v>118861.965706667</v>
      </c>
      <c r="AA44" s="473">
        <v>79796.1031466666</v>
      </c>
      <c r="AB44" s="473">
        <f t="shared" si="4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1"/>
        <v>8905417</v>
      </c>
      <c r="F45" s="470"/>
      <c r="G45" s="474">
        <v>558833.36</v>
      </c>
      <c r="H45" s="476"/>
      <c r="I45" s="470">
        <f t="shared" si="32"/>
        <v>8346583.64</v>
      </c>
      <c r="J45" s="470">
        <v>200000</v>
      </c>
      <c r="K45" s="470">
        <v>0.2</v>
      </c>
      <c r="L45" s="470">
        <f t="shared" si="33"/>
        <v>1669316.728</v>
      </c>
      <c r="M45" s="470">
        <f t="shared" si="34"/>
        <v>1869316.728</v>
      </c>
      <c r="N45" s="470">
        <f t="shared" si="35"/>
        <v>2428150.088</v>
      </c>
      <c r="O45" s="470">
        <f t="shared" si="36"/>
        <v>6477266.912</v>
      </c>
      <c r="P45" s="470">
        <f t="shared" si="37"/>
        <v>21000</v>
      </c>
      <c r="Q45" s="470">
        <f t="shared" si="38"/>
        <v>33000</v>
      </c>
      <c r="R45" s="470">
        <f t="shared" si="39"/>
        <v>75000</v>
      </c>
      <c r="S45" s="470">
        <f t="shared" si="40"/>
        <v>95000</v>
      </c>
      <c r="T45" s="470">
        <f t="shared" si="41"/>
        <v>336000</v>
      </c>
      <c r="U45" s="470">
        <f t="shared" si="46"/>
        <v>786544.058879999</v>
      </c>
      <c r="V45" s="470">
        <f t="shared" si="42"/>
        <v>1346544.05888</v>
      </c>
      <c r="W45" s="471">
        <v>12</v>
      </c>
      <c r="X45" s="470">
        <f t="shared" si="43"/>
        <v>112212.004906667</v>
      </c>
      <c r="Y45" s="476"/>
      <c r="Z45" s="470">
        <f t="shared" si="44"/>
        <v>112212.004906667</v>
      </c>
      <c r="AA45" s="473">
        <v>75572.9156906667</v>
      </c>
      <c r="AB45" s="473">
        <f t="shared" si="4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1"/>
        <v>7325976</v>
      </c>
      <c r="F46" s="470"/>
      <c r="G46" s="474">
        <v>451678.08</v>
      </c>
      <c r="H46" s="476"/>
      <c r="I46" s="470">
        <f t="shared" si="32"/>
        <v>6874297.92</v>
      </c>
      <c r="J46" s="470">
        <v>200000</v>
      </c>
      <c r="K46" s="470">
        <v>0.2</v>
      </c>
      <c r="L46" s="470">
        <f t="shared" si="33"/>
        <v>1374859.584</v>
      </c>
      <c r="M46" s="470">
        <f t="shared" si="34"/>
        <v>1574859.584</v>
      </c>
      <c r="N46" s="470">
        <f t="shared" si="35"/>
        <v>2026537.664</v>
      </c>
      <c r="O46" s="470">
        <f t="shared" si="36"/>
        <v>5299438.336</v>
      </c>
      <c r="P46" s="470">
        <f t="shared" si="37"/>
        <v>21000</v>
      </c>
      <c r="Q46" s="470">
        <f t="shared" si="38"/>
        <v>33000</v>
      </c>
      <c r="R46" s="470">
        <f t="shared" si="39"/>
        <v>75000</v>
      </c>
      <c r="S46" s="470">
        <f t="shared" si="40"/>
        <v>95000</v>
      </c>
      <c r="T46" s="470">
        <f t="shared" si="41"/>
        <v>336000</v>
      </c>
      <c r="U46" s="470">
        <f t="shared" si="46"/>
        <v>503865.20064</v>
      </c>
      <c r="V46" s="470">
        <f t="shared" si="42"/>
        <v>1063865.20064</v>
      </c>
      <c r="W46" s="471">
        <v>12</v>
      </c>
      <c r="X46" s="470">
        <f t="shared" si="43"/>
        <v>88655.4333866667</v>
      </c>
      <c r="Y46" s="476"/>
      <c r="Z46" s="470">
        <f t="shared" si="44"/>
        <v>88655.4333866667</v>
      </c>
      <c r="AA46" s="473">
        <v>58026.6094346667</v>
      </c>
      <c r="AB46" s="473">
        <f t="shared" si="4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1"/>
        <v>4811587</v>
      </c>
      <c r="F47" s="470"/>
      <c r="G47" s="474">
        <v>288926.96</v>
      </c>
      <c r="H47" s="476"/>
      <c r="I47" s="470">
        <f t="shared" si="32"/>
        <v>4522660.04</v>
      </c>
      <c r="J47" s="470">
        <v>200000</v>
      </c>
      <c r="K47" s="470">
        <v>0.2</v>
      </c>
      <c r="L47" s="470">
        <f t="shared" si="33"/>
        <v>904532.007999999</v>
      </c>
      <c r="M47" s="470">
        <f t="shared" si="34"/>
        <v>1104532.008</v>
      </c>
      <c r="N47" s="470">
        <f t="shared" si="35"/>
        <v>1393458.968</v>
      </c>
      <c r="O47" s="470">
        <f t="shared" si="36"/>
        <v>3418128.032</v>
      </c>
      <c r="P47" s="470">
        <f t="shared" si="37"/>
        <v>21000</v>
      </c>
      <c r="Q47" s="470">
        <f t="shared" si="38"/>
        <v>33000</v>
      </c>
      <c r="R47" s="470">
        <f t="shared" si="39"/>
        <v>75000</v>
      </c>
      <c r="S47" s="470">
        <f t="shared" si="40"/>
        <v>95000</v>
      </c>
      <c r="T47" s="470">
        <f t="shared" si="41"/>
        <v>336000</v>
      </c>
      <c r="U47" s="470">
        <f t="shared" si="46"/>
        <v>52350.7276799992</v>
      </c>
      <c r="V47" s="470">
        <f t="shared" si="42"/>
        <v>612350.727679999</v>
      </c>
      <c r="W47" s="471">
        <v>12</v>
      </c>
      <c r="X47" s="470">
        <f t="shared" si="43"/>
        <v>51029.2273066666</v>
      </c>
      <c r="Y47" s="476"/>
      <c r="Z47" s="470">
        <f t="shared" si="44"/>
        <v>51029.2273066666</v>
      </c>
      <c r="AA47" s="473">
        <v>33059.0784066667</v>
      </c>
      <c r="AB47" s="473">
        <f t="shared" si="4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1"/>
        <v>4357984</v>
      </c>
      <c r="F48" s="470"/>
      <c r="G48" s="474">
        <v>252638.72</v>
      </c>
      <c r="H48" s="476"/>
      <c r="I48" s="470">
        <f t="shared" si="32"/>
        <v>4105345.28</v>
      </c>
      <c r="J48" s="470">
        <v>200000</v>
      </c>
      <c r="K48" s="470">
        <v>0.2</v>
      </c>
      <c r="L48" s="470">
        <f t="shared" si="33"/>
        <v>821069.055999999</v>
      </c>
      <c r="M48" s="470">
        <f t="shared" si="34"/>
        <v>1021069.056</v>
      </c>
      <c r="N48" s="470">
        <f t="shared" si="35"/>
        <v>1273707.776</v>
      </c>
      <c r="O48" s="470">
        <f t="shared" si="36"/>
        <v>3084276.224</v>
      </c>
      <c r="P48" s="470">
        <f t="shared" si="37"/>
        <v>21000</v>
      </c>
      <c r="Q48" s="470">
        <f t="shared" si="38"/>
        <v>33000</v>
      </c>
      <c r="R48" s="470">
        <f t="shared" si="39"/>
        <v>75000</v>
      </c>
      <c r="S48" s="470">
        <f t="shared" si="40"/>
        <v>95000</v>
      </c>
      <c r="T48" s="470">
        <f t="shared" si="41"/>
        <v>311698.007039999</v>
      </c>
      <c r="U48" s="470"/>
      <c r="V48" s="470">
        <f t="shared" si="42"/>
        <v>535698.007039999</v>
      </c>
      <c r="W48" s="471">
        <v>12</v>
      </c>
      <c r="X48" s="470">
        <f t="shared" si="43"/>
        <v>44641.5005866666</v>
      </c>
      <c r="Y48" s="476"/>
      <c r="Z48" s="470">
        <f t="shared" si="44"/>
        <v>44641.5005866666</v>
      </c>
      <c r="AA48" s="473">
        <v>29058.4826046667</v>
      </c>
      <c r="AB48" s="473">
        <f t="shared" si="4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915</v>
      </c>
      <c r="C49" s="470">
        <v>363165.333333333</v>
      </c>
      <c r="D49" s="469">
        <v>12</v>
      </c>
      <c r="E49" s="470">
        <f t="shared" si="31"/>
        <v>4357984</v>
      </c>
      <c r="F49" s="470"/>
      <c r="G49" s="474">
        <v>252638.72</v>
      </c>
      <c r="H49" s="476"/>
      <c r="I49" s="470">
        <f t="shared" si="32"/>
        <v>4105345.28</v>
      </c>
      <c r="J49" s="470">
        <v>200000</v>
      </c>
      <c r="K49" s="470">
        <v>0.2</v>
      </c>
      <c r="L49" s="470">
        <f t="shared" si="33"/>
        <v>821069.055999999</v>
      </c>
      <c r="M49" s="470">
        <f t="shared" si="34"/>
        <v>1021069.056</v>
      </c>
      <c r="N49" s="470">
        <f t="shared" si="35"/>
        <v>1273707.776</v>
      </c>
      <c r="O49" s="470">
        <f t="shared" si="36"/>
        <v>3084276.224</v>
      </c>
      <c r="P49" s="470">
        <f t="shared" si="37"/>
        <v>21000</v>
      </c>
      <c r="Q49" s="470">
        <f t="shared" si="38"/>
        <v>33000</v>
      </c>
      <c r="R49" s="470">
        <f t="shared" si="39"/>
        <v>75000</v>
      </c>
      <c r="S49" s="470">
        <f t="shared" si="40"/>
        <v>95000</v>
      </c>
      <c r="T49" s="470">
        <f t="shared" si="41"/>
        <v>311698.007039999</v>
      </c>
      <c r="U49" s="470"/>
      <c r="V49" s="470">
        <f t="shared" si="42"/>
        <v>535698.007039999</v>
      </c>
      <c r="W49" s="471">
        <v>12</v>
      </c>
      <c r="X49" s="470">
        <f t="shared" si="43"/>
        <v>44641.5005866666</v>
      </c>
      <c r="Y49" s="476"/>
      <c r="Z49" s="470">
        <f t="shared" si="44"/>
        <v>44641.5005866666</v>
      </c>
      <c r="AA49" s="473">
        <v>28360.9528626667</v>
      </c>
      <c r="AB49" s="473">
        <f t="shared" si="4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1"/>
        <v>4357984</v>
      </c>
      <c r="F50" s="470"/>
      <c r="G50" s="474">
        <v>252638.72</v>
      </c>
      <c r="H50" s="476"/>
      <c r="I50" s="470">
        <f t="shared" si="32"/>
        <v>4105345.28</v>
      </c>
      <c r="J50" s="470">
        <v>200000</v>
      </c>
      <c r="K50" s="470">
        <v>0.2</v>
      </c>
      <c r="L50" s="470">
        <f t="shared" si="33"/>
        <v>821069.055999999</v>
      </c>
      <c r="M50" s="470">
        <f t="shared" si="34"/>
        <v>1021069.056</v>
      </c>
      <c r="N50" s="470">
        <f t="shared" si="35"/>
        <v>1273707.776</v>
      </c>
      <c r="O50" s="470">
        <f t="shared" si="36"/>
        <v>3084276.224</v>
      </c>
      <c r="P50" s="470">
        <f t="shared" si="37"/>
        <v>21000</v>
      </c>
      <c r="Q50" s="470">
        <f t="shared" si="38"/>
        <v>33000</v>
      </c>
      <c r="R50" s="470">
        <f t="shared" si="39"/>
        <v>75000</v>
      </c>
      <c r="S50" s="470">
        <f t="shared" si="40"/>
        <v>95000</v>
      </c>
      <c r="T50" s="470">
        <f t="shared" si="41"/>
        <v>311698.007039999</v>
      </c>
      <c r="U50" s="470"/>
      <c r="V50" s="470">
        <f t="shared" si="42"/>
        <v>535698.007039999</v>
      </c>
      <c r="W50" s="471">
        <v>12</v>
      </c>
      <c r="X50" s="470">
        <f t="shared" si="43"/>
        <v>44641.5005866666</v>
      </c>
      <c r="Y50" s="476"/>
      <c r="Z50" s="470">
        <f t="shared" si="44"/>
        <v>44641.5005866666</v>
      </c>
      <c r="AA50" s="473">
        <v>29058.4826046667</v>
      </c>
      <c r="AB50" s="473">
        <f t="shared" si="4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 t="shared" ref="E53:E66" si="47">C53*D53</f>
        <v>19628640</v>
      </c>
      <c r="F53" s="470"/>
      <c r="G53" s="474">
        <v>1378291.2</v>
      </c>
      <c r="H53" s="476"/>
      <c r="I53" s="470">
        <f t="shared" ref="I53:I66" si="48">E53-F53-G53-H53</f>
        <v>18250348.8</v>
      </c>
      <c r="J53" s="470">
        <v>200000</v>
      </c>
      <c r="K53" s="470">
        <v>0.2</v>
      </c>
      <c r="L53" s="470">
        <f t="shared" ref="L53:L66" si="49">I53*K53</f>
        <v>3650069.76</v>
      </c>
      <c r="M53" s="470">
        <f t="shared" ref="M53:M66" si="50">J53+L53</f>
        <v>3850069.76</v>
      </c>
      <c r="N53" s="470">
        <f t="shared" ref="N53:N66" si="51">F53+G53+H53+M53</f>
        <v>5228360.96</v>
      </c>
      <c r="O53" s="470">
        <f t="shared" ref="O53:O66" si="52">E53-N53</f>
        <v>14400279.04</v>
      </c>
      <c r="P53" s="470">
        <f t="shared" ref="P53:P66" si="53">IF(O53&lt;300000,0.07*O53,21000)</f>
        <v>21000</v>
      </c>
      <c r="Q53" s="470">
        <f t="shared" ref="Q53:Q66" si="54">IF((O53-300000)&lt;0,0,IF((O53-300000)&lt;300000,0.11*(O53-300000),33000))</f>
        <v>33000</v>
      </c>
      <c r="R53" s="470">
        <f t="shared" ref="R53:R66" si="55">IF((O53-600000)&lt;0,0,IF((O53-600000)&lt;500000,0.15*(O53-600000),75000))</f>
        <v>75000</v>
      </c>
      <c r="S53" s="470">
        <f t="shared" ref="S53:S66" si="56">IF((O53-1100000)&lt;0,0,IF((O53-1100000)&lt;500000,0.19*(O53-1100000),95000))</f>
        <v>95000</v>
      </c>
      <c r="T53" s="470">
        <f t="shared" ref="T53:T66" si="57">IF((O53-1600000)&lt;0,0,IF((O53-1600000)&lt;1600000,0.21*(O53-1600000),336000))</f>
        <v>336000</v>
      </c>
      <c r="U53" s="470">
        <f t="shared" ref="U53:U66" si="58">24%*(O53-3200000)</f>
        <v>2688066.9696</v>
      </c>
      <c r="V53" s="470">
        <f t="shared" ref="V53:V66" si="59">P53+Q53+R53+S53+T53+U53</f>
        <v>3248066.9696</v>
      </c>
      <c r="W53" s="471">
        <v>12</v>
      </c>
      <c r="X53" s="470">
        <f t="shared" ref="X53:X66" si="60">V53/W53</f>
        <v>270672.247466667</v>
      </c>
      <c r="Y53" s="476"/>
      <c r="Z53" s="470">
        <f t="shared" ref="Z53:Z66" si="61">X53</f>
        <v>270672.247466667</v>
      </c>
      <c r="AA53" s="473">
        <v>180306.806858667</v>
      </c>
      <c r="AB53" s="473">
        <f t="shared" ref="AB53:AB66" si="62"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 t="shared" si="47"/>
        <v>8408107</v>
      </c>
      <c r="F54" s="470"/>
      <c r="G54" s="470">
        <v>595848.56</v>
      </c>
      <c r="H54" s="476"/>
      <c r="I54" s="470">
        <f t="shared" si="48"/>
        <v>7812258.44</v>
      </c>
      <c r="J54" s="470">
        <v>200000</v>
      </c>
      <c r="K54" s="470">
        <v>0.2</v>
      </c>
      <c r="L54" s="470">
        <f t="shared" si="49"/>
        <v>1562451.688</v>
      </c>
      <c r="M54" s="470">
        <f t="shared" si="50"/>
        <v>1762451.688</v>
      </c>
      <c r="N54" s="470">
        <f t="shared" si="51"/>
        <v>2358300.248</v>
      </c>
      <c r="O54" s="470">
        <f t="shared" si="52"/>
        <v>6049806.752</v>
      </c>
      <c r="P54" s="470">
        <f t="shared" si="53"/>
        <v>21000</v>
      </c>
      <c r="Q54" s="470">
        <f t="shared" si="54"/>
        <v>33000</v>
      </c>
      <c r="R54" s="470">
        <f t="shared" si="55"/>
        <v>75000</v>
      </c>
      <c r="S54" s="470">
        <f t="shared" si="56"/>
        <v>95000</v>
      </c>
      <c r="T54" s="470">
        <f t="shared" si="57"/>
        <v>336000</v>
      </c>
      <c r="U54" s="470">
        <f t="shared" si="58"/>
        <v>683953.620479999</v>
      </c>
      <c r="V54" s="470">
        <f t="shared" si="59"/>
        <v>1243953.62048</v>
      </c>
      <c r="W54" s="471">
        <v>12</v>
      </c>
      <c r="X54" s="470">
        <f t="shared" si="60"/>
        <v>103662.801706667</v>
      </c>
      <c r="Y54" s="476"/>
      <c r="Z54" s="470">
        <f t="shared" si="61"/>
        <v>103662.801706667</v>
      </c>
      <c r="AA54" s="473">
        <v>64596.9391466667</v>
      </c>
      <c r="AB54" s="473">
        <f t="shared" si="62"/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917</v>
      </c>
      <c r="C57" s="470">
        <v>1635720</v>
      </c>
      <c r="D57" s="469">
        <v>12</v>
      </c>
      <c r="E57" s="470">
        <f t="shared" si="47"/>
        <v>19628640</v>
      </c>
      <c r="F57" s="470"/>
      <c r="G57" s="474">
        <v>0</v>
      </c>
      <c r="H57" s="476"/>
      <c r="I57" s="470">
        <f t="shared" si="48"/>
        <v>19628640</v>
      </c>
      <c r="J57" s="470">
        <v>200000</v>
      </c>
      <c r="K57" s="470">
        <v>0.2</v>
      </c>
      <c r="L57" s="470">
        <f t="shared" si="49"/>
        <v>3925728</v>
      </c>
      <c r="M57" s="470">
        <f t="shared" si="50"/>
        <v>4125728</v>
      </c>
      <c r="N57" s="470">
        <f t="shared" si="51"/>
        <v>4125728</v>
      </c>
      <c r="O57" s="470">
        <f t="shared" si="52"/>
        <v>15502912</v>
      </c>
      <c r="P57" s="470">
        <f t="shared" si="53"/>
        <v>21000</v>
      </c>
      <c r="Q57" s="470">
        <f t="shared" si="54"/>
        <v>33000</v>
      </c>
      <c r="R57" s="470">
        <f t="shared" si="55"/>
        <v>75000</v>
      </c>
      <c r="S57" s="470">
        <f t="shared" si="56"/>
        <v>95000</v>
      </c>
      <c r="T57" s="470">
        <f t="shared" si="57"/>
        <v>336000</v>
      </c>
      <c r="U57" s="470">
        <f t="shared" si="58"/>
        <v>2952698.88</v>
      </c>
      <c r="V57" s="470">
        <f t="shared" si="59"/>
        <v>3512698.88</v>
      </c>
      <c r="W57" s="471">
        <v>12</v>
      </c>
      <c r="X57" s="470">
        <f t="shared" si="60"/>
        <v>292724.906666667</v>
      </c>
      <c r="Y57" s="476"/>
      <c r="Z57" s="470">
        <f t="shared" si="61"/>
        <v>292724.906666667</v>
      </c>
      <c r="AA57" s="473">
        <v>180306.806858667</v>
      </c>
      <c r="AB57" s="473">
        <f t="shared" si="62"/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919</v>
      </c>
      <c r="C58" s="470">
        <v>761396.833333333</v>
      </c>
      <c r="D58" s="469">
        <v>12</v>
      </c>
      <c r="E58" s="470">
        <f t="shared" si="47"/>
        <v>9136762</v>
      </c>
      <c r="F58" s="470"/>
      <c r="G58" s="479">
        <f>48111.7466666667*12</f>
        <v>577340.96</v>
      </c>
      <c r="H58" s="476"/>
      <c r="I58" s="470">
        <f t="shared" si="48"/>
        <v>8559421.04</v>
      </c>
      <c r="J58" s="470">
        <v>200000</v>
      </c>
      <c r="K58" s="470">
        <v>0.2</v>
      </c>
      <c r="L58" s="470">
        <f t="shared" si="49"/>
        <v>1711884.208</v>
      </c>
      <c r="M58" s="470">
        <f t="shared" si="50"/>
        <v>1911884.208</v>
      </c>
      <c r="N58" s="470">
        <f t="shared" si="51"/>
        <v>2489225.168</v>
      </c>
      <c r="O58" s="470">
        <f t="shared" si="52"/>
        <v>6647536.832</v>
      </c>
      <c r="P58" s="470">
        <f t="shared" si="53"/>
        <v>21000</v>
      </c>
      <c r="Q58" s="470">
        <f t="shared" si="54"/>
        <v>33000</v>
      </c>
      <c r="R58" s="470">
        <f t="shared" si="55"/>
        <v>75000</v>
      </c>
      <c r="S58" s="470">
        <f t="shared" si="56"/>
        <v>95000</v>
      </c>
      <c r="T58" s="470">
        <f t="shared" si="57"/>
        <v>336000</v>
      </c>
      <c r="U58" s="470">
        <f t="shared" si="58"/>
        <v>827408.839679999</v>
      </c>
      <c r="V58" s="470">
        <f t="shared" si="59"/>
        <v>1387408.83968</v>
      </c>
      <c r="W58" s="471">
        <v>12</v>
      </c>
      <c r="X58" s="470">
        <f t="shared" si="60"/>
        <v>115617.403306667</v>
      </c>
      <c r="Y58" s="476"/>
      <c r="Z58" s="470">
        <f t="shared" si="61"/>
        <v>115617.403306667</v>
      </c>
      <c r="AA58" s="473">
        <v>77764.9802666667</v>
      </c>
      <c r="AB58" s="473">
        <f t="shared" si="62"/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47"/>
        <v>6992958</v>
      </c>
      <c r="F59" s="470"/>
      <c r="G59" s="474">
        <v>425036.64</v>
      </c>
      <c r="H59" s="476"/>
      <c r="I59" s="470">
        <f t="shared" si="48"/>
        <v>6567921.36</v>
      </c>
      <c r="J59" s="470">
        <v>200000</v>
      </c>
      <c r="K59" s="470">
        <v>0.2</v>
      </c>
      <c r="L59" s="470">
        <f t="shared" si="49"/>
        <v>1313584.272</v>
      </c>
      <c r="M59" s="470">
        <f t="shared" si="50"/>
        <v>1513584.272</v>
      </c>
      <c r="N59" s="470">
        <f t="shared" si="51"/>
        <v>1938620.912</v>
      </c>
      <c r="O59" s="470">
        <f t="shared" si="52"/>
        <v>5054337.088</v>
      </c>
      <c r="P59" s="470">
        <f t="shared" si="53"/>
        <v>21000</v>
      </c>
      <c r="Q59" s="470">
        <f t="shared" si="54"/>
        <v>33000</v>
      </c>
      <c r="R59" s="470">
        <f t="shared" si="55"/>
        <v>75000</v>
      </c>
      <c r="S59" s="470">
        <f t="shared" si="56"/>
        <v>95000</v>
      </c>
      <c r="T59" s="470">
        <f t="shared" si="57"/>
        <v>336000</v>
      </c>
      <c r="U59" s="470">
        <f t="shared" si="58"/>
        <v>445040.90112</v>
      </c>
      <c r="V59" s="470">
        <f t="shared" si="59"/>
        <v>1005040.90112</v>
      </c>
      <c r="W59" s="471">
        <v>12</v>
      </c>
      <c r="X59" s="470">
        <f t="shared" si="60"/>
        <v>83753.4084266666</v>
      </c>
      <c r="Y59" s="476"/>
      <c r="Z59" s="470">
        <f t="shared" si="61"/>
        <v>83753.4084266666</v>
      </c>
      <c r="AA59" s="473">
        <v>54931.2492266667</v>
      </c>
      <c r="AB59" s="473">
        <f t="shared" si="62"/>
        <v>28822.1591999999</v>
      </c>
      <c r="AC59" s="473"/>
      <c r="AD59" s="473"/>
      <c r="AE59" s="473"/>
    </row>
    <row r="60" ht="18" spans="1:31">
      <c r="A60" s="467">
        <v>53</v>
      </c>
      <c r="B60" s="18" t="s">
        <v>921</v>
      </c>
      <c r="C60" s="470">
        <v>548915.916666667</v>
      </c>
      <c r="D60" s="469">
        <v>12</v>
      </c>
      <c r="E60" s="470">
        <f t="shared" si="47"/>
        <v>6586991</v>
      </c>
      <c r="F60" s="470"/>
      <c r="G60" s="474">
        <v>411759.28</v>
      </c>
      <c r="H60" s="476"/>
      <c r="I60" s="470">
        <f t="shared" si="48"/>
        <v>6175231.72</v>
      </c>
      <c r="J60" s="470">
        <v>200000</v>
      </c>
      <c r="K60" s="470">
        <v>0.2</v>
      </c>
      <c r="L60" s="470">
        <f t="shared" si="49"/>
        <v>1235046.344</v>
      </c>
      <c r="M60" s="470">
        <f t="shared" si="50"/>
        <v>1435046.344</v>
      </c>
      <c r="N60" s="470">
        <f t="shared" si="51"/>
        <v>1846805.624</v>
      </c>
      <c r="O60" s="470">
        <f t="shared" si="52"/>
        <v>4740185.376</v>
      </c>
      <c r="P60" s="470">
        <f t="shared" si="53"/>
        <v>21000</v>
      </c>
      <c r="Q60" s="470">
        <f t="shared" si="54"/>
        <v>33000</v>
      </c>
      <c r="R60" s="470">
        <f t="shared" si="55"/>
        <v>75000</v>
      </c>
      <c r="S60" s="470">
        <f t="shared" si="56"/>
        <v>95000</v>
      </c>
      <c r="T60" s="470">
        <f t="shared" si="57"/>
        <v>336000</v>
      </c>
      <c r="U60" s="470">
        <f t="shared" si="58"/>
        <v>369644.490240001</v>
      </c>
      <c r="V60" s="470">
        <f t="shared" si="59"/>
        <v>929644.490240001</v>
      </c>
      <c r="W60" s="471">
        <v>12</v>
      </c>
      <c r="X60" s="470">
        <f t="shared" si="60"/>
        <v>77470.3741866667</v>
      </c>
      <c r="Y60" s="476"/>
      <c r="Z60" s="470">
        <f t="shared" si="61"/>
        <v>77470.3741866667</v>
      </c>
      <c r="AA60" s="473">
        <v>49548.7761866667</v>
      </c>
      <c r="AB60" s="473">
        <f t="shared" si="62"/>
        <v>27921.598</v>
      </c>
      <c r="AC60" s="473"/>
      <c r="AD60" s="473"/>
      <c r="AE60" s="473"/>
    </row>
    <row r="61" ht="18" spans="1:31">
      <c r="A61" s="467">
        <v>54</v>
      </c>
      <c r="B61" s="14" t="s">
        <v>922</v>
      </c>
      <c r="C61" s="470">
        <v>624373.75</v>
      </c>
      <c r="D61" s="469">
        <v>12</v>
      </c>
      <c r="E61" s="470">
        <f t="shared" si="47"/>
        <v>7492485</v>
      </c>
      <c r="F61" s="470"/>
      <c r="G61" s="474">
        <v>464998.8</v>
      </c>
      <c r="H61" s="476"/>
      <c r="I61" s="470">
        <f t="shared" si="48"/>
        <v>7027486.2</v>
      </c>
      <c r="J61" s="470">
        <v>200000</v>
      </c>
      <c r="K61" s="470">
        <v>0.2</v>
      </c>
      <c r="L61" s="470">
        <f t="shared" si="49"/>
        <v>1405497.24</v>
      </c>
      <c r="M61" s="470">
        <f t="shared" si="50"/>
        <v>1605497.24</v>
      </c>
      <c r="N61" s="470">
        <f t="shared" si="51"/>
        <v>2070496.04</v>
      </c>
      <c r="O61" s="470">
        <f t="shared" si="52"/>
        <v>5421988.96</v>
      </c>
      <c r="P61" s="470">
        <f t="shared" si="53"/>
        <v>21000</v>
      </c>
      <c r="Q61" s="470">
        <f t="shared" si="54"/>
        <v>33000</v>
      </c>
      <c r="R61" s="470">
        <f t="shared" si="55"/>
        <v>75000</v>
      </c>
      <c r="S61" s="470">
        <f t="shared" si="56"/>
        <v>95000</v>
      </c>
      <c r="T61" s="470">
        <f t="shared" si="57"/>
        <v>336000</v>
      </c>
      <c r="U61" s="470">
        <f t="shared" si="58"/>
        <v>533277.3504</v>
      </c>
      <c r="V61" s="470">
        <f t="shared" si="59"/>
        <v>1093277.3504</v>
      </c>
      <c r="W61" s="471">
        <v>12</v>
      </c>
      <c r="X61" s="470">
        <f t="shared" si="60"/>
        <v>91106.4458666667</v>
      </c>
      <c r="Y61" s="476"/>
      <c r="Z61" s="470">
        <f t="shared" si="61"/>
        <v>91106.4458666667</v>
      </c>
      <c r="AA61" s="473">
        <v>46666.6666666667</v>
      </c>
      <c r="AB61" s="473">
        <f t="shared" si="62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47"/>
        <v>5708446</v>
      </c>
      <c r="F62" s="470"/>
      <c r="G62" s="474">
        <v>351075.68</v>
      </c>
      <c r="H62" s="476"/>
      <c r="I62" s="470">
        <f t="shared" si="48"/>
        <v>5357370.32</v>
      </c>
      <c r="J62" s="470">
        <v>200000</v>
      </c>
      <c r="K62" s="470">
        <v>0.2</v>
      </c>
      <c r="L62" s="470">
        <f t="shared" si="49"/>
        <v>1071474.064</v>
      </c>
      <c r="M62" s="470">
        <f t="shared" si="50"/>
        <v>1271474.064</v>
      </c>
      <c r="N62" s="470">
        <f t="shared" si="51"/>
        <v>1622549.744</v>
      </c>
      <c r="O62" s="470">
        <f t="shared" si="52"/>
        <v>4085896.256</v>
      </c>
      <c r="P62" s="470">
        <f t="shared" si="53"/>
        <v>21000</v>
      </c>
      <c r="Q62" s="470">
        <f t="shared" si="54"/>
        <v>33000</v>
      </c>
      <c r="R62" s="470">
        <f t="shared" si="55"/>
        <v>75000</v>
      </c>
      <c r="S62" s="470">
        <f t="shared" si="56"/>
        <v>95000</v>
      </c>
      <c r="T62" s="470">
        <f t="shared" si="57"/>
        <v>336000</v>
      </c>
      <c r="U62" s="470">
        <f t="shared" si="58"/>
        <v>212615.101439999</v>
      </c>
      <c r="V62" s="470">
        <f t="shared" si="59"/>
        <v>772615.101439999</v>
      </c>
      <c r="W62" s="471">
        <v>12</v>
      </c>
      <c r="X62" s="470">
        <f t="shared" si="60"/>
        <v>64384.5917866666</v>
      </c>
      <c r="Y62" s="476"/>
      <c r="Z62" s="470">
        <f t="shared" si="61"/>
        <v>64384.5917866666</v>
      </c>
      <c r="AA62" s="473">
        <v>41338.9510986667</v>
      </c>
      <c r="AB62" s="473">
        <f t="shared" si="62"/>
        <v>23045.6406879999</v>
      </c>
      <c r="AC62" s="473"/>
      <c r="AD62" s="473"/>
      <c r="AE62" s="473"/>
    </row>
    <row r="63" ht="18" spans="1:31">
      <c r="A63" s="467">
        <v>56</v>
      </c>
      <c r="B63" s="11" t="s">
        <v>172</v>
      </c>
      <c r="C63" s="470">
        <v>475703.833333333</v>
      </c>
      <c r="D63" s="469">
        <v>12</v>
      </c>
      <c r="E63" s="470">
        <f t="shared" si="47"/>
        <v>5708446</v>
      </c>
      <c r="F63" s="470"/>
      <c r="G63" s="474">
        <v>351075.68</v>
      </c>
      <c r="H63" s="476"/>
      <c r="I63" s="470">
        <f t="shared" si="48"/>
        <v>5357370.32</v>
      </c>
      <c r="J63" s="470">
        <v>200000</v>
      </c>
      <c r="K63" s="470">
        <v>0.2</v>
      </c>
      <c r="L63" s="470">
        <f t="shared" si="49"/>
        <v>1071474.064</v>
      </c>
      <c r="M63" s="470">
        <f t="shared" si="50"/>
        <v>1271474.064</v>
      </c>
      <c r="N63" s="470">
        <f t="shared" si="51"/>
        <v>1622549.744</v>
      </c>
      <c r="O63" s="470">
        <f t="shared" si="52"/>
        <v>4085896.256</v>
      </c>
      <c r="P63" s="470">
        <f t="shared" si="53"/>
        <v>21000</v>
      </c>
      <c r="Q63" s="470">
        <f t="shared" si="54"/>
        <v>33000</v>
      </c>
      <c r="R63" s="470">
        <f t="shared" si="55"/>
        <v>75000</v>
      </c>
      <c r="S63" s="470">
        <f t="shared" si="56"/>
        <v>95000</v>
      </c>
      <c r="T63" s="470">
        <f t="shared" si="57"/>
        <v>336000</v>
      </c>
      <c r="U63" s="470">
        <f t="shared" si="58"/>
        <v>212615.101439999</v>
      </c>
      <c r="V63" s="470">
        <f t="shared" si="59"/>
        <v>772615.101439999</v>
      </c>
      <c r="W63" s="471">
        <v>12</v>
      </c>
      <c r="X63" s="470">
        <f t="shared" si="60"/>
        <v>64384.5917866666</v>
      </c>
      <c r="Y63" s="476"/>
      <c r="Z63" s="470">
        <f t="shared" si="61"/>
        <v>64384.5917866666</v>
      </c>
      <c r="AA63" s="473">
        <v>41338.9510986667</v>
      </c>
      <c r="AB63" s="473">
        <f t="shared" si="62"/>
        <v>23045.6406879999</v>
      </c>
      <c r="AC63" s="473"/>
      <c r="AD63" s="473"/>
      <c r="AE63" s="473"/>
    </row>
    <row r="64" ht="18" spans="1:31">
      <c r="A64" s="467">
        <v>57</v>
      </c>
      <c r="B64" s="11" t="s">
        <v>174</v>
      </c>
      <c r="C64" s="470">
        <v>475703.833333333</v>
      </c>
      <c r="D64" s="469">
        <v>12</v>
      </c>
      <c r="E64" s="470">
        <f t="shared" si="47"/>
        <v>5708446</v>
      </c>
      <c r="F64" s="470"/>
      <c r="G64" s="474">
        <v>351075.68</v>
      </c>
      <c r="H64" s="476"/>
      <c r="I64" s="470">
        <f t="shared" si="48"/>
        <v>5357370.32</v>
      </c>
      <c r="J64" s="470">
        <v>200000</v>
      </c>
      <c r="K64" s="470">
        <v>0.2</v>
      </c>
      <c r="L64" s="470">
        <f t="shared" si="49"/>
        <v>1071474.064</v>
      </c>
      <c r="M64" s="470">
        <f t="shared" si="50"/>
        <v>1271474.064</v>
      </c>
      <c r="N64" s="470">
        <f t="shared" si="51"/>
        <v>1622549.744</v>
      </c>
      <c r="O64" s="470">
        <f t="shared" si="52"/>
        <v>4085896.256</v>
      </c>
      <c r="P64" s="470">
        <f t="shared" si="53"/>
        <v>21000</v>
      </c>
      <c r="Q64" s="470">
        <f t="shared" si="54"/>
        <v>33000</v>
      </c>
      <c r="R64" s="470">
        <f t="shared" si="55"/>
        <v>75000</v>
      </c>
      <c r="S64" s="470">
        <f t="shared" si="56"/>
        <v>95000</v>
      </c>
      <c r="T64" s="470">
        <f t="shared" si="57"/>
        <v>336000</v>
      </c>
      <c r="U64" s="470">
        <f t="shared" si="58"/>
        <v>212615.101439999</v>
      </c>
      <c r="V64" s="470">
        <f t="shared" si="59"/>
        <v>772615.101439999</v>
      </c>
      <c r="W64" s="471">
        <v>12</v>
      </c>
      <c r="X64" s="470">
        <f t="shared" si="60"/>
        <v>64384.5917866666</v>
      </c>
      <c r="Y64" s="476"/>
      <c r="Z64" s="470">
        <f t="shared" si="61"/>
        <v>64384.5917866666</v>
      </c>
      <c r="AA64" s="473">
        <v>41338.9510986667</v>
      </c>
      <c r="AB64" s="473">
        <f t="shared" si="62"/>
        <v>23045.6406879999</v>
      </c>
      <c r="AC64" s="473"/>
      <c r="AD64" s="473"/>
      <c r="AE64" s="473"/>
    </row>
    <row r="65" ht="18" spans="1:31">
      <c r="A65" s="467">
        <v>58</v>
      </c>
      <c r="B65" s="11" t="s">
        <v>175</v>
      </c>
      <c r="C65" s="470">
        <v>487895.166666667</v>
      </c>
      <c r="D65" s="469">
        <v>12</v>
      </c>
      <c r="E65" s="470">
        <f t="shared" si="47"/>
        <v>5854742</v>
      </c>
      <c r="F65" s="470"/>
      <c r="G65" s="474">
        <v>362779.36</v>
      </c>
      <c r="H65" s="476"/>
      <c r="I65" s="470">
        <f t="shared" si="48"/>
        <v>5491962.64</v>
      </c>
      <c r="J65" s="470">
        <v>200000</v>
      </c>
      <c r="K65" s="470">
        <v>0.2</v>
      </c>
      <c r="L65" s="470">
        <f t="shared" si="49"/>
        <v>1098392.528</v>
      </c>
      <c r="M65" s="470">
        <f t="shared" si="50"/>
        <v>1298392.528</v>
      </c>
      <c r="N65" s="470">
        <f t="shared" si="51"/>
        <v>1661171.888</v>
      </c>
      <c r="O65" s="470">
        <f t="shared" si="52"/>
        <v>4193570.112</v>
      </c>
      <c r="P65" s="470">
        <f t="shared" si="53"/>
        <v>21000</v>
      </c>
      <c r="Q65" s="470">
        <f t="shared" si="54"/>
        <v>33000</v>
      </c>
      <c r="R65" s="470">
        <f t="shared" si="55"/>
        <v>75000</v>
      </c>
      <c r="S65" s="470">
        <f t="shared" si="56"/>
        <v>95000</v>
      </c>
      <c r="T65" s="470">
        <f t="shared" si="57"/>
        <v>336000</v>
      </c>
      <c r="U65" s="470">
        <f t="shared" si="58"/>
        <v>238456.826880001</v>
      </c>
      <c r="V65" s="470">
        <f t="shared" si="59"/>
        <v>798456.826880001</v>
      </c>
      <c r="W65" s="471">
        <v>12</v>
      </c>
      <c r="X65" s="470">
        <f t="shared" si="60"/>
        <v>66538.0689066667</v>
      </c>
      <c r="Y65" s="476"/>
      <c r="Z65" s="470">
        <f t="shared" si="61"/>
        <v>66538.0689066667</v>
      </c>
      <c r="AA65" s="473">
        <v>43368.8824146667</v>
      </c>
      <c r="AB65" s="473">
        <f t="shared" si="62"/>
        <v>23169.186492</v>
      </c>
      <c r="AC65" s="473"/>
      <c r="AD65" s="473"/>
      <c r="AE65" s="473"/>
    </row>
    <row r="66" ht="18" spans="1:31">
      <c r="A66" s="467">
        <v>59</v>
      </c>
      <c r="B66" s="11" t="s">
        <v>179</v>
      </c>
      <c r="C66" s="470">
        <v>400965.583333333</v>
      </c>
      <c r="D66" s="469">
        <v>12</v>
      </c>
      <c r="E66" s="470">
        <f t="shared" si="47"/>
        <v>4811587</v>
      </c>
      <c r="F66" s="470"/>
      <c r="G66" s="478">
        <v>288926.96</v>
      </c>
      <c r="H66" s="476"/>
      <c r="I66" s="470">
        <f t="shared" si="48"/>
        <v>4522660.04</v>
      </c>
      <c r="J66" s="470">
        <v>200000</v>
      </c>
      <c r="K66" s="470">
        <v>0.2</v>
      </c>
      <c r="L66" s="470">
        <f t="shared" si="49"/>
        <v>904532.007999999</v>
      </c>
      <c r="M66" s="470">
        <f t="shared" si="50"/>
        <v>1104532.008</v>
      </c>
      <c r="N66" s="470">
        <f t="shared" si="51"/>
        <v>1393458.968</v>
      </c>
      <c r="O66" s="470">
        <f t="shared" si="52"/>
        <v>3418128.032</v>
      </c>
      <c r="P66" s="470">
        <f t="shared" si="53"/>
        <v>21000</v>
      </c>
      <c r="Q66" s="470">
        <f t="shared" si="54"/>
        <v>33000</v>
      </c>
      <c r="R66" s="470">
        <f t="shared" si="55"/>
        <v>75000</v>
      </c>
      <c r="S66" s="470">
        <f t="shared" si="56"/>
        <v>95000</v>
      </c>
      <c r="T66" s="470">
        <f t="shared" si="57"/>
        <v>336000</v>
      </c>
      <c r="U66" s="470">
        <f t="shared" si="58"/>
        <v>52350.7276799992</v>
      </c>
      <c r="V66" s="470">
        <f t="shared" si="59"/>
        <v>612350.727679999</v>
      </c>
      <c r="W66" s="471">
        <v>12</v>
      </c>
      <c r="X66" s="470">
        <f t="shared" si="60"/>
        <v>51029.2273066666</v>
      </c>
      <c r="Y66" s="476"/>
      <c r="Z66" s="470">
        <f t="shared" si="61"/>
        <v>51029.2273066666</v>
      </c>
      <c r="AA66" s="473">
        <v>33825.9865626667</v>
      </c>
      <c r="AB66" s="473">
        <f t="shared" si="62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473"/>
      <c r="AB68" s="473"/>
      <c r="AC68" s="473"/>
      <c r="AD68" s="473"/>
      <c r="AE68" s="473"/>
    </row>
    <row r="69" ht="17.5" spans="1:31">
      <c r="A69" s="467"/>
      <c r="B69" s="20" t="s">
        <v>183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473"/>
      <c r="AB69" s="473"/>
      <c r="AC69" s="473"/>
      <c r="AD69" s="473"/>
      <c r="AE69" s="473"/>
    </row>
    <row r="70" ht="18" spans="1:31">
      <c r="A70" s="467"/>
      <c r="B70" s="11" t="s">
        <v>184</v>
      </c>
      <c r="C70" s="470">
        <v>1635720</v>
      </c>
      <c r="D70" s="469">
        <v>12</v>
      </c>
      <c r="E70" s="470">
        <f t="shared" ref="E70:E76" si="63">C70*D70</f>
        <v>19628640</v>
      </c>
      <c r="F70" s="470"/>
      <c r="G70" s="474">
        <v>1378291.2</v>
      </c>
      <c r="H70" s="476"/>
      <c r="I70" s="470">
        <f t="shared" ref="I70:I76" si="64">E70-F70-G70-H70</f>
        <v>18250348.8</v>
      </c>
      <c r="J70" s="470">
        <v>200000</v>
      </c>
      <c r="K70" s="470">
        <v>0.2</v>
      </c>
      <c r="L70" s="470">
        <f t="shared" ref="L70:L76" si="65">I70*K70</f>
        <v>3650069.76</v>
      </c>
      <c r="M70" s="470">
        <f t="shared" ref="M70:M76" si="66">J70+L70</f>
        <v>3850069.76</v>
      </c>
      <c r="N70" s="470">
        <f t="shared" ref="N70:N76" si="67">F70+G70+H70+M70</f>
        <v>5228360.96</v>
      </c>
      <c r="O70" s="470">
        <f t="shared" ref="O70:O76" si="68">E70-N70</f>
        <v>14400279.04</v>
      </c>
      <c r="P70" s="470">
        <f t="shared" ref="P70:P76" si="69">IF(O70&lt;300000,0.07*O70,21000)</f>
        <v>21000</v>
      </c>
      <c r="Q70" s="470">
        <f t="shared" ref="Q70:Q76" si="70">IF((O70-300000)&lt;0,0,IF((O70-300000)&lt;300000,0.11*(O70-300000),33000))</f>
        <v>33000</v>
      </c>
      <c r="R70" s="470">
        <f t="shared" ref="R70:R76" si="71">IF((O70-600000)&lt;0,0,IF((O70-600000)&lt;500000,0.15*(O70-600000),75000))</f>
        <v>75000</v>
      </c>
      <c r="S70" s="470">
        <f t="shared" ref="S70:S76" si="72">IF((O70-1100000)&lt;0,0,IF((O70-1100000)&lt;500000,0.19*(O70-1100000),95000))</f>
        <v>95000</v>
      </c>
      <c r="T70" s="470">
        <f t="shared" ref="T70:T76" si="73">IF((O70-1600000)&lt;0,0,IF((O70-1600000)&lt;1600000,0.21*(O70-1600000),336000))</f>
        <v>336000</v>
      </c>
      <c r="U70" s="470">
        <f t="shared" ref="U70:U73" si="74">24%*(O70-3200000)</f>
        <v>2688066.9696</v>
      </c>
      <c r="V70" s="470">
        <f t="shared" ref="V70:V76" si="75">P70+Q70+R70+S70+T70+U70</f>
        <v>3248066.9696</v>
      </c>
      <c r="W70" s="471">
        <v>12</v>
      </c>
      <c r="X70" s="470">
        <f t="shared" ref="X70:X76" si="76">V70/W70</f>
        <v>270672.247466667</v>
      </c>
      <c r="Y70" s="476"/>
      <c r="Z70" s="470">
        <f t="shared" ref="Z70:Z76" si="77">X70</f>
        <v>270672.247466667</v>
      </c>
      <c r="AA70" s="473">
        <v>180306.806858667</v>
      </c>
      <c r="AB70" s="473">
        <f t="shared" ref="AB70:AB76" si="78"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923</v>
      </c>
      <c r="C71" s="470">
        <v>761396.833333333</v>
      </c>
      <c r="D71" s="469">
        <v>12</v>
      </c>
      <c r="E71" s="470">
        <f t="shared" si="63"/>
        <v>9136762</v>
      </c>
      <c r="F71" s="470"/>
      <c r="G71" s="474">
        <v>0</v>
      </c>
      <c r="H71" s="476"/>
      <c r="I71" s="470">
        <f t="shared" si="64"/>
        <v>9136762</v>
      </c>
      <c r="J71" s="470">
        <v>200000</v>
      </c>
      <c r="K71" s="470">
        <v>0.2</v>
      </c>
      <c r="L71" s="470">
        <f t="shared" si="65"/>
        <v>1827352.4</v>
      </c>
      <c r="M71" s="470">
        <f t="shared" si="66"/>
        <v>2027352.4</v>
      </c>
      <c r="N71" s="470">
        <f t="shared" si="67"/>
        <v>2027352.4</v>
      </c>
      <c r="O71" s="470">
        <f t="shared" si="68"/>
        <v>7109409.6</v>
      </c>
      <c r="P71" s="470">
        <f t="shared" si="69"/>
        <v>21000</v>
      </c>
      <c r="Q71" s="470">
        <f t="shared" si="70"/>
        <v>33000</v>
      </c>
      <c r="R71" s="470">
        <f t="shared" si="71"/>
        <v>75000</v>
      </c>
      <c r="S71" s="470">
        <f t="shared" si="72"/>
        <v>95000</v>
      </c>
      <c r="T71" s="470">
        <f t="shared" si="73"/>
        <v>336000</v>
      </c>
      <c r="U71" s="470">
        <f t="shared" si="74"/>
        <v>938258.303999999</v>
      </c>
      <c r="V71" s="470">
        <f t="shared" si="75"/>
        <v>1498258.304</v>
      </c>
      <c r="W71" s="471">
        <v>12</v>
      </c>
      <c r="X71" s="470">
        <f t="shared" si="76"/>
        <v>124854.858666667</v>
      </c>
      <c r="Y71" s="476"/>
      <c r="Z71" s="470">
        <f t="shared" si="77"/>
        <v>124854.858666667</v>
      </c>
      <c r="AA71" s="473">
        <v>77764.9802666667</v>
      </c>
      <c r="AB71" s="473">
        <f t="shared" si="78"/>
        <v>47089.8783999999</v>
      </c>
      <c r="AC71" s="473"/>
      <c r="AD71" s="473"/>
      <c r="AE71" s="473"/>
    </row>
    <row r="72" ht="36" spans="1:31">
      <c r="A72" s="467">
        <v>63</v>
      </c>
      <c r="B72" s="18" t="s">
        <v>186</v>
      </c>
      <c r="C72" s="470">
        <f>700675.583333333+80000</f>
        <v>780675.583333333</v>
      </c>
      <c r="D72" s="469">
        <v>12</v>
      </c>
      <c r="E72" s="470">
        <f t="shared" si="63"/>
        <v>9368107</v>
      </c>
      <c r="F72" s="470"/>
      <c r="G72" s="474">
        <v>0</v>
      </c>
      <c r="H72" s="476"/>
      <c r="I72" s="470">
        <f t="shared" si="64"/>
        <v>9368107</v>
      </c>
      <c r="J72" s="470">
        <v>200000</v>
      </c>
      <c r="K72" s="470">
        <v>0.2</v>
      </c>
      <c r="L72" s="470">
        <f t="shared" si="65"/>
        <v>1873621.4</v>
      </c>
      <c r="M72" s="470">
        <f t="shared" si="66"/>
        <v>2073621.4</v>
      </c>
      <c r="N72" s="470">
        <f t="shared" si="67"/>
        <v>2073621.4</v>
      </c>
      <c r="O72" s="470">
        <f t="shared" si="68"/>
        <v>7294485.6</v>
      </c>
      <c r="P72" s="470">
        <f t="shared" si="69"/>
        <v>21000</v>
      </c>
      <c r="Q72" s="470">
        <f t="shared" si="70"/>
        <v>33000</v>
      </c>
      <c r="R72" s="470">
        <f t="shared" si="71"/>
        <v>75000</v>
      </c>
      <c r="S72" s="470">
        <f t="shared" si="72"/>
        <v>95000</v>
      </c>
      <c r="T72" s="470">
        <f t="shared" si="73"/>
        <v>336000</v>
      </c>
      <c r="U72" s="470">
        <f t="shared" si="74"/>
        <v>982676.543999999</v>
      </c>
      <c r="V72" s="470">
        <f t="shared" si="75"/>
        <v>1542676.544</v>
      </c>
      <c r="W72" s="471">
        <v>12</v>
      </c>
      <c r="X72" s="470">
        <f t="shared" si="76"/>
        <v>128556.378666667</v>
      </c>
      <c r="Y72" s="476"/>
      <c r="Z72" s="470">
        <f t="shared" si="77"/>
        <v>128556.378666667</v>
      </c>
      <c r="AA72" s="473">
        <v>64596.9391466667</v>
      </c>
      <c r="AB72" s="473">
        <f t="shared" si="78"/>
        <v>63959.4395199999</v>
      </c>
      <c r="AC72" s="473"/>
      <c r="AD72" s="473"/>
      <c r="AE72" s="473"/>
    </row>
    <row r="73" ht="18" spans="1:31">
      <c r="A73" s="467">
        <v>64</v>
      </c>
      <c r="B73" s="11" t="s">
        <v>190</v>
      </c>
      <c r="C73" s="470">
        <v>596622.25</v>
      </c>
      <c r="D73" s="469">
        <v>12</v>
      </c>
      <c r="E73" s="470">
        <f t="shared" si="63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64"/>
        <v>6713089.845</v>
      </c>
      <c r="J73" s="470">
        <v>200000</v>
      </c>
      <c r="K73" s="470">
        <v>0.2</v>
      </c>
      <c r="L73" s="470">
        <f t="shared" si="65"/>
        <v>1342617.969</v>
      </c>
      <c r="M73" s="470">
        <f t="shared" si="66"/>
        <v>1542617.969</v>
      </c>
      <c r="N73" s="470">
        <f t="shared" si="67"/>
        <v>1988995.124</v>
      </c>
      <c r="O73" s="470">
        <f t="shared" si="68"/>
        <v>5170471.876</v>
      </c>
      <c r="P73" s="470">
        <f t="shared" si="69"/>
        <v>21000</v>
      </c>
      <c r="Q73" s="470">
        <f t="shared" si="70"/>
        <v>33000</v>
      </c>
      <c r="R73" s="470">
        <f t="shared" si="71"/>
        <v>75000</v>
      </c>
      <c r="S73" s="470">
        <f t="shared" si="72"/>
        <v>95000</v>
      </c>
      <c r="T73" s="470">
        <f t="shared" si="73"/>
        <v>336000</v>
      </c>
      <c r="U73" s="470">
        <f t="shared" si="74"/>
        <v>472913.25024</v>
      </c>
      <c r="V73" s="470">
        <f t="shared" si="75"/>
        <v>1032913.25024</v>
      </c>
      <c r="W73" s="471">
        <v>12</v>
      </c>
      <c r="X73" s="470">
        <f t="shared" si="76"/>
        <v>86076.1041866667</v>
      </c>
      <c r="Y73" s="476"/>
      <c r="Z73" s="470">
        <f t="shared" si="77"/>
        <v>86076.1041866667</v>
      </c>
      <c r="AA73" s="473">
        <v>56350.5861866667</v>
      </c>
      <c r="AB73" s="473">
        <f t="shared" si="78"/>
        <v>29725.518</v>
      </c>
      <c r="AC73" s="473"/>
      <c r="AD73" s="473"/>
      <c r="AE73" s="473"/>
    </row>
    <row r="74" ht="18" spans="1:31">
      <c r="A74" s="467">
        <v>65</v>
      </c>
      <c r="B74" s="11" t="s">
        <v>197</v>
      </c>
      <c r="C74" s="470">
        <v>408901.5</v>
      </c>
      <c r="D74" s="469">
        <v>12</v>
      </c>
      <c r="E74" s="470">
        <f t="shared" si="63"/>
        <v>4906818</v>
      </c>
      <c r="F74" s="470"/>
      <c r="G74" s="474">
        <v>296545.44</v>
      </c>
      <c r="H74" s="476"/>
      <c r="I74" s="470">
        <f t="shared" si="64"/>
        <v>4610272.56</v>
      </c>
      <c r="J74" s="470">
        <v>200000</v>
      </c>
      <c r="K74" s="470">
        <v>0.2</v>
      </c>
      <c r="L74" s="470">
        <f t="shared" si="65"/>
        <v>922054.512</v>
      </c>
      <c r="M74" s="470">
        <f t="shared" si="66"/>
        <v>1122054.512</v>
      </c>
      <c r="N74" s="470">
        <f t="shared" si="67"/>
        <v>1418599.952</v>
      </c>
      <c r="O74" s="470">
        <f t="shared" si="68"/>
        <v>3488218.048</v>
      </c>
      <c r="P74" s="470">
        <f t="shared" si="69"/>
        <v>21000</v>
      </c>
      <c r="Q74" s="470">
        <f t="shared" si="70"/>
        <v>33000</v>
      </c>
      <c r="R74" s="470">
        <f t="shared" si="71"/>
        <v>75000</v>
      </c>
      <c r="S74" s="470">
        <f t="shared" si="72"/>
        <v>95000</v>
      </c>
      <c r="T74" s="470">
        <f t="shared" si="73"/>
        <v>336000</v>
      </c>
      <c r="U74" s="470">
        <f>0.24*(O74-3200000)</f>
        <v>69172.33152</v>
      </c>
      <c r="V74" s="470">
        <f t="shared" si="75"/>
        <v>629172.33152</v>
      </c>
      <c r="W74" s="471">
        <v>12</v>
      </c>
      <c r="X74" s="470">
        <f t="shared" si="76"/>
        <v>52431.0276266667</v>
      </c>
      <c r="Y74" s="476"/>
      <c r="Z74" s="470">
        <f t="shared" si="77"/>
        <v>52431.0276266667</v>
      </c>
      <c r="AA74" s="473">
        <v>17507.5489666667</v>
      </c>
      <c r="AB74" s="473">
        <f t="shared" si="78"/>
        <v>34923.47866</v>
      </c>
      <c r="AC74" s="473"/>
      <c r="AD74" s="473"/>
      <c r="AE74" s="473"/>
    </row>
    <row r="75" ht="24.75" customHeight="1" spans="1:31">
      <c r="A75" s="467"/>
      <c r="B75" s="11" t="s">
        <v>201</v>
      </c>
      <c r="C75" s="470">
        <v>363165.333333333</v>
      </c>
      <c r="D75" s="469">
        <v>12</v>
      </c>
      <c r="E75" s="470">
        <f t="shared" si="63"/>
        <v>4357984</v>
      </c>
      <c r="F75" s="470"/>
      <c r="G75" s="474">
        <v>252638.72</v>
      </c>
      <c r="H75" s="476"/>
      <c r="I75" s="470">
        <f t="shared" si="64"/>
        <v>4105345.28</v>
      </c>
      <c r="J75" s="470">
        <v>200000</v>
      </c>
      <c r="K75" s="470">
        <v>0.2</v>
      </c>
      <c r="L75" s="470">
        <f t="shared" si="65"/>
        <v>821069.055999999</v>
      </c>
      <c r="M75" s="470">
        <f t="shared" si="66"/>
        <v>1021069.056</v>
      </c>
      <c r="N75" s="470">
        <f t="shared" si="67"/>
        <v>1273707.776</v>
      </c>
      <c r="O75" s="470">
        <f t="shared" si="68"/>
        <v>3084276.224</v>
      </c>
      <c r="P75" s="470">
        <f t="shared" si="69"/>
        <v>21000</v>
      </c>
      <c r="Q75" s="470">
        <f t="shared" si="70"/>
        <v>33000</v>
      </c>
      <c r="R75" s="470">
        <f t="shared" si="71"/>
        <v>75000</v>
      </c>
      <c r="S75" s="470">
        <f t="shared" si="72"/>
        <v>95000</v>
      </c>
      <c r="T75" s="470">
        <f t="shared" si="73"/>
        <v>311698.007039999</v>
      </c>
      <c r="U75" s="470"/>
      <c r="V75" s="470">
        <f t="shared" si="75"/>
        <v>535698.007039999</v>
      </c>
      <c r="W75" s="471">
        <v>12</v>
      </c>
      <c r="X75" s="470">
        <f t="shared" si="76"/>
        <v>44641.5005866666</v>
      </c>
      <c r="Y75" s="476"/>
      <c r="Z75" s="470">
        <f t="shared" si="77"/>
        <v>44641.5005866666</v>
      </c>
      <c r="AA75" s="473">
        <v>29058.4826046667</v>
      </c>
      <c r="AB75" s="473">
        <f t="shared" si="78"/>
        <v>15583.0179819999</v>
      </c>
      <c r="AC75" s="473"/>
      <c r="AD75" s="473"/>
      <c r="AE75" s="473"/>
    </row>
    <row r="76" ht="18" spans="1:31">
      <c r="A76" s="467"/>
      <c r="B76" s="11" t="s">
        <v>203</v>
      </c>
      <c r="C76" s="470">
        <v>324459.75</v>
      </c>
      <c r="D76" s="469">
        <v>12</v>
      </c>
      <c r="E76" s="470">
        <f t="shared" si="63"/>
        <v>3893517</v>
      </c>
      <c r="F76" s="470"/>
      <c r="G76" s="474">
        <v>215481.36</v>
      </c>
      <c r="H76" s="476"/>
      <c r="I76" s="470">
        <f t="shared" si="64"/>
        <v>3678035.64</v>
      </c>
      <c r="J76" s="470">
        <v>200000</v>
      </c>
      <c r="K76" s="470">
        <v>0.2</v>
      </c>
      <c r="L76" s="470">
        <f t="shared" si="65"/>
        <v>735607.128</v>
      </c>
      <c r="M76" s="470">
        <f t="shared" si="66"/>
        <v>935607.128</v>
      </c>
      <c r="N76" s="470">
        <f t="shared" si="67"/>
        <v>1151088.488</v>
      </c>
      <c r="O76" s="470">
        <f t="shared" si="68"/>
        <v>2742428.512</v>
      </c>
      <c r="P76" s="470">
        <f t="shared" si="69"/>
        <v>21000</v>
      </c>
      <c r="Q76" s="470">
        <f t="shared" si="70"/>
        <v>33000</v>
      </c>
      <c r="R76" s="470">
        <f t="shared" si="71"/>
        <v>75000</v>
      </c>
      <c r="S76" s="470">
        <f t="shared" si="72"/>
        <v>95000</v>
      </c>
      <c r="T76" s="470">
        <f t="shared" si="73"/>
        <v>239909.98752</v>
      </c>
      <c r="U76" s="470"/>
      <c r="V76" s="470">
        <f t="shared" si="75"/>
        <v>463909.98752</v>
      </c>
      <c r="W76" s="471">
        <v>12</v>
      </c>
      <c r="X76" s="470">
        <f t="shared" si="76"/>
        <v>38659.1656266667</v>
      </c>
      <c r="Y76" s="476"/>
      <c r="Z76" s="470">
        <f t="shared" si="77"/>
        <v>38659.1656266667</v>
      </c>
      <c r="AA76" s="473">
        <v>24751.1704626667</v>
      </c>
      <c r="AB76" s="473">
        <f t="shared" si="78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205</v>
      </c>
      <c r="C79" s="470"/>
      <c r="AB79" s="296" t="s">
        <v>1010</v>
      </c>
      <c r="AC79" s="473"/>
      <c r="AD79" s="473"/>
      <c r="AE79" s="473"/>
    </row>
    <row r="80" ht="18" spans="1:31">
      <c r="A80" s="467">
        <v>68</v>
      </c>
      <c r="B80" s="11" t="s">
        <v>208</v>
      </c>
      <c r="C80" s="470">
        <v>1096034</v>
      </c>
      <c r="D80" s="469">
        <v>12</v>
      </c>
      <c r="E80" s="470">
        <f t="shared" ref="E80:E89" si="79">C80*D80</f>
        <v>13152408</v>
      </c>
      <c r="F80" s="470"/>
      <c r="G80" s="474">
        <v>709635.44</v>
      </c>
      <c r="H80" s="476"/>
      <c r="I80" s="470">
        <f t="shared" ref="I80:I89" si="80">E80-F80-G80-H80</f>
        <v>12442772.56</v>
      </c>
      <c r="J80" s="470">
        <v>200000</v>
      </c>
      <c r="K80" s="470">
        <v>0.2</v>
      </c>
      <c r="L80" s="470">
        <f t="shared" ref="L80:L89" si="81">I80*K80</f>
        <v>2488554.512</v>
      </c>
      <c r="M80" s="470">
        <f t="shared" ref="M80:M89" si="82">J80+L80</f>
        <v>2688554.512</v>
      </c>
      <c r="N80" s="470">
        <f t="shared" ref="N80:N89" si="83">F80+G80+H80+M80</f>
        <v>3398189.952</v>
      </c>
      <c r="O80" s="470">
        <f t="shared" ref="O80:O89" si="84">E80-N80</f>
        <v>9754218.048</v>
      </c>
      <c r="P80" s="470">
        <f t="shared" ref="P80:P89" si="85">IF(O80&lt;300000,0.07*O80,21000)</f>
        <v>21000</v>
      </c>
      <c r="Q80" s="470">
        <f t="shared" ref="Q80:Q89" si="86">IF((O80-300000)&lt;0,0,IF((O80-300000)&lt;300000,0.11*(O80-300000),33000))</f>
        <v>33000</v>
      </c>
      <c r="R80" s="470">
        <f t="shared" ref="R80:R89" si="87">IF((O80-600000)&lt;0,0,IF((O80-600000)&lt;500000,0.15*(O80-600000),75000))</f>
        <v>75000</v>
      </c>
      <c r="S80" s="470">
        <f t="shared" ref="S80:S89" si="88">IF((O80-1100000)&lt;0,0,IF((O80-1100000)&lt;500000,0.19*(O80-1100000),95000))</f>
        <v>95000</v>
      </c>
      <c r="T80" s="470">
        <f t="shared" ref="T80:T89" si="89">IF((O80-1600000)&lt;0,0,IF((O80-1600000)&lt;1600000,0.21*(O80-1600000),336000))</f>
        <v>336000</v>
      </c>
      <c r="U80" s="470">
        <f t="shared" ref="U80:U88" si="90">24%*(O80-3200000)</f>
        <v>1573012.33152</v>
      </c>
      <c r="V80" s="470">
        <f t="shared" ref="V80:V89" si="91">P80+Q80+R80+S80+T80+U80</f>
        <v>2133012.33152</v>
      </c>
      <c r="W80" s="471">
        <v>12</v>
      </c>
      <c r="X80" s="470">
        <f t="shared" ref="X80:X89" si="92">V80/W80</f>
        <v>177751.027626667</v>
      </c>
      <c r="Y80" s="476"/>
      <c r="Z80" s="470">
        <f t="shared" ref="Z80:Z89" si="93">X80</f>
        <v>177751.027626667</v>
      </c>
      <c r="AA80" s="470">
        <v>99156.9391466667</v>
      </c>
      <c r="AB80" s="473">
        <f t="shared" ref="AB80:AB89" si="94">Z80-AA80</f>
        <v>78594.08848</v>
      </c>
      <c r="AC80" s="473" t="s">
        <v>208</v>
      </c>
      <c r="AD80" s="473"/>
      <c r="AE80" s="473"/>
    </row>
    <row r="81" ht="18" spans="1:31">
      <c r="A81" s="467">
        <v>69</v>
      </c>
      <c r="B81" s="11" t="s">
        <v>206</v>
      </c>
      <c r="C81" s="616">
        <v>1552042.66666667</v>
      </c>
      <c r="D81" s="469">
        <v>12</v>
      </c>
      <c r="E81" s="470">
        <f t="shared" si="79"/>
        <v>18624512</v>
      </c>
      <c r="F81" s="470">
        <f>18254.975*12</f>
        <v>219059.7</v>
      </c>
      <c r="G81" s="474">
        <f>114857.6*12</f>
        <v>1378291.2</v>
      </c>
      <c r="H81" s="476"/>
      <c r="I81" s="470">
        <f t="shared" si="80"/>
        <v>17027161.1</v>
      </c>
      <c r="J81" s="470">
        <v>200000</v>
      </c>
      <c r="K81" s="470">
        <v>0.2</v>
      </c>
      <c r="L81" s="470">
        <f t="shared" si="81"/>
        <v>3405432.22000001</v>
      </c>
      <c r="M81" s="470">
        <f t="shared" si="82"/>
        <v>3605432.22000001</v>
      </c>
      <c r="N81" s="470">
        <f t="shared" si="83"/>
        <v>5202783.12000001</v>
      </c>
      <c r="O81" s="470">
        <f t="shared" si="84"/>
        <v>13421728.88</v>
      </c>
      <c r="P81" s="470">
        <f t="shared" si="85"/>
        <v>21000</v>
      </c>
      <c r="Q81" s="470">
        <f t="shared" si="86"/>
        <v>33000</v>
      </c>
      <c r="R81" s="470">
        <f t="shared" si="87"/>
        <v>75000</v>
      </c>
      <c r="S81" s="470">
        <f t="shared" si="88"/>
        <v>95000</v>
      </c>
      <c r="T81" s="470">
        <f t="shared" si="89"/>
        <v>336000</v>
      </c>
      <c r="U81" s="470">
        <f t="shared" si="90"/>
        <v>2453214.93120001</v>
      </c>
      <c r="V81" s="470">
        <f t="shared" si="91"/>
        <v>3013214.93120001</v>
      </c>
      <c r="W81" s="471">
        <v>12</v>
      </c>
      <c r="X81" s="470">
        <f t="shared" si="92"/>
        <v>251101.244266667</v>
      </c>
      <c r="Y81" s="476"/>
      <c r="Z81" s="470">
        <f t="shared" si="93"/>
        <v>251101.244266667</v>
      </c>
      <c r="AA81" s="470">
        <v>98996.1031466667</v>
      </c>
      <c r="AB81" s="473">
        <f t="shared" si="94"/>
        <v>152105.141120001</v>
      </c>
      <c r="AC81" s="473" t="s">
        <v>206</v>
      </c>
      <c r="AD81" s="473"/>
      <c r="AE81" s="473"/>
    </row>
    <row r="82" ht="36" spans="1:31">
      <c r="A82" s="467">
        <v>70</v>
      </c>
      <c r="B82" s="11" t="s">
        <v>479</v>
      </c>
      <c r="C82" s="470">
        <v>587895.166666667</v>
      </c>
      <c r="D82" s="469">
        <v>12</v>
      </c>
      <c r="E82" s="470">
        <f t="shared" si="79"/>
        <v>7054742</v>
      </c>
      <c r="F82" s="470"/>
      <c r="G82" s="474">
        <v>558833.36</v>
      </c>
      <c r="H82" s="476"/>
      <c r="I82" s="470">
        <f t="shared" si="80"/>
        <v>6495908.64</v>
      </c>
      <c r="J82" s="470">
        <v>200000</v>
      </c>
      <c r="K82" s="470">
        <v>0.2</v>
      </c>
      <c r="L82" s="470">
        <f t="shared" si="81"/>
        <v>1299181.728</v>
      </c>
      <c r="M82" s="470">
        <f t="shared" si="82"/>
        <v>1499181.728</v>
      </c>
      <c r="N82" s="470">
        <f t="shared" si="83"/>
        <v>2058015.088</v>
      </c>
      <c r="O82" s="470">
        <f t="shared" si="84"/>
        <v>4996726.912</v>
      </c>
      <c r="P82" s="470">
        <f t="shared" si="85"/>
        <v>21000</v>
      </c>
      <c r="Q82" s="470">
        <f t="shared" si="86"/>
        <v>33000</v>
      </c>
      <c r="R82" s="470">
        <f t="shared" si="87"/>
        <v>75000</v>
      </c>
      <c r="S82" s="470">
        <f t="shared" si="88"/>
        <v>95000</v>
      </c>
      <c r="T82" s="470">
        <f t="shared" si="89"/>
        <v>336000</v>
      </c>
      <c r="U82" s="470">
        <f t="shared" si="90"/>
        <v>431214.458880001</v>
      </c>
      <c r="V82" s="470">
        <f t="shared" si="91"/>
        <v>991214.458880001</v>
      </c>
      <c r="W82" s="471">
        <v>12</v>
      </c>
      <c r="X82" s="470">
        <f t="shared" si="92"/>
        <v>82601.2049066667</v>
      </c>
      <c r="Y82" s="476"/>
      <c r="Z82" s="470">
        <f t="shared" si="93"/>
        <v>82601.2049066667</v>
      </c>
      <c r="AA82" s="470">
        <v>79956.9391466667</v>
      </c>
      <c r="AB82" s="473">
        <f t="shared" si="94"/>
        <v>2644.26576000001</v>
      </c>
      <c r="AC82" s="473" t="s">
        <v>479</v>
      </c>
      <c r="AD82" s="473"/>
      <c r="AE82" s="473"/>
    </row>
    <row r="83" ht="18" spans="1:31">
      <c r="A83" s="467">
        <v>71</v>
      </c>
      <c r="B83" s="11" t="s">
        <v>211</v>
      </c>
      <c r="C83" s="470">
        <v>582746.5</v>
      </c>
      <c r="D83" s="469">
        <v>12</v>
      </c>
      <c r="E83" s="470">
        <f t="shared" si="79"/>
        <v>6992958</v>
      </c>
      <c r="F83" s="470"/>
      <c r="G83" s="474">
        <v>424132.72</v>
      </c>
      <c r="H83" s="476"/>
      <c r="I83" s="470">
        <f t="shared" si="80"/>
        <v>6568825.28</v>
      </c>
      <c r="J83" s="470">
        <v>200000</v>
      </c>
      <c r="K83" s="470">
        <v>0.2</v>
      </c>
      <c r="L83" s="470">
        <f t="shared" si="81"/>
        <v>1313765.056</v>
      </c>
      <c r="M83" s="470">
        <f t="shared" si="82"/>
        <v>1513765.056</v>
      </c>
      <c r="N83" s="470">
        <f t="shared" si="83"/>
        <v>1937897.776</v>
      </c>
      <c r="O83" s="470">
        <f t="shared" si="84"/>
        <v>5055060.224</v>
      </c>
      <c r="P83" s="470">
        <f t="shared" si="85"/>
        <v>21000</v>
      </c>
      <c r="Q83" s="470">
        <f t="shared" si="86"/>
        <v>33000</v>
      </c>
      <c r="R83" s="470">
        <f t="shared" si="87"/>
        <v>75000</v>
      </c>
      <c r="S83" s="470">
        <f t="shared" si="88"/>
        <v>95000</v>
      </c>
      <c r="T83" s="470">
        <f t="shared" si="89"/>
        <v>336000</v>
      </c>
      <c r="U83" s="470">
        <f t="shared" si="90"/>
        <v>445214.45376</v>
      </c>
      <c r="V83" s="470">
        <f t="shared" si="91"/>
        <v>1005214.45376</v>
      </c>
      <c r="W83" s="471">
        <v>12</v>
      </c>
      <c r="X83" s="470">
        <f t="shared" si="92"/>
        <v>83767.8711466667</v>
      </c>
      <c r="Y83" s="476"/>
      <c r="Z83" s="470">
        <f t="shared" si="93"/>
        <v>83767.8711466667</v>
      </c>
      <c r="AA83" s="470">
        <v>75574.6772906667</v>
      </c>
      <c r="AB83" s="473">
        <f t="shared" si="94"/>
        <v>8193.19385599995</v>
      </c>
      <c r="AC83" s="473" t="s">
        <v>211</v>
      </c>
      <c r="AD83" s="473"/>
      <c r="AE83" s="473"/>
    </row>
    <row r="84" ht="18" spans="1:31">
      <c r="A84" s="467">
        <v>72</v>
      </c>
      <c r="B84" s="11" t="s">
        <v>212</v>
      </c>
      <c r="C84" s="470">
        <v>548915.916666667</v>
      </c>
      <c r="D84" s="469">
        <v>12</v>
      </c>
      <c r="E84" s="470">
        <f t="shared" si="79"/>
        <v>6586991</v>
      </c>
      <c r="F84" s="470"/>
      <c r="G84" s="474">
        <v>411759.28</v>
      </c>
      <c r="H84" s="476"/>
      <c r="I84" s="470">
        <f t="shared" si="80"/>
        <v>6175231.72</v>
      </c>
      <c r="J84" s="470">
        <v>200000</v>
      </c>
      <c r="K84" s="470">
        <v>0.2</v>
      </c>
      <c r="L84" s="470">
        <f t="shared" si="81"/>
        <v>1235046.344</v>
      </c>
      <c r="M84" s="470">
        <f t="shared" si="82"/>
        <v>1435046.344</v>
      </c>
      <c r="N84" s="470">
        <f t="shared" si="83"/>
        <v>1846805.624</v>
      </c>
      <c r="O84" s="470">
        <f t="shared" si="84"/>
        <v>4740185.376</v>
      </c>
      <c r="P84" s="470">
        <f t="shared" si="85"/>
        <v>21000</v>
      </c>
      <c r="Q84" s="470">
        <f t="shared" si="86"/>
        <v>33000</v>
      </c>
      <c r="R84" s="470">
        <f t="shared" si="87"/>
        <v>75000</v>
      </c>
      <c r="S84" s="470">
        <f t="shared" si="88"/>
        <v>95000</v>
      </c>
      <c r="T84" s="470">
        <f t="shared" si="89"/>
        <v>336000</v>
      </c>
      <c r="U84" s="470">
        <f t="shared" si="90"/>
        <v>369644.490240001</v>
      </c>
      <c r="V84" s="470">
        <f t="shared" si="91"/>
        <v>929644.490240001</v>
      </c>
      <c r="W84" s="471">
        <v>12</v>
      </c>
      <c r="X84" s="470">
        <f t="shared" si="92"/>
        <v>77470.3741866667</v>
      </c>
      <c r="Y84" s="476"/>
      <c r="Z84" s="470">
        <f t="shared" si="93"/>
        <v>77470.3741866667</v>
      </c>
      <c r="AA84" s="470">
        <v>50985.9775466667</v>
      </c>
      <c r="AB84" s="473">
        <f t="shared" si="94"/>
        <v>26484.39664</v>
      </c>
      <c r="AC84" s="473" t="s">
        <v>212</v>
      </c>
      <c r="AD84" s="473"/>
      <c r="AE84" s="473"/>
    </row>
    <row r="85" ht="36" spans="1:31">
      <c r="A85" s="467">
        <v>73</v>
      </c>
      <c r="B85" s="11" t="s">
        <v>213</v>
      </c>
      <c r="C85" s="470">
        <v>568870.75</v>
      </c>
      <c r="D85" s="469">
        <v>12</v>
      </c>
      <c r="E85" s="470">
        <f t="shared" si="79"/>
        <v>6826449</v>
      </c>
      <c r="F85" s="470"/>
      <c r="G85" s="474">
        <v>411715.92</v>
      </c>
      <c r="H85" s="476"/>
      <c r="I85" s="470">
        <f t="shared" si="80"/>
        <v>6414733.08</v>
      </c>
      <c r="J85" s="470">
        <v>200000</v>
      </c>
      <c r="K85" s="470">
        <v>0.2</v>
      </c>
      <c r="L85" s="470">
        <f t="shared" si="81"/>
        <v>1282946.616</v>
      </c>
      <c r="M85" s="470">
        <f t="shared" si="82"/>
        <v>1482946.616</v>
      </c>
      <c r="N85" s="470">
        <f t="shared" si="83"/>
        <v>1894662.536</v>
      </c>
      <c r="O85" s="470">
        <f t="shared" si="84"/>
        <v>4931786.464</v>
      </c>
      <c r="P85" s="470">
        <f t="shared" si="85"/>
        <v>21000</v>
      </c>
      <c r="Q85" s="470">
        <f t="shared" si="86"/>
        <v>33000</v>
      </c>
      <c r="R85" s="470">
        <f t="shared" si="87"/>
        <v>75000</v>
      </c>
      <c r="S85" s="470">
        <f t="shared" si="88"/>
        <v>95000</v>
      </c>
      <c r="T85" s="470">
        <f t="shared" si="89"/>
        <v>336000</v>
      </c>
      <c r="U85" s="470">
        <f t="shared" si="90"/>
        <v>415628.75136</v>
      </c>
      <c r="V85" s="470">
        <f t="shared" si="91"/>
        <v>975628.75136</v>
      </c>
      <c r="W85" s="471">
        <v>12</v>
      </c>
      <c r="X85" s="470">
        <f t="shared" si="92"/>
        <v>81302.3959466667</v>
      </c>
      <c r="Y85" s="476"/>
      <c r="Z85" s="470">
        <f t="shared" si="93"/>
        <v>81302.3959466667</v>
      </c>
      <c r="AA85" s="470">
        <v>49548.7761866667</v>
      </c>
      <c r="AB85" s="473">
        <f t="shared" si="94"/>
        <v>31753.61976</v>
      </c>
      <c r="AC85" s="473" t="s">
        <v>213</v>
      </c>
      <c r="AD85" s="473"/>
      <c r="AE85" s="473"/>
    </row>
    <row r="86" ht="18" spans="1:31">
      <c r="A86" s="467">
        <v>74</v>
      </c>
      <c r="B86" s="11" t="s">
        <v>215</v>
      </c>
      <c r="C86" s="470">
        <v>475703.833333333</v>
      </c>
      <c r="D86" s="469">
        <v>12</v>
      </c>
      <c r="E86" s="470">
        <f t="shared" si="79"/>
        <v>5708446</v>
      </c>
      <c r="F86" s="470"/>
      <c r="G86" s="479">
        <f>29256.3066666667*12</f>
        <v>351075.68</v>
      </c>
      <c r="H86" s="476"/>
      <c r="I86" s="470">
        <f t="shared" si="80"/>
        <v>5357370.32</v>
      </c>
      <c r="J86" s="470">
        <v>200000</v>
      </c>
      <c r="K86" s="470">
        <v>0.2</v>
      </c>
      <c r="L86" s="470">
        <f t="shared" si="81"/>
        <v>1071474.064</v>
      </c>
      <c r="M86" s="470">
        <f t="shared" si="82"/>
        <v>1271474.064</v>
      </c>
      <c r="N86" s="470">
        <f t="shared" si="83"/>
        <v>1622549.744</v>
      </c>
      <c r="O86" s="470">
        <f t="shared" si="84"/>
        <v>4085896.256</v>
      </c>
      <c r="P86" s="470">
        <f t="shared" si="85"/>
        <v>21000</v>
      </c>
      <c r="Q86" s="470">
        <f t="shared" si="86"/>
        <v>33000</v>
      </c>
      <c r="R86" s="470">
        <f t="shared" si="87"/>
        <v>75000</v>
      </c>
      <c r="S86" s="470">
        <f t="shared" si="88"/>
        <v>95000</v>
      </c>
      <c r="T86" s="470">
        <f t="shared" si="89"/>
        <v>336000</v>
      </c>
      <c r="U86" s="470">
        <f t="shared" si="90"/>
        <v>212615.101439999</v>
      </c>
      <c r="V86" s="470">
        <f t="shared" si="91"/>
        <v>772615.101439999</v>
      </c>
      <c r="W86" s="471">
        <v>12</v>
      </c>
      <c r="X86" s="470">
        <f t="shared" si="92"/>
        <v>64384.5917866666</v>
      </c>
      <c r="Y86" s="476"/>
      <c r="Z86" s="470">
        <f t="shared" si="93"/>
        <v>64384.5917866666</v>
      </c>
      <c r="AA86" s="470">
        <v>53384.0535626667</v>
      </c>
      <c r="AB86" s="473">
        <f t="shared" si="94"/>
        <v>11000.5382239999</v>
      </c>
      <c r="AC86" s="473" t="s">
        <v>215</v>
      </c>
      <c r="AD86" s="473"/>
      <c r="AE86" s="473"/>
    </row>
    <row r="87" ht="24" customHeight="1" spans="1:31">
      <c r="A87" s="467">
        <v>75</v>
      </c>
      <c r="B87" s="11" t="s">
        <v>216</v>
      </c>
      <c r="C87" s="470">
        <v>510248.916666667</v>
      </c>
      <c r="D87" s="469">
        <v>12</v>
      </c>
      <c r="E87" s="470">
        <f t="shared" si="79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80"/>
        <v>5741425.543</v>
      </c>
      <c r="J87" s="470">
        <v>200000</v>
      </c>
      <c r="K87" s="470">
        <v>0.2</v>
      </c>
      <c r="L87" s="470">
        <f t="shared" si="81"/>
        <v>1148285.1086</v>
      </c>
      <c r="M87" s="470">
        <f t="shared" si="82"/>
        <v>1348285.1086</v>
      </c>
      <c r="N87" s="470">
        <f t="shared" si="83"/>
        <v>1729846.5656</v>
      </c>
      <c r="O87" s="470">
        <f t="shared" si="84"/>
        <v>4393140.4344</v>
      </c>
      <c r="P87" s="470">
        <f t="shared" si="85"/>
        <v>21000</v>
      </c>
      <c r="Q87" s="470">
        <f t="shared" si="86"/>
        <v>33000</v>
      </c>
      <c r="R87" s="470">
        <f t="shared" si="87"/>
        <v>75000</v>
      </c>
      <c r="S87" s="470">
        <f t="shared" si="88"/>
        <v>95000</v>
      </c>
      <c r="T87" s="470">
        <f t="shared" si="89"/>
        <v>336000</v>
      </c>
      <c r="U87" s="470">
        <f t="shared" si="90"/>
        <v>286353.704256001</v>
      </c>
      <c r="V87" s="470">
        <f t="shared" si="91"/>
        <v>846353.704256001</v>
      </c>
      <c r="W87" s="471">
        <v>12</v>
      </c>
      <c r="X87" s="470">
        <f t="shared" si="92"/>
        <v>70529.4753546667</v>
      </c>
      <c r="Y87" s="476"/>
      <c r="Z87" s="470">
        <f t="shared" si="93"/>
        <v>70529.4753546667</v>
      </c>
      <c r="AA87" s="470">
        <v>41242.0361406667</v>
      </c>
      <c r="AB87" s="473">
        <f t="shared" si="94"/>
        <v>29287.439214</v>
      </c>
      <c r="AC87" s="473" t="s">
        <v>216</v>
      </c>
      <c r="AD87" s="473"/>
      <c r="AE87" s="473"/>
    </row>
    <row r="88" ht="18" spans="1:31">
      <c r="A88" s="467">
        <v>76</v>
      </c>
      <c r="B88" s="11" t="s">
        <v>220</v>
      </c>
      <c r="C88" s="470">
        <v>400965.583333333</v>
      </c>
      <c r="D88" s="469">
        <v>12</v>
      </c>
      <c r="E88" s="470">
        <f t="shared" si="79"/>
        <v>4811587</v>
      </c>
      <c r="F88" s="470"/>
      <c r="G88" s="474">
        <v>288926.96</v>
      </c>
      <c r="H88" s="476"/>
      <c r="I88" s="470">
        <f t="shared" si="80"/>
        <v>4522660.04</v>
      </c>
      <c r="J88" s="470">
        <v>200000</v>
      </c>
      <c r="K88" s="470">
        <v>0.2</v>
      </c>
      <c r="L88" s="470">
        <f t="shared" si="81"/>
        <v>904532.007999999</v>
      </c>
      <c r="M88" s="470">
        <f t="shared" si="82"/>
        <v>1104532.008</v>
      </c>
      <c r="N88" s="470">
        <f t="shared" si="83"/>
        <v>1393458.968</v>
      </c>
      <c r="O88" s="470">
        <f t="shared" si="84"/>
        <v>3418128.032</v>
      </c>
      <c r="P88" s="470">
        <f t="shared" si="85"/>
        <v>21000</v>
      </c>
      <c r="Q88" s="470">
        <f t="shared" si="86"/>
        <v>33000</v>
      </c>
      <c r="R88" s="470">
        <f t="shared" si="87"/>
        <v>75000</v>
      </c>
      <c r="S88" s="470">
        <f t="shared" si="88"/>
        <v>95000</v>
      </c>
      <c r="T88" s="470">
        <f t="shared" si="89"/>
        <v>336000</v>
      </c>
      <c r="U88" s="470">
        <f t="shared" si="90"/>
        <v>52350.7276799992</v>
      </c>
      <c r="V88" s="470">
        <f t="shared" si="91"/>
        <v>612350.727679999</v>
      </c>
      <c r="W88" s="471">
        <v>12</v>
      </c>
      <c r="X88" s="470">
        <f t="shared" si="92"/>
        <v>51029.2273066666</v>
      </c>
      <c r="Y88" s="476"/>
      <c r="Z88" s="470">
        <f t="shared" si="93"/>
        <v>51029.2273066666</v>
      </c>
      <c r="AA88" s="470">
        <v>45414.4562526667</v>
      </c>
      <c r="AB88" s="473">
        <f t="shared" si="94"/>
        <v>5614.7710539999</v>
      </c>
      <c r="AC88" s="473" t="s">
        <v>220</v>
      </c>
      <c r="AD88" s="473"/>
      <c r="AE88" s="473"/>
    </row>
    <row r="89" ht="18" spans="1:31">
      <c r="A89" s="467"/>
      <c r="B89" s="11" t="s">
        <v>224</v>
      </c>
      <c r="C89" s="470">
        <v>330631.916666667</v>
      </c>
      <c r="D89" s="469">
        <v>12</v>
      </c>
      <c r="E89" s="470">
        <f t="shared" si="79"/>
        <v>3967583</v>
      </c>
      <c r="F89" s="470"/>
      <c r="G89" s="474">
        <v>221406.64</v>
      </c>
      <c r="H89" s="476"/>
      <c r="I89" s="470">
        <f t="shared" si="80"/>
        <v>3746176.36</v>
      </c>
      <c r="J89" s="470">
        <v>200000</v>
      </c>
      <c r="K89" s="470">
        <v>0.2</v>
      </c>
      <c r="L89" s="470">
        <f t="shared" si="81"/>
        <v>749235.272000001</v>
      </c>
      <c r="M89" s="470">
        <f t="shared" si="82"/>
        <v>949235.272000001</v>
      </c>
      <c r="N89" s="470">
        <f t="shared" si="83"/>
        <v>1170641.912</v>
      </c>
      <c r="O89" s="470">
        <f t="shared" si="84"/>
        <v>2796941.088</v>
      </c>
      <c r="P89" s="470">
        <f t="shared" si="85"/>
        <v>21000</v>
      </c>
      <c r="Q89" s="470">
        <f t="shared" si="86"/>
        <v>33000</v>
      </c>
      <c r="R89" s="470">
        <f t="shared" si="87"/>
        <v>75000</v>
      </c>
      <c r="S89" s="470">
        <f t="shared" si="88"/>
        <v>95000</v>
      </c>
      <c r="T89" s="470">
        <f t="shared" si="89"/>
        <v>251357.628480001</v>
      </c>
      <c r="U89" s="470"/>
      <c r="V89" s="470">
        <f t="shared" si="91"/>
        <v>475357.628480001</v>
      </c>
      <c r="W89" s="471">
        <v>12</v>
      </c>
      <c r="X89" s="470">
        <f t="shared" si="92"/>
        <v>39613.1357066667</v>
      </c>
      <c r="Y89" s="476"/>
      <c r="Z89" s="470">
        <f t="shared" si="93"/>
        <v>39613.1357066667</v>
      </c>
      <c r="AA89" s="470">
        <v>33825.9865626667</v>
      </c>
      <c r="AB89" s="473">
        <f t="shared" si="94"/>
        <v>5787.14914400001</v>
      </c>
      <c r="AC89" s="473" t="s">
        <v>224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226</v>
      </c>
      <c r="C92" s="470"/>
      <c r="AC92" s="473"/>
      <c r="AD92" s="473"/>
      <c r="AE92" s="473"/>
    </row>
    <row r="93" ht="18" spans="1:31">
      <c r="A93" s="467">
        <v>79</v>
      </c>
      <c r="B93" s="14" t="s">
        <v>227</v>
      </c>
      <c r="C93" s="470">
        <v>1452042.67</v>
      </c>
      <c r="D93" s="469">
        <v>12</v>
      </c>
      <c r="E93" s="470">
        <f t="shared" ref="E93:E96" si="95">C93*D93</f>
        <v>17424512.04</v>
      </c>
      <c r="F93" s="470">
        <f>'[6]JANUARY 2024'!$V$98*12</f>
        <v>12795.951</v>
      </c>
      <c r="G93" s="474">
        <f>(0.08*1352042.67)*12</f>
        <v>1297960.9632</v>
      </c>
      <c r="H93" s="476"/>
      <c r="I93" s="470">
        <f t="shared" ref="I93:I96" si="96">E93-F93-G93-H93</f>
        <v>16113755.1258</v>
      </c>
      <c r="J93" s="470">
        <v>200000</v>
      </c>
      <c r="K93" s="470">
        <v>0.2</v>
      </c>
      <c r="L93" s="470">
        <f t="shared" ref="L93:L96" si="97">I93*K93</f>
        <v>3222751.02516</v>
      </c>
      <c r="M93" s="470">
        <f t="shared" ref="M93:M96" si="98">J93+L93</f>
        <v>3422751.02516</v>
      </c>
      <c r="N93" s="470">
        <f t="shared" ref="N93:N96" si="99">F93+G93+H93+M93</f>
        <v>4733507.93936</v>
      </c>
      <c r="O93" s="470">
        <f t="shared" ref="O93:O96" si="100">E93-N93</f>
        <v>12691004.10064</v>
      </c>
      <c r="P93" s="470">
        <f t="shared" ref="P93:P96" si="101">IF(O93&lt;300000,0.07*O93,21000)</f>
        <v>21000</v>
      </c>
      <c r="Q93" s="470">
        <f t="shared" ref="Q93:Q96" si="102">IF((O93-300000)&lt;0,0,IF((O93-300000)&lt;300000,0.11*(O93-300000),33000))</f>
        <v>33000</v>
      </c>
      <c r="R93" s="470">
        <f t="shared" ref="R93:R96" si="103">IF((O93-600000)&lt;0,0,IF((O93-600000)&lt;500000,0.15*(O93-600000),75000))</f>
        <v>75000</v>
      </c>
      <c r="S93" s="470">
        <f t="shared" ref="S93:S96" si="104">IF((O93-1100000)&lt;0,0,IF((O93-1100000)&lt;500000,0.19*(O93-1100000),95000))</f>
        <v>95000</v>
      </c>
      <c r="T93" s="470">
        <f t="shared" ref="T93:T96" si="105">IF((O93-1600000)&lt;0,0,IF((O93-1600000)&lt;1600000,0.21*(O93-1600000),336000))</f>
        <v>336000</v>
      </c>
      <c r="U93" s="470">
        <f t="shared" ref="U93:U95" si="106">24%*(O93-3200000)</f>
        <v>2277840.9841536</v>
      </c>
      <c r="V93" s="470">
        <f t="shared" ref="V93:V96" si="107">P93+Q93+R93+S93+T93+U93</f>
        <v>2837840.9841536</v>
      </c>
      <c r="W93" s="471">
        <v>12</v>
      </c>
      <c r="X93" s="470">
        <f t="shared" ref="X93:X96" si="108">V93/W93</f>
        <v>236486.748679467</v>
      </c>
      <c r="Y93" s="476"/>
      <c r="Z93" s="470">
        <f t="shared" ref="Z93:Z96" si="109">X93</f>
        <v>236486.748679467</v>
      </c>
      <c r="AA93" s="473">
        <v>82423.2162026667</v>
      </c>
      <c r="AB93" s="473">
        <f t="shared" ref="AB93:AB96" si="110">Z93-AA93</f>
        <v>154063.5324768</v>
      </c>
      <c r="AC93" s="473" t="s">
        <v>227</v>
      </c>
      <c r="AD93" s="473"/>
      <c r="AE93" s="473"/>
    </row>
    <row r="94" ht="18" spans="1:31">
      <c r="A94" s="467">
        <v>80</v>
      </c>
      <c r="B94" s="11" t="s">
        <v>229</v>
      </c>
      <c r="C94" s="470">
        <v>526622.25</v>
      </c>
      <c r="D94" s="469">
        <v>12</v>
      </c>
      <c r="E94" s="470">
        <f t="shared" si="95"/>
        <v>6319467</v>
      </c>
      <c r="F94" s="470"/>
      <c r="G94" s="474">
        <v>438357.36</v>
      </c>
      <c r="H94" s="476"/>
      <c r="I94" s="470">
        <f t="shared" si="96"/>
        <v>5881109.64</v>
      </c>
      <c r="J94" s="470">
        <v>200000</v>
      </c>
      <c r="K94" s="470">
        <v>0.2</v>
      </c>
      <c r="L94" s="470">
        <f t="shared" si="97"/>
        <v>1176221.928</v>
      </c>
      <c r="M94" s="470">
        <f t="shared" si="98"/>
        <v>1376221.928</v>
      </c>
      <c r="N94" s="470">
        <f t="shared" si="99"/>
        <v>1814579.288</v>
      </c>
      <c r="O94" s="470">
        <f t="shared" si="100"/>
        <v>4504887.712</v>
      </c>
      <c r="P94" s="470">
        <f t="shared" si="101"/>
        <v>21000</v>
      </c>
      <c r="Q94" s="470">
        <f t="shared" si="102"/>
        <v>33000</v>
      </c>
      <c r="R94" s="470">
        <f t="shared" si="103"/>
        <v>75000</v>
      </c>
      <c r="S94" s="470">
        <f t="shared" si="104"/>
        <v>95000</v>
      </c>
      <c r="T94" s="470">
        <f t="shared" si="105"/>
        <v>336000</v>
      </c>
      <c r="U94" s="470">
        <f t="shared" si="106"/>
        <v>313173.05088</v>
      </c>
      <c r="V94" s="470">
        <f t="shared" si="107"/>
        <v>873173.05088</v>
      </c>
      <c r="W94" s="471">
        <v>12</v>
      </c>
      <c r="X94" s="470">
        <f t="shared" si="108"/>
        <v>72764.4209066667</v>
      </c>
      <c r="Y94" s="476"/>
      <c r="Z94" s="470">
        <f t="shared" si="109"/>
        <v>72764.4209066667</v>
      </c>
      <c r="AA94" s="473">
        <v>82627.9514186667</v>
      </c>
      <c r="AB94" s="473">
        <f t="shared" si="110"/>
        <v>-9863.53051200004</v>
      </c>
      <c r="AC94" s="473" t="s">
        <v>229</v>
      </c>
      <c r="AD94" s="473"/>
      <c r="AE94" s="473"/>
    </row>
    <row r="95" ht="18" spans="1:31">
      <c r="A95" s="467">
        <v>81</v>
      </c>
      <c r="B95" s="11" t="s">
        <v>235</v>
      </c>
      <c r="C95" s="470">
        <v>437895.166666667</v>
      </c>
      <c r="D95" s="469">
        <v>12</v>
      </c>
      <c r="E95" s="470">
        <f t="shared" si="95"/>
        <v>5254742</v>
      </c>
      <c r="F95" s="470"/>
      <c r="G95" s="474">
        <v>362779.36</v>
      </c>
      <c r="H95" s="476"/>
      <c r="I95" s="470">
        <f t="shared" si="96"/>
        <v>4891962.64</v>
      </c>
      <c r="J95" s="470">
        <v>200000</v>
      </c>
      <c r="K95" s="470">
        <v>0.2</v>
      </c>
      <c r="L95" s="470">
        <f t="shared" si="97"/>
        <v>978392.528000001</v>
      </c>
      <c r="M95" s="470">
        <f t="shared" si="98"/>
        <v>1178392.528</v>
      </c>
      <c r="N95" s="470">
        <f t="shared" si="99"/>
        <v>1541171.888</v>
      </c>
      <c r="O95" s="470">
        <f t="shared" si="100"/>
        <v>3713570.112</v>
      </c>
      <c r="P95" s="470">
        <f t="shared" si="101"/>
        <v>21000</v>
      </c>
      <c r="Q95" s="470">
        <f t="shared" si="102"/>
        <v>33000</v>
      </c>
      <c r="R95" s="470">
        <f t="shared" si="103"/>
        <v>75000</v>
      </c>
      <c r="S95" s="470">
        <f t="shared" si="104"/>
        <v>95000</v>
      </c>
      <c r="T95" s="470">
        <f t="shared" si="105"/>
        <v>336000</v>
      </c>
      <c r="U95" s="470">
        <f t="shared" si="106"/>
        <v>123256.826880001</v>
      </c>
      <c r="V95" s="470">
        <f t="shared" si="107"/>
        <v>683256.826880001</v>
      </c>
      <c r="W95" s="471">
        <v>12</v>
      </c>
      <c r="X95" s="470">
        <f t="shared" si="108"/>
        <v>56938.0689066667</v>
      </c>
      <c r="Y95" s="476"/>
      <c r="Z95" s="470">
        <f t="shared" si="109"/>
        <v>56938.0689066667</v>
      </c>
      <c r="AA95" s="473">
        <v>43492.3733766667</v>
      </c>
      <c r="AB95" s="473">
        <f t="shared" si="110"/>
        <v>13445.69553</v>
      </c>
      <c r="AC95" s="473" t="s">
        <v>235</v>
      </c>
      <c r="AD95" s="473"/>
      <c r="AE95" s="473"/>
    </row>
    <row r="96" ht="18" spans="1:31">
      <c r="A96" s="467"/>
      <c r="B96" s="11" t="s">
        <v>236</v>
      </c>
      <c r="C96" s="470">
        <v>360965.583333333</v>
      </c>
      <c r="D96" s="469">
        <v>12</v>
      </c>
      <c r="E96" s="470">
        <f t="shared" si="95"/>
        <v>4331587</v>
      </c>
      <c r="F96" s="470"/>
      <c r="G96" s="474">
        <v>288926.96</v>
      </c>
      <c r="H96" s="476"/>
      <c r="I96" s="470">
        <f t="shared" si="96"/>
        <v>4042660.04</v>
      </c>
      <c r="J96" s="470">
        <v>200000</v>
      </c>
      <c r="K96" s="470">
        <v>0.2</v>
      </c>
      <c r="L96" s="470">
        <f t="shared" si="97"/>
        <v>808532.007999999</v>
      </c>
      <c r="M96" s="470">
        <f t="shared" si="98"/>
        <v>1008532.008</v>
      </c>
      <c r="N96" s="470">
        <f t="shared" si="99"/>
        <v>1297458.968</v>
      </c>
      <c r="O96" s="470">
        <f t="shared" si="100"/>
        <v>3034128.032</v>
      </c>
      <c r="P96" s="470">
        <f t="shared" si="101"/>
        <v>21000</v>
      </c>
      <c r="Q96" s="470">
        <f t="shared" si="102"/>
        <v>33000</v>
      </c>
      <c r="R96" s="470">
        <f t="shared" si="103"/>
        <v>75000</v>
      </c>
      <c r="S96" s="470">
        <f t="shared" si="104"/>
        <v>95000</v>
      </c>
      <c r="T96" s="470">
        <f t="shared" si="105"/>
        <v>301166.886719999</v>
      </c>
      <c r="U96" s="470"/>
      <c r="V96" s="470">
        <f t="shared" si="107"/>
        <v>525166.886719999</v>
      </c>
      <c r="W96" s="471">
        <v>12</v>
      </c>
      <c r="X96" s="470">
        <f t="shared" si="108"/>
        <v>43763.9072266666</v>
      </c>
      <c r="Y96" s="476"/>
      <c r="Z96" s="470">
        <f t="shared" si="109"/>
        <v>43763.9072266666</v>
      </c>
      <c r="AA96" s="473">
        <v>34968.8824146667</v>
      </c>
      <c r="AB96" s="473">
        <f t="shared" si="110"/>
        <v>8795.02481199991</v>
      </c>
      <c r="AC96" s="473" t="s">
        <v>236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AC98" s="473"/>
      <c r="AD98" s="473"/>
      <c r="AE98" s="473"/>
    </row>
    <row r="99" ht="35" spans="1:31">
      <c r="A99" s="467">
        <v>84</v>
      </c>
      <c r="B99" s="20" t="s">
        <v>239</v>
      </c>
      <c r="C99" s="470"/>
      <c r="G99" s="296">
        <v>0</v>
      </c>
      <c r="AB99" s="296" t="s">
        <v>883</v>
      </c>
      <c r="AC99" s="473"/>
      <c r="AD99" s="473"/>
      <c r="AE99" s="473"/>
    </row>
    <row r="100" ht="18" spans="1:31">
      <c r="A100" s="467">
        <v>85</v>
      </c>
      <c r="B100" s="11" t="s">
        <v>652</v>
      </c>
      <c r="C100" s="470">
        <v>1635720</v>
      </c>
      <c r="D100" s="469">
        <v>12</v>
      </c>
      <c r="E100" s="470">
        <f t="shared" ref="E100:E106" si="111">C100*D100</f>
        <v>19628640</v>
      </c>
      <c r="F100" s="470"/>
      <c r="G100" s="474">
        <v>1378291.2</v>
      </c>
      <c r="H100" s="476"/>
      <c r="I100" s="470">
        <f t="shared" ref="I100:I105" si="112">E100-F100-G100-H100</f>
        <v>18250348.8</v>
      </c>
      <c r="J100" s="470">
        <v>200000</v>
      </c>
      <c r="K100" s="470">
        <v>0.2</v>
      </c>
      <c r="L100" s="470">
        <f t="shared" ref="L100:L106" si="113">I100*K100</f>
        <v>3650069.76</v>
      </c>
      <c r="M100" s="470">
        <f t="shared" ref="M100:M106" si="114">J100+L100</f>
        <v>3850069.76</v>
      </c>
      <c r="N100" s="470">
        <f t="shared" ref="N100:N105" si="115">F100+G100+H100+M100</f>
        <v>5228360.96</v>
      </c>
      <c r="O100" s="470">
        <f t="shared" ref="O100:O106" si="116">E100-N100</f>
        <v>14400279.04</v>
      </c>
      <c r="P100" s="470">
        <f t="shared" ref="P100:P106" si="117">IF(O100&lt;300000,0.07*O100,21000)</f>
        <v>21000</v>
      </c>
      <c r="Q100" s="470">
        <f t="shared" ref="Q100:Q106" si="118">IF((O100-300000)&lt;0,0,IF((O100-300000)&lt;300000,0.11*(O100-300000),33000))</f>
        <v>33000</v>
      </c>
      <c r="R100" s="470">
        <f t="shared" ref="R100:R106" si="119">IF((O100-600000)&lt;0,0,IF((O100-600000)&lt;500000,0.15*(O100-600000),75000))</f>
        <v>75000</v>
      </c>
      <c r="S100" s="470">
        <f t="shared" ref="S100:S106" si="120">IF((O100-1100000)&lt;0,0,IF((O100-1100000)&lt;500000,0.19*(O100-1100000),95000))</f>
        <v>95000</v>
      </c>
      <c r="T100" s="470">
        <f t="shared" ref="T100:T106" si="121">IF((O100-1600000)&lt;0,0,IF((O100-1600000)&lt;1600000,0.21*(O100-1600000),336000))</f>
        <v>336000</v>
      </c>
      <c r="U100" s="470">
        <f t="shared" ref="U100:U102" si="122">24%*(O100-3200000)</f>
        <v>2688066.9696</v>
      </c>
      <c r="V100" s="470">
        <f t="shared" ref="V100:V106" si="123">P100+Q100+R100+S100+T100+U100</f>
        <v>3248066.9696</v>
      </c>
      <c r="W100" s="471">
        <v>12</v>
      </c>
      <c r="X100" s="470">
        <f t="shared" ref="X100:X106" si="124">V100/W100</f>
        <v>270672.247466667</v>
      </c>
      <c r="Y100" s="476"/>
      <c r="Z100" s="470">
        <f t="shared" ref="Z100:Z106" si="125">X100</f>
        <v>270672.247466667</v>
      </c>
      <c r="AA100" s="473">
        <v>180306.806858667</v>
      </c>
      <c r="AB100" s="473">
        <f t="shared" ref="AB100:AB106" si="126">Z100-AA100</f>
        <v>90365.4406079996</v>
      </c>
      <c r="AC100" s="473" t="s">
        <v>652</v>
      </c>
      <c r="AD100" s="473"/>
      <c r="AE100" s="473"/>
    </row>
    <row r="101" ht="18" spans="1:31">
      <c r="A101" s="467">
        <v>86</v>
      </c>
      <c r="B101" s="11" t="s">
        <v>242</v>
      </c>
      <c r="C101" s="470">
        <v>942373.166666667</v>
      </c>
      <c r="D101" s="469">
        <v>12</v>
      </c>
      <c r="E101" s="470">
        <f t="shared" si="111"/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112"/>
        <v>10563803.809</v>
      </c>
      <c r="J101" s="470">
        <v>200000</v>
      </c>
      <c r="K101" s="470">
        <v>0.2</v>
      </c>
      <c r="L101" s="470">
        <f t="shared" si="113"/>
        <v>2112760.7618</v>
      </c>
      <c r="M101" s="470">
        <f t="shared" si="114"/>
        <v>2312760.7618</v>
      </c>
      <c r="N101" s="470">
        <f t="shared" si="115"/>
        <v>3057434.9528</v>
      </c>
      <c r="O101" s="470">
        <f t="shared" si="116"/>
        <v>8251043.0472</v>
      </c>
      <c r="P101" s="470">
        <f t="shared" si="117"/>
        <v>21000</v>
      </c>
      <c r="Q101" s="470">
        <f t="shared" si="118"/>
        <v>33000</v>
      </c>
      <c r="R101" s="470">
        <f t="shared" si="119"/>
        <v>75000</v>
      </c>
      <c r="S101" s="470">
        <f t="shared" si="120"/>
        <v>95000</v>
      </c>
      <c r="T101" s="470">
        <f t="shared" si="121"/>
        <v>336000</v>
      </c>
      <c r="U101" s="470">
        <f t="shared" si="122"/>
        <v>1212250.331328</v>
      </c>
      <c r="V101" s="470">
        <f t="shared" si="123"/>
        <v>1772250.331328</v>
      </c>
      <c r="W101" s="471">
        <v>12</v>
      </c>
      <c r="X101" s="470">
        <f t="shared" si="124"/>
        <v>147687.527610667</v>
      </c>
      <c r="Y101" s="476"/>
      <c r="Z101" s="470">
        <f t="shared" si="125"/>
        <v>147687.527610667</v>
      </c>
      <c r="AA101" s="473">
        <v>99703.2162026667</v>
      </c>
      <c r="AB101" s="473">
        <f t="shared" si="126"/>
        <v>47984.311408</v>
      </c>
      <c r="AC101" s="473" t="s">
        <v>242</v>
      </c>
      <c r="AD101" s="473"/>
      <c r="AE101" s="473"/>
    </row>
    <row r="102" ht="18" spans="1:31">
      <c r="A102" s="467">
        <v>87</v>
      </c>
      <c r="B102" s="11" t="s">
        <v>244</v>
      </c>
      <c r="C102" s="470">
        <v>700086.5</v>
      </c>
      <c r="D102" s="469">
        <v>12</v>
      </c>
      <c r="E102" s="470">
        <f t="shared" si="111"/>
        <v>8401038</v>
      </c>
      <c r="F102" s="470">
        <f>'[6]JANUARY 2024'!$V$107*12</f>
        <v>7901.79</v>
      </c>
      <c r="G102" s="474">
        <v>424132.72</v>
      </c>
      <c r="H102" s="476"/>
      <c r="I102" s="470">
        <f t="shared" si="112"/>
        <v>7969003.49</v>
      </c>
      <c r="J102" s="470">
        <v>200000</v>
      </c>
      <c r="K102" s="470">
        <v>0.2</v>
      </c>
      <c r="L102" s="470">
        <f t="shared" si="113"/>
        <v>1593800.698</v>
      </c>
      <c r="M102" s="470">
        <f t="shared" si="114"/>
        <v>1793800.698</v>
      </c>
      <c r="N102" s="470">
        <f t="shared" si="115"/>
        <v>2225835.208</v>
      </c>
      <c r="O102" s="470">
        <f t="shared" si="116"/>
        <v>6175202.792</v>
      </c>
      <c r="P102" s="470">
        <f t="shared" si="117"/>
        <v>21000</v>
      </c>
      <c r="Q102" s="470">
        <f t="shared" si="118"/>
        <v>33000</v>
      </c>
      <c r="R102" s="470">
        <f t="shared" si="119"/>
        <v>75000</v>
      </c>
      <c r="S102" s="470">
        <f t="shared" si="120"/>
        <v>95000</v>
      </c>
      <c r="T102" s="470">
        <f t="shared" si="121"/>
        <v>336000</v>
      </c>
      <c r="U102" s="470">
        <f t="shared" si="122"/>
        <v>714048.67008</v>
      </c>
      <c r="V102" s="470">
        <f t="shared" si="123"/>
        <v>1274048.67008</v>
      </c>
      <c r="W102" s="471">
        <v>12</v>
      </c>
      <c r="X102" s="470">
        <f t="shared" si="124"/>
        <v>106170.722506667</v>
      </c>
      <c r="Y102" s="476"/>
      <c r="Z102" s="470">
        <f t="shared" si="125"/>
        <v>106170.722506667</v>
      </c>
      <c r="AA102" s="473">
        <v>180180.378218667</v>
      </c>
      <c r="AB102" s="473">
        <f t="shared" si="126"/>
        <v>-74009.6557120003</v>
      </c>
      <c r="AC102" s="473" t="s">
        <v>244</v>
      </c>
      <c r="AD102" s="473"/>
      <c r="AE102" s="473"/>
    </row>
    <row r="103" ht="18" spans="1:31">
      <c r="A103" s="467">
        <v>88</v>
      </c>
      <c r="B103" s="11" t="s">
        <v>246</v>
      </c>
      <c r="C103" s="470">
        <v>601625.033321667</v>
      </c>
      <c r="D103" s="469">
        <v>12</v>
      </c>
      <c r="E103" s="470">
        <f t="shared" si="111"/>
        <v>7219500.39986</v>
      </c>
      <c r="F103" s="470"/>
      <c r="G103" s="474">
        <v>424132.72</v>
      </c>
      <c r="H103" s="476"/>
      <c r="I103" s="470">
        <f t="shared" si="112"/>
        <v>6795367.67986</v>
      </c>
      <c r="J103" s="470">
        <v>200000</v>
      </c>
      <c r="K103" s="470">
        <v>0.2</v>
      </c>
      <c r="L103" s="470">
        <f t="shared" si="113"/>
        <v>1359073.535972</v>
      </c>
      <c r="M103" s="470">
        <f t="shared" si="114"/>
        <v>1559073.535972</v>
      </c>
      <c r="N103" s="470">
        <f t="shared" si="115"/>
        <v>1983206.255972</v>
      </c>
      <c r="O103" s="470">
        <f t="shared" si="116"/>
        <v>5236294.143888</v>
      </c>
      <c r="P103" s="470">
        <f t="shared" si="117"/>
        <v>21000</v>
      </c>
      <c r="Q103" s="470">
        <f t="shared" si="118"/>
        <v>33000</v>
      </c>
      <c r="R103" s="470">
        <f t="shared" si="119"/>
        <v>75000</v>
      </c>
      <c r="S103" s="470">
        <f t="shared" si="120"/>
        <v>95000</v>
      </c>
      <c r="T103" s="470">
        <f t="shared" si="121"/>
        <v>336000</v>
      </c>
      <c r="U103" s="470">
        <f t="shared" ref="U103:U105" si="127">0.24*(O103-3200000)</f>
        <v>488710.594533121</v>
      </c>
      <c r="V103" s="470">
        <f t="shared" si="123"/>
        <v>1048710.59453312</v>
      </c>
      <c r="W103" s="471">
        <v>12</v>
      </c>
      <c r="X103" s="470">
        <f t="shared" si="124"/>
        <v>87392.5495444267</v>
      </c>
      <c r="Y103" s="476"/>
      <c r="Z103" s="470">
        <f t="shared" si="125"/>
        <v>87392.5495444267</v>
      </c>
      <c r="AA103" s="473">
        <v>99907.9514186667</v>
      </c>
      <c r="AB103" s="473">
        <f t="shared" si="126"/>
        <v>-12515.40187424</v>
      </c>
      <c r="AC103" s="473" t="s">
        <v>246</v>
      </c>
      <c r="AD103" s="473"/>
      <c r="AE103" s="473"/>
    </row>
    <row r="104" ht="18" spans="1:31">
      <c r="A104" s="467">
        <v>89</v>
      </c>
      <c r="B104" s="11" t="s">
        <v>249</v>
      </c>
      <c r="C104" s="470">
        <v>374481.864146667</v>
      </c>
      <c r="D104" s="469">
        <v>12</v>
      </c>
      <c r="E104" s="470">
        <f t="shared" si="111"/>
        <v>4493782.36976</v>
      </c>
      <c r="F104" s="470"/>
      <c r="G104" s="474">
        <v>239182.48</v>
      </c>
      <c r="H104" s="476"/>
      <c r="I104" s="470">
        <f t="shared" si="112"/>
        <v>4254599.88976</v>
      </c>
      <c r="J104" s="470">
        <v>200000</v>
      </c>
      <c r="K104" s="470">
        <v>0.2</v>
      </c>
      <c r="L104" s="470">
        <f t="shared" si="113"/>
        <v>850919.977952001</v>
      </c>
      <c r="M104" s="470">
        <f t="shared" si="114"/>
        <v>1050919.977952</v>
      </c>
      <c r="N104" s="470">
        <f t="shared" si="115"/>
        <v>1290102.457952</v>
      </c>
      <c r="O104" s="470">
        <f t="shared" si="116"/>
        <v>3203679.911808</v>
      </c>
      <c r="P104" s="470">
        <f t="shared" si="117"/>
        <v>21000</v>
      </c>
      <c r="Q104" s="470">
        <f t="shared" si="118"/>
        <v>33000</v>
      </c>
      <c r="R104" s="470">
        <f t="shared" si="119"/>
        <v>75000</v>
      </c>
      <c r="S104" s="470">
        <f t="shared" si="120"/>
        <v>95000</v>
      </c>
      <c r="T104" s="470">
        <f t="shared" si="121"/>
        <v>336000</v>
      </c>
      <c r="U104" s="470">
        <f t="shared" si="127"/>
        <v>883.178833920769</v>
      </c>
      <c r="V104" s="470">
        <f t="shared" si="123"/>
        <v>560883.178833921</v>
      </c>
      <c r="W104" s="471">
        <v>12</v>
      </c>
      <c r="X104" s="470">
        <f t="shared" si="124"/>
        <v>46740.2649028267</v>
      </c>
      <c r="Y104" s="476"/>
      <c r="Z104" s="470">
        <f t="shared" si="125"/>
        <v>46740.2649028267</v>
      </c>
      <c r="AA104" s="473">
        <v>58941.1017434667</v>
      </c>
      <c r="AB104" s="473">
        <f t="shared" si="126"/>
        <v>-12200.83684064</v>
      </c>
      <c r="AC104" s="473" t="s">
        <v>249</v>
      </c>
      <c r="AD104" s="473"/>
      <c r="AE104" s="473"/>
    </row>
    <row r="105" ht="36" spans="1:31">
      <c r="A105" s="467"/>
      <c r="B105" s="18" t="s">
        <v>252</v>
      </c>
      <c r="C105" s="470">
        <v>588275.17122</v>
      </c>
      <c r="D105" s="469">
        <v>12</v>
      </c>
      <c r="E105" s="470">
        <f t="shared" si="111"/>
        <v>7059302.05464</v>
      </c>
      <c r="F105" s="470"/>
      <c r="G105" s="474">
        <v>233257.2</v>
      </c>
      <c r="H105" s="476"/>
      <c r="I105" s="470">
        <f t="shared" si="112"/>
        <v>6826044.85464</v>
      </c>
      <c r="J105" s="470">
        <v>200000</v>
      </c>
      <c r="K105" s="470">
        <v>0.2</v>
      </c>
      <c r="L105" s="470">
        <f t="shared" si="113"/>
        <v>1365208.970928</v>
      </c>
      <c r="M105" s="470">
        <f t="shared" si="114"/>
        <v>1565208.970928</v>
      </c>
      <c r="N105" s="470">
        <f t="shared" si="115"/>
        <v>1798466.170928</v>
      </c>
      <c r="O105" s="470">
        <f t="shared" si="116"/>
        <v>5260835.883712</v>
      </c>
      <c r="P105" s="470">
        <f t="shared" si="117"/>
        <v>21000</v>
      </c>
      <c r="Q105" s="470">
        <f t="shared" si="118"/>
        <v>33000</v>
      </c>
      <c r="R105" s="470">
        <f t="shared" si="119"/>
        <v>75000</v>
      </c>
      <c r="S105" s="470">
        <f t="shared" si="120"/>
        <v>95000</v>
      </c>
      <c r="T105" s="470">
        <f t="shared" si="121"/>
        <v>336000</v>
      </c>
      <c r="U105" s="470">
        <f t="shared" si="127"/>
        <v>494600.61209088</v>
      </c>
      <c r="V105" s="470">
        <f t="shared" si="123"/>
        <v>1054600.61209088</v>
      </c>
      <c r="W105" s="471">
        <v>12</v>
      </c>
      <c r="X105" s="470">
        <f t="shared" si="124"/>
        <v>87883.3843409067</v>
      </c>
      <c r="Y105" s="476"/>
      <c r="Z105" s="470">
        <f t="shared" si="125"/>
        <v>87883.3843409067</v>
      </c>
      <c r="AA105" s="473">
        <v>58631.4399444267</v>
      </c>
      <c r="AB105" s="473">
        <f t="shared" si="126"/>
        <v>29251.94439648</v>
      </c>
      <c r="AC105" s="473" t="s">
        <v>252</v>
      </c>
      <c r="AD105" s="473"/>
      <c r="AE105" s="473"/>
    </row>
    <row r="106" ht="18" spans="1:31">
      <c r="A106" s="467"/>
      <c r="B106" s="18" t="s">
        <v>253</v>
      </c>
      <c r="C106" s="470">
        <v>355198.112111667</v>
      </c>
      <c r="D106" s="469">
        <v>12</v>
      </c>
      <c r="E106" s="470">
        <f t="shared" si="11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113"/>
        <v>808194.141068001</v>
      </c>
      <c r="M106" s="470">
        <f t="shared" si="114"/>
        <v>1008194.141068</v>
      </c>
      <c r="N106" s="470">
        <f>F107+G106+H106+M106</f>
        <v>1229600.781068</v>
      </c>
      <c r="O106" s="470">
        <f t="shared" si="116"/>
        <v>3032776.564272</v>
      </c>
      <c r="P106" s="470">
        <f t="shared" si="117"/>
        <v>21000</v>
      </c>
      <c r="Q106" s="470">
        <f t="shared" si="118"/>
        <v>33000</v>
      </c>
      <c r="R106" s="470">
        <f t="shared" si="119"/>
        <v>75000</v>
      </c>
      <c r="S106" s="470">
        <f t="shared" si="120"/>
        <v>95000</v>
      </c>
      <c r="T106" s="470">
        <f t="shared" si="121"/>
        <v>300883.078497121</v>
      </c>
      <c r="U106" s="470"/>
      <c r="V106" s="470">
        <f t="shared" si="123"/>
        <v>524883.078497121</v>
      </c>
      <c r="W106" s="471">
        <v>12</v>
      </c>
      <c r="X106" s="470">
        <f t="shared" si="124"/>
        <v>43740.2565414267</v>
      </c>
      <c r="Y106" s="476"/>
      <c r="Z106" s="470">
        <f t="shared" si="125"/>
        <v>43740.2565414267</v>
      </c>
      <c r="AA106" s="473">
        <v>31871.3352033067</v>
      </c>
      <c r="AB106" s="473">
        <f t="shared" si="126"/>
        <v>11868.92133812</v>
      </c>
      <c r="AC106" s="473" t="s">
        <v>253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AC108" s="473"/>
      <c r="AD108" s="473"/>
      <c r="AE108" s="473"/>
    </row>
    <row r="109" ht="35" spans="1:31">
      <c r="A109" s="467">
        <v>91</v>
      </c>
      <c r="B109" s="20" t="s">
        <v>257</v>
      </c>
      <c r="C109" s="470"/>
      <c r="G109" s="474"/>
      <c r="U109" s="47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888080.266666667</v>
      </c>
      <c r="D110" s="469">
        <v>12</v>
      </c>
      <c r="E110" s="470">
        <f t="shared" ref="E110:E112" si="128">C110*D110</f>
        <v>10656963.2</v>
      </c>
      <c r="F110" s="470">
        <f>'[6]JANUARY 2024'!$V$115*12</f>
        <v>9678.96</v>
      </c>
      <c r="G110" s="474">
        <v>577340.96</v>
      </c>
      <c r="H110" s="476"/>
      <c r="I110" s="470">
        <f t="shared" ref="I110:I112" si="129">E110-F110-G110-H110</f>
        <v>10069943.28</v>
      </c>
      <c r="J110" s="470">
        <v>200000</v>
      </c>
      <c r="K110" s="470">
        <v>0.2</v>
      </c>
      <c r="L110" s="470">
        <f t="shared" ref="L110:L112" si="130">I110*K110</f>
        <v>2013988.656</v>
      </c>
      <c r="M110" s="470">
        <f t="shared" ref="M110:M112" si="131">J110+L110</f>
        <v>2213988.656</v>
      </c>
      <c r="N110" s="470">
        <f t="shared" ref="N110:N112" si="132">F110+G110+H110+M110</f>
        <v>2801008.576</v>
      </c>
      <c r="O110" s="470">
        <f t="shared" ref="O110:O112" si="133">E110-N110</f>
        <v>7855954.624</v>
      </c>
      <c r="P110" s="470">
        <f t="shared" ref="P110:P112" si="134">IF(O110&lt;300000,0.07*O110,21000)</f>
        <v>21000</v>
      </c>
      <c r="Q110" s="470">
        <f t="shared" ref="Q110:Q112" si="135">IF((O110-300000)&lt;0,0,IF((O110-300000)&lt;300000,0.11*(O110-300000),33000))</f>
        <v>33000</v>
      </c>
      <c r="R110" s="470">
        <f t="shared" ref="R110:R112" si="136">IF((O110-600000)&lt;0,0,IF((O110-600000)&lt;500000,0.15*(O110-600000),75000))</f>
        <v>75000</v>
      </c>
      <c r="S110" s="470">
        <f t="shared" ref="S110:S112" si="137">IF((O110-1100000)&lt;0,0,IF((O110-1100000)&lt;500000,0.19*(O110-1100000),95000))</f>
        <v>95000</v>
      </c>
      <c r="T110" s="470">
        <f t="shared" ref="T110:T112" si="138">IF((O110-1600000)&lt;0,0,IF((O110-1600000)&lt;1600000,0.21*(O110-1600000),336000))</f>
        <v>336000</v>
      </c>
      <c r="U110" s="470">
        <f t="shared" ref="U110:U112" si="139">0.24*(O110-3200000)</f>
        <v>1117429.10976</v>
      </c>
      <c r="V110" s="470">
        <f t="shared" ref="V110:V112" si="140">P110+Q110+R110+S110+T110+U110</f>
        <v>1677429.10976</v>
      </c>
      <c r="W110" s="471">
        <v>12</v>
      </c>
      <c r="X110" s="470">
        <f t="shared" ref="X110:X112" si="141">V110/W110</f>
        <v>139785.759146667</v>
      </c>
      <c r="Y110" s="476"/>
      <c r="Z110" s="470">
        <f t="shared" ref="Z110:Z112" si="142">X110</f>
        <v>139785.759146667</v>
      </c>
      <c r="AA110" s="473">
        <v>77610.1169066667</v>
      </c>
      <c r="AB110" s="473">
        <f t="shared" ref="AB110:AB112" si="143">Z110-AA110</f>
        <v>62175.64224</v>
      </c>
      <c r="AC110" s="473"/>
      <c r="AD110" s="473"/>
      <c r="AE110" s="473"/>
    </row>
    <row r="111" ht="18" spans="1:31">
      <c r="A111" s="467">
        <v>93</v>
      </c>
      <c r="B111" s="11" t="s">
        <v>259</v>
      </c>
      <c r="C111" s="470">
        <v>487895.166666667</v>
      </c>
      <c r="D111" s="469">
        <v>12</v>
      </c>
      <c r="E111" s="470">
        <f t="shared" si="128"/>
        <v>5854742</v>
      </c>
      <c r="F111" s="470"/>
      <c r="G111" s="474">
        <v>362779.36</v>
      </c>
      <c r="H111" s="476"/>
      <c r="I111" s="470">
        <f t="shared" si="129"/>
        <v>5491962.64</v>
      </c>
      <c r="J111" s="470">
        <v>200000</v>
      </c>
      <c r="K111" s="470">
        <v>0.2</v>
      </c>
      <c r="L111" s="470">
        <f t="shared" si="130"/>
        <v>1098392.528</v>
      </c>
      <c r="M111" s="470">
        <f t="shared" si="131"/>
        <v>1298392.528</v>
      </c>
      <c r="N111" s="470">
        <f t="shared" si="132"/>
        <v>1661171.888</v>
      </c>
      <c r="O111" s="470">
        <f t="shared" si="133"/>
        <v>4193570.112</v>
      </c>
      <c r="P111" s="470">
        <f t="shared" si="134"/>
        <v>21000</v>
      </c>
      <c r="Q111" s="470">
        <f t="shared" si="135"/>
        <v>33000</v>
      </c>
      <c r="R111" s="470">
        <f t="shared" si="136"/>
        <v>75000</v>
      </c>
      <c r="S111" s="470">
        <f t="shared" si="137"/>
        <v>95000</v>
      </c>
      <c r="T111" s="470">
        <f t="shared" si="138"/>
        <v>336000</v>
      </c>
      <c r="U111" s="470">
        <f t="shared" si="139"/>
        <v>238456.826880001</v>
      </c>
      <c r="V111" s="470">
        <f t="shared" si="140"/>
        <v>798456.826880001</v>
      </c>
      <c r="W111" s="471">
        <v>12</v>
      </c>
      <c r="X111" s="470">
        <f t="shared" si="141"/>
        <v>66538.0689066667</v>
      </c>
      <c r="Y111" s="476"/>
      <c r="Z111" s="470">
        <f t="shared" si="142"/>
        <v>66538.0689066667</v>
      </c>
      <c r="AA111" s="473">
        <v>43368.8824146667</v>
      </c>
      <c r="AB111" s="473">
        <f t="shared" si="143"/>
        <v>23169.186492</v>
      </c>
      <c r="AC111" s="473"/>
      <c r="AD111" s="473"/>
      <c r="AE111" s="473"/>
    </row>
    <row r="112" ht="18" spans="1:31">
      <c r="A112" s="467">
        <v>94</v>
      </c>
      <c r="B112" s="11" t="s">
        <v>193</v>
      </c>
      <c r="C112" s="479">
        <v>450086.5</v>
      </c>
      <c r="D112" s="469">
        <v>12</v>
      </c>
      <c r="E112" s="470">
        <f t="shared" si="128"/>
        <v>5401038</v>
      </c>
      <c r="F112" s="470">
        <f>'[6]JANUARY 2024'!$V$117*12</f>
        <v>6919.455</v>
      </c>
      <c r="G112" s="474">
        <v>374483.04</v>
      </c>
      <c r="H112" s="476"/>
      <c r="I112" s="470">
        <f t="shared" si="129"/>
        <v>5019635.505</v>
      </c>
      <c r="J112" s="470">
        <v>200000</v>
      </c>
      <c r="K112" s="470">
        <v>0.2</v>
      </c>
      <c r="L112" s="470">
        <f t="shared" si="130"/>
        <v>1003927.101</v>
      </c>
      <c r="M112" s="470">
        <f t="shared" si="131"/>
        <v>1203927.101</v>
      </c>
      <c r="N112" s="470">
        <f t="shared" si="132"/>
        <v>1585329.596</v>
      </c>
      <c r="O112" s="470">
        <f t="shared" si="133"/>
        <v>3815708.404</v>
      </c>
      <c r="P112" s="470">
        <f t="shared" si="134"/>
        <v>21000</v>
      </c>
      <c r="Q112" s="470">
        <f t="shared" si="135"/>
        <v>33000</v>
      </c>
      <c r="R112" s="470">
        <f t="shared" si="136"/>
        <v>75000</v>
      </c>
      <c r="S112" s="470">
        <f t="shared" si="137"/>
        <v>95000</v>
      </c>
      <c r="T112" s="470">
        <f t="shared" si="138"/>
        <v>336000</v>
      </c>
      <c r="U112" s="470">
        <f t="shared" si="139"/>
        <v>147770.01696</v>
      </c>
      <c r="V112" s="470">
        <f t="shared" si="140"/>
        <v>707770.01696</v>
      </c>
      <c r="W112" s="471">
        <v>12</v>
      </c>
      <c r="X112" s="470">
        <f t="shared" si="141"/>
        <v>58980.8347466667</v>
      </c>
      <c r="Y112" s="476"/>
      <c r="Z112" s="470">
        <f t="shared" si="142"/>
        <v>58980.8347466667</v>
      </c>
      <c r="AA112" s="473">
        <v>35221.9540866667</v>
      </c>
      <c r="AB112" s="473">
        <f t="shared" si="143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AC114" s="473"/>
      <c r="AD114" s="473"/>
      <c r="AE114" s="473"/>
    </row>
    <row r="115" ht="17.5" spans="1:31">
      <c r="A115" s="467">
        <v>97</v>
      </c>
      <c r="B115" s="20" t="s">
        <v>278</v>
      </c>
      <c r="C115" s="470"/>
      <c r="U115" s="482"/>
      <c r="AC115" s="473"/>
      <c r="AD115" s="473"/>
      <c r="AE115" s="473"/>
    </row>
    <row r="116" ht="18" spans="1:31">
      <c r="A116" s="467">
        <v>98</v>
      </c>
      <c r="B116" s="11" t="s">
        <v>279</v>
      </c>
      <c r="C116" s="470">
        <v>1635720</v>
      </c>
      <c r="D116" s="469">
        <v>12</v>
      </c>
      <c r="E116" s="470">
        <f t="shared" ref="E116:E125" si="144"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45">E116-F116-G116-H116</f>
        <v>18225826.794</v>
      </c>
      <c r="J116" s="470">
        <v>200000</v>
      </c>
      <c r="K116" s="470">
        <v>0.2</v>
      </c>
      <c r="L116" s="470">
        <f t="shared" ref="L116:L125" si="146">I116*K116</f>
        <v>3645165.3588</v>
      </c>
      <c r="M116" s="470">
        <f t="shared" ref="M116:M125" si="147">J116+L116</f>
        <v>3845165.3588</v>
      </c>
      <c r="N116" s="470">
        <f t="shared" ref="N116:N125" si="148">F116+G116+H116+M116</f>
        <v>5247978.5648</v>
      </c>
      <c r="O116" s="470">
        <f t="shared" ref="O116:O125" si="149">E116-N116</f>
        <v>14380661.4352</v>
      </c>
      <c r="P116" s="470">
        <f t="shared" ref="P116:P125" si="150">IF(O116&lt;300000,0.07*O116,21000)</f>
        <v>21000</v>
      </c>
      <c r="Q116" s="470">
        <f t="shared" ref="Q116:Q125" si="151">IF((O116-300000)&lt;0,0,IF((O116-300000)&lt;300000,0.11*(O116-300000),33000))</f>
        <v>33000</v>
      </c>
      <c r="R116" s="470">
        <f t="shared" ref="R116:R125" si="152">IF((O116-600000)&lt;0,0,IF((O116-600000)&lt;500000,0.15*(O116-600000),75000))</f>
        <v>75000</v>
      </c>
      <c r="S116" s="470">
        <f t="shared" ref="S116:S125" si="153">IF((O116-1100000)&lt;0,0,IF((O116-1100000)&lt;500000,0.19*(O116-1100000),95000))</f>
        <v>95000</v>
      </c>
      <c r="T116" s="470">
        <f t="shared" ref="T116:T125" si="154">IF((O116-1600000)&lt;0,0,IF((O116-1600000)&lt;1600000,0.21*(O116-1600000),336000))</f>
        <v>336000</v>
      </c>
      <c r="U116" s="470">
        <f t="shared" ref="U116:U122" si="155">0.24*(O116-3200000)</f>
        <v>2683358.744448</v>
      </c>
      <c r="V116" s="470">
        <f t="shared" ref="V116:V125" si="156">P116+Q116+R116+S116+T116+U116</f>
        <v>3243358.744448</v>
      </c>
      <c r="W116" s="471">
        <v>12</v>
      </c>
      <c r="X116" s="470">
        <f t="shared" ref="X116:X125" si="157">V116/W116</f>
        <v>270279.895370667</v>
      </c>
      <c r="Y116" s="476"/>
      <c r="Z116" s="470">
        <f t="shared" ref="Z116:Z125" si="158">X116</f>
        <v>270279.895370667</v>
      </c>
      <c r="AA116" s="473">
        <v>179914.454762667</v>
      </c>
      <c r="AB116" s="473">
        <f t="shared" ref="AB116:AB125" si="159"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281</v>
      </c>
      <c r="C117" s="470">
        <v>929203.583333333</v>
      </c>
      <c r="D117" s="469">
        <v>12</v>
      </c>
      <c r="E117" s="470">
        <f t="shared" si="144"/>
        <v>11150443</v>
      </c>
      <c r="F117" s="470">
        <f>9980.56666666667*12</f>
        <v>119766.8</v>
      </c>
      <c r="G117" s="474">
        <v>709635.44</v>
      </c>
      <c r="H117" s="476"/>
      <c r="I117" s="470">
        <f t="shared" si="145"/>
        <v>10321040.76</v>
      </c>
      <c r="J117" s="470">
        <v>200000</v>
      </c>
      <c r="K117" s="470">
        <v>0.2</v>
      </c>
      <c r="L117" s="470">
        <f t="shared" si="146"/>
        <v>2064208.152</v>
      </c>
      <c r="M117" s="470">
        <f t="shared" si="147"/>
        <v>2264208.152</v>
      </c>
      <c r="N117" s="470">
        <f t="shared" si="148"/>
        <v>3093610.392</v>
      </c>
      <c r="O117" s="470">
        <f t="shared" si="149"/>
        <v>8056832.608</v>
      </c>
      <c r="P117" s="470">
        <f t="shared" si="150"/>
        <v>21000</v>
      </c>
      <c r="Q117" s="470">
        <f t="shared" si="151"/>
        <v>33000</v>
      </c>
      <c r="R117" s="470">
        <f t="shared" si="152"/>
        <v>75000</v>
      </c>
      <c r="S117" s="470">
        <f t="shared" si="153"/>
        <v>95000</v>
      </c>
      <c r="T117" s="470">
        <f t="shared" si="154"/>
        <v>336000</v>
      </c>
      <c r="U117" s="470">
        <f t="shared" si="155"/>
        <v>1165639.82592</v>
      </c>
      <c r="V117" s="470">
        <f t="shared" si="156"/>
        <v>1725639.82592</v>
      </c>
      <c r="W117" s="471">
        <v>12</v>
      </c>
      <c r="X117" s="470">
        <f t="shared" si="157"/>
        <v>143803.318826667</v>
      </c>
      <c r="Y117" s="476"/>
      <c r="Z117" s="470">
        <f t="shared" si="158"/>
        <v>143803.318826667</v>
      </c>
      <c r="AA117" s="473">
        <v>98995.9569386667</v>
      </c>
      <c r="AB117" s="473">
        <f t="shared" si="159"/>
        <v>44807.3618879999</v>
      </c>
      <c r="AC117" s="473"/>
      <c r="AD117" s="473"/>
      <c r="AE117" s="473"/>
    </row>
    <row r="118" ht="18" spans="1:31">
      <c r="A118" s="467"/>
      <c r="B118" s="14" t="s">
        <v>283</v>
      </c>
      <c r="C118" s="470">
        <v>936034</v>
      </c>
      <c r="D118" s="469">
        <v>12</v>
      </c>
      <c r="E118" s="470">
        <f t="shared" si="144"/>
        <v>11232408</v>
      </c>
      <c r="F118" s="470">
        <f>9678.96*12</f>
        <v>116147.52</v>
      </c>
      <c r="G118" s="474">
        <v>709636.44</v>
      </c>
      <c r="H118" s="476"/>
      <c r="I118" s="470">
        <f t="shared" si="145"/>
        <v>10406624.04</v>
      </c>
      <c r="J118" s="470">
        <v>200000</v>
      </c>
      <c r="K118" s="470">
        <v>0.2</v>
      </c>
      <c r="L118" s="470">
        <f t="shared" si="146"/>
        <v>2081324.808</v>
      </c>
      <c r="M118" s="470">
        <f t="shared" si="147"/>
        <v>2281324.808</v>
      </c>
      <c r="N118" s="470">
        <f t="shared" si="148"/>
        <v>3107108.768</v>
      </c>
      <c r="O118" s="470">
        <f t="shared" si="149"/>
        <v>8125299.232</v>
      </c>
      <c r="P118" s="470">
        <f t="shared" si="150"/>
        <v>21000</v>
      </c>
      <c r="Q118" s="470">
        <f t="shared" si="151"/>
        <v>33000</v>
      </c>
      <c r="R118" s="470">
        <f t="shared" si="152"/>
        <v>75000</v>
      </c>
      <c r="S118" s="470">
        <f t="shared" si="153"/>
        <v>95000</v>
      </c>
      <c r="T118" s="470">
        <f t="shared" si="154"/>
        <v>336000</v>
      </c>
      <c r="U118" s="470">
        <f t="shared" si="155"/>
        <v>1182071.81568</v>
      </c>
      <c r="V118" s="470">
        <f t="shared" si="156"/>
        <v>1742071.81568</v>
      </c>
      <c r="W118" s="471">
        <v>12</v>
      </c>
      <c r="X118" s="470">
        <f t="shared" si="157"/>
        <v>145172.651306667</v>
      </c>
      <c r="Y118" s="476"/>
      <c r="Z118" s="470">
        <f t="shared" si="158"/>
        <v>145172.651306667</v>
      </c>
      <c r="AA118" s="473">
        <v>89396.1031466666</v>
      </c>
      <c r="AB118" s="473">
        <f t="shared" si="159"/>
        <v>55776.5481600001</v>
      </c>
      <c r="AC118" s="473"/>
      <c r="AD118" s="473"/>
      <c r="AE118" s="473"/>
    </row>
    <row r="119" ht="18" spans="1:31">
      <c r="A119" s="467"/>
      <c r="B119" s="14" t="s">
        <v>930</v>
      </c>
      <c r="C119" s="470">
        <v>662118.083333333</v>
      </c>
      <c r="D119" s="469">
        <v>12</v>
      </c>
      <c r="E119" s="470">
        <f t="shared" si="144"/>
        <v>7945417</v>
      </c>
      <c r="F119" s="470"/>
      <c r="G119" s="474">
        <v>0</v>
      </c>
      <c r="H119" s="476"/>
      <c r="I119" s="470">
        <f t="shared" si="145"/>
        <v>7945417</v>
      </c>
      <c r="J119" s="470">
        <v>200000</v>
      </c>
      <c r="K119" s="470">
        <v>0.2</v>
      </c>
      <c r="L119" s="470">
        <f t="shared" si="146"/>
        <v>1589083.4</v>
      </c>
      <c r="M119" s="470">
        <f t="shared" si="147"/>
        <v>1789083.4</v>
      </c>
      <c r="N119" s="470">
        <f t="shared" si="148"/>
        <v>1789083.4</v>
      </c>
      <c r="O119" s="470">
        <f t="shared" si="149"/>
        <v>6156333.6</v>
      </c>
      <c r="P119" s="470">
        <f t="shared" si="150"/>
        <v>21000</v>
      </c>
      <c r="Q119" s="470">
        <f t="shared" si="151"/>
        <v>33000</v>
      </c>
      <c r="R119" s="470">
        <f t="shared" si="152"/>
        <v>75000</v>
      </c>
      <c r="S119" s="470">
        <f t="shared" si="153"/>
        <v>95000</v>
      </c>
      <c r="T119" s="470">
        <f t="shared" si="154"/>
        <v>336000</v>
      </c>
      <c r="U119" s="470">
        <f t="shared" si="155"/>
        <v>709520.063999999</v>
      </c>
      <c r="V119" s="470">
        <f t="shared" si="156"/>
        <v>1269520.064</v>
      </c>
      <c r="W119" s="471">
        <v>12</v>
      </c>
      <c r="X119" s="470">
        <f t="shared" si="157"/>
        <v>105793.338666667</v>
      </c>
      <c r="Y119" s="476"/>
      <c r="Z119" s="470">
        <f t="shared" si="158"/>
        <v>105793.338666667</v>
      </c>
      <c r="AA119" s="473">
        <v>60214.6772906667</v>
      </c>
      <c r="AB119" s="473">
        <f t="shared" si="159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286</v>
      </c>
      <c r="C120" s="470">
        <v>540498</v>
      </c>
      <c r="D120" s="469">
        <v>12</v>
      </c>
      <c r="E120" s="470">
        <f t="shared" si="144"/>
        <v>6485976</v>
      </c>
      <c r="F120" s="470"/>
      <c r="G120" s="474">
        <v>451678.08</v>
      </c>
      <c r="H120" s="476"/>
      <c r="I120" s="470">
        <f t="shared" si="145"/>
        <v>6034297.92</v>
      </c>
      <c r="J120" s="470">
        <v>200000</v>
      </c>
      <c r="K120" s="470">
        <v>0.2</v>
      </c>
      <c r="L120" s="470">
        <f t="shared" si="146"/>
        <v>1206859.584</v>
      </c>
      <c r="M120" s="470">
        <f t="shared" si="147"/>
        <v>1406859.584</v>
      </c>
      <c r="N120" s="470">
        <f t="shared" si="148"/>
        <v>1858537.664</v>
      </c>
      <c r="O120" s="470">
        <f t="shared" si="149"/>
        <v>4627438.336</v>
      </c>
      <c r="P120" s="470">
        <f t="shared" si="150"/>
        <v>21000</v>
      </c>
      <c r="Q120" s="470">
        <f t="shared" si="151"/>
        <v>33000</v>
      </c>
      <c r="R120" s="470">
        <f t="shared" si="152"/>
        <v>75000</v>
      </c>
      <c r="S120" s="470">
        <f t="shared" si="153"/>
        <v>95000</v>
      </c>
      <c r="T120" s="470">
        <f t="shared" si="154"/>
        <v>336000</v>
      </c>
      <c r="U120" s="470">
        <f t="shared" si="155"/>
        <v>342585.20064</v>
      </c>
      <c r="V120" s="470">
        <f t="shared" si="156"/>
        <v>902585.20064</v>
      </c>
      <c r="W120" s="471">
        <v>12</v>
      </c>
      <c r="X120" s="470">
        <f t="shared" si="157"/>
        <v>75215.4333866667</v>
      </c>
      <c r="Y120" s="476"/>
      <c r="Z120" s="470">
        <f t="shared" si="158"/>
        <v>75215.4333866667</v>
      </c>
      <c r="AA120" s="473">
        <v>44846.6165886667</v>
      </c>
      <c r="AB120" s="473">
        <f t="shared" si="159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287</v>
      </c>
      <c r="C121" s="470">
        <v>512746.5</v>
      </c>
      <c r="D121" s="469">
        <v>12</v>
      </c>
      <c r="E121" s="470">
        <f t="shared" si="144"/>
        <v>6152958</v>
      </c>
      <c r="F121" s="479">
        <f>646.3525*12</f>
        <v>7756.23</v>
      </c>
      <c r="G121" s="474">
        <v>425036.64</v>
      </c>
      <c r="H121" s="476"/>
      <c r="I121" s="470">
        <f t="shared" si="145"/>
        <v>5720165.13</v>
      </c>
      <c r="J121" s="470">
        <v>200000</v>
      </c>
      <c r="K121" s="470">
        <v>0.2</v>
      </c>
      <c r="L121" s="470">
        <f t="shared" si="146"/>
        <v>1144033.026</v>
      </c>
      <c r="M121" s="470">
        <f t="shared" si="147"/>
        <v>1344033.026</v>
      </c>
      <c r="N121" s="470">
        <f t="shared" si="148"/>
        <v>1776825.896</v>
      </c>
      <c r="O121" s="470">
        <f t="shared" si="149"/>
        <v>4376132.104</v>
      </c>
      <c r="P121" s="470">
        <f t="shared" si="150"/>
        <v>21000</v>
      </c>
      <c r="Q121" s="470">
        <f t="shared" si="151"/>
        <v>33000</v>
      </c>
      <c r="R121" s="470">
        <f t="shared" si="152"/>
        <v>75000</v>
      </c>
      <c r="S121" s="470">
        <f t="shared" si="153"/>
        <v>95000</v>
      </c>
      <c r="T121" s="470">
        <f t="shared" si="154"/>
        <v>336000</v>
      </c>
      <c r="U121" s="470">
        <f t="shared" si="155"/>
        <v>282271.70496</v>
      </c>
      <c r="V121" s="470">
        <f t="shared" si="156"/>
        <v>842271.70496</v>
      </c>
      <c r="W121" s="471">
        <v>12</v>
      </c>
      <c r="X121" s="470">
        <f t="shared" si="157"/>
        <v>70189.3087466667</v>
      </c>
      <c r="Y121" s="476"/>
      <c r="Z121" s="470">
        <f t="shared" si="158"/>
        <v>70189.3087466667</v>
      </c>
      <c r="AA121" s="473">
        <v>42029.5891866667</v>
      </c>
      <c r="AB121" s="473">
        <f t="shared" si="159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289</v>
      </c>
      <c r="C122" s="470">
        <v>526622.25</v>
      </c>
      <c r="D122" s="469">
        <v>12</v>
      </c>
      <c r="E122" s="470">
        <f t="shared" si="144"/>
        <v>6319467</v>
      </c>
      <c r="F122" s="479">
        <f>668.31625*12</f>
        <v>8019.795</v>
      </c>
      <c r="G122" s="474">
        <v>438357.36</v>
      </c>
      <c r="H122" s="476"/>
      <c r="I122" s="470">
        <f t="shared" si="145"/>
        <v>5873089.845</v>
      </c>
      <c r="J122" s="470">
        <v>200000</v>
      </c>
      <c r="K122" s="470">
        <v>0.2</v>
      </c>
      <c r="L122" s="470">
        <f t="shared" si="146"/>
        <v>1174617.969</v>
      </c>
      <c r="M122" s="470">
        <f t="shared" si="147"/>
        <v>1374617.969</v>
      </c>
      <c r="N122" s="470">
        <f t="shared" si="148"/>
        <v>1820995.124</v>
      </c>
      <c r="O122" s="470">
        <f t="shared" si="149"/>
        <v>4498471.876</v>
      </c>
      <c r="P122" s="470">
        <f t="shared" si="150"/>
        <v>21000</v>
      </c>
      <c r="Q122" s="470">
        <f t="shared" si="151"/>
        <v>33000</v>
      </c>
      <c r="R122" s="470">
        <f t="shared" si="152"/>
        <v>75000</v>
      </c>
      <c r="S122" s="470">
        <f t="shared" si="153"/>
        <v>95000</v>
      </c>
      <c r="T122" s="470">
        <f t="shared" si="154"/>
        <v>336000</v>
      </c>
      <c r="U122" s="470">
        <f t="shared" si="155"/>
        <v>311633.25024</v>
      </c>
      <c r="V122" s="470">
        <f t="shared" si="156"/>
        <v>871633.25024</v>
      </c>
      <c r="W122" s="471">
        <v>12</v>
      </c>
      <c r="X122" s="470">
        <f t="shared" si="157"/>
        <v>72636.1041866667</v>
      </c>
      <c r="Y122" s="476"/>
      <c r="Z122" s="470">
        <f t="shared" si="158"/>
        <v>72636.1041866667</v>
      </c>
      <c r="AA122" s="473">
        <v>43380.0962466667</v>
      </c>
      <c r="AB122" s="473">
        <f t="shared" si="159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292</v>
      </c>
      <c r="C123" s="470">
        <v>330481.666666667</v>
      </c>
      <c r="D123" s="469">
        <v>12</v>
      </c>
      <c r="E123" s="470">
        <f t="shared" si="144"/>
        <v>3965780</v>
      </c>
      <c r="F123" s="470"/>
      <c r="G123" s="474">
        <v>259662.4</v>
      </c>
      <c r="H123" s="476"/>
      <c r="I123" s="470">
        <f t="shared" si="145"/>
        <v>3706117.6</v>
      </c>
      <c r="J123" s="470">
        <v>200000</v>
      </c>
      <c r="K123" s="470">
        <v>0.2</v>
      </c>
      <c r="L123" s="470">
        <f t="shared" si="146"/>
        <v>741223.520000001</v>
      </c>
      <c r="M123" s="470">
        <f t="shared" si="147"/>
        <v>941223.520000001</v>
      </c>
      <c r="N123" s="470">
        <f t="shared" si="148"/>
        <v>1200885.92</v>
      </c>
      <c r="O123" s="470">
        <f t="shared" si="149"/>
        <v>2764894.08</v>
      </c>
      <c r="P123" s="470">
        <f t="shared" si="150"/>
        <v>21000</v>
      </c>
      <c r="Q123" s="470">
        <f t="shared" si="151"/>
        <v>33000</v>
      </c>
      <c r="R123" s="470">
        <f t="shared" si="152"/>
        <v>75000</v>
      </c>
      <c r="S123" s="470">
        <f t="shared" si="153"/>
        <v>95000</v>
      </c>
      <c r="T123" s="470">
        <f t="shared" si="154"/>
        <v>244627.756800001</v>
      </c>
      <c r="U123" s="470"/>
      <c r="V123" s="470">
        <f t="shared" si="156"/>
        <v>468627.756800001</v>
      </c>
      <c r="W123" s="471">
        <v>12</v>
      </c>
      <c r="X123" s="470">
        <f t="shared" si="157"/>
        <v>39052.3130666667</v>
      </c>
      <c r="Y123" s="476"/>
      <c r="Z123" s="470">
        <f t="shared" si="158"/>
        <v>39052.3130666667</v>
      </c>
      <c r="AA123" s="473">
        <v>23036.0123466667</v>
      </c>
      <c r="AB123" s="473">
        <f t="shared" si="159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294</v>
      </c>
      <c r="C124" s="470">
        <v>274459.75</v>
      </c>
      <c r="D124" s="469">
        <v>12</v>
      </c>
      <c r="E124" s="470">
        <f t="shared" si="144"/>
        <v>3293517</v>
      </c>
      <c r="F124" s="470"/>
      <c r="G124" s="474">
        <v>215481.36</v>
      </c>
      <c r="H124" s="476"/>
      <c r="I124" s="470">
        <f t="shared" si="145"/>
        <v>3078035.64</v>
      </c>
      <c r="J124" s="470">
        <v>200000</v>
      </c>
      <c r="K124" s="470">
        <v>0.2</v>
      </c>
      <c r="L124" s="470">
        <f t="shared" si="146"/>
        <v>615607.128</v>
      </c>
      <c r="M124" s="470">
        <f t="shared" si="147"/>
        <v>815607.128</v>
      </c>
      <c r="N124" s="470">
        <f t="shared" si="148"/>
        <v>1031088.488</v>
      </c>
      <c r="O124" s="470">
        <f t="shared" si="149"/>
        <v>2262428.512</v>
      </c>
      <c r="P124" s="470">
        <f t="shared" si="150"/>
        <v>21000</v>
      </c>
      <c r="Q124" s="470">
        <f t="shared" si="151"/>
        <v>33000</v>
      </c>
      <c r="R124" s="470">
        <f t="shared" si="152"/>
        <v>75000</v>
      </c>
      <c r="S124" s="470">
        <f t="shared" si="153"/>
        <v>95000</v>
      </c>
      <c r="T124" s="470">
        <f t="shared" si="154"/>
        <v>139109.98752</v>
      </c>
      <c r="U124" s="470"/>
      <c r="V124" s="470">
        <f t="shared" si="156"/>
        <v>363109.98752</v>
      </c>
      <c r="W124" s="471">
        <v>12</v>
      </c>
      <c r="X124" s="470">
        <f t="shared" si="157"/>
        <v>30259.1656266667</v>
      </c>
      <c r="Y124" s="476"/>
      <c r="Z124" s="470">
        <f t="shared" si="158"/>
        <v>30259.1656266667</v>
      </c>
      <c r="AA124" s="473">
        <v>17042.7138666667</v>
      </c>
      <c r="AB124" s="473">
        <f t="shared" si="159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296</v>
      </c>
      <c r="C125" s="470">
        <v>274459.75</v>
      </c>
      <c r="D125" s="469">
        <v>12</v>
      </c>
      <c r="E125" s="470">
        <f t="shared" si="144"/>
        <v>3293517</v>
      </c>
      <c r="F125" s="470"/>
      <c r="G125" s="474">
        <v>215481.36</v>
      </c>
      <c r="H125" s="476"/>
      <c r="I125" s="470">
        <f t="shared" si="145"/>
        <v>3078035.64</v>
      </c>
      <c r="J125" s="470">
        <v>200000</v>
      </c>
      <c r="K125" s="470">
        <v>0.2</v>
      </c>
      <c r="L125" s="470">
        <f t="shared" si="146"/>
        <v>615607.128</v>
      </c>
      <c r="M125" s="470">
        <f t="shared" si="147"/>
        <v>815607.128</v>
      </c>
      <c r="N125" s="470">
        <f t="shared" si="148"/>
        <v>1031088.488</v>
      </c>
      <c r="O125" s="470">
        <f t="shared" si="149"/>
        <v>2262428.512</v>
      </c>
      <c r="P125" s="470">
        <f t="shared" si="150"/>
        <v>21000</v>
      </c>
      <c r="Q125" s="470">
        <f t="shared" si="151"/>
        <v>33000</v>
      </c>
      <c r="R125" s="470">
        <f t="shared" si="152"/>
        <v>75000</v>
      </c>
      <c r="S125" s="470">
        <f t="shared" si="153"/>
        <v>95000</v>
      </c>
      <c r="T125" s="470">
        <f t="shared" si="154"/>
        <v>139109.98752</v>
      </c>
      <c r="U125" s="470"/>
      <c r="V125" s="470">
        <f t="shared" si="156"/>
        <v>363109.98752</v>
      </c>
      <c r="W125" s="471">
        <v>12</v>
      </c>
      <c r="X125" s="470">
        <f t="shared" si="157"/>
        <v>30259.1656266667</v>
      </c>
      <c r="Y125" s="476"/>
      <c r="Z125" s="470">
        <f t="shared" si="158"/>
        <v>30259.1656266667</v>
      </c>
      <c r="AA125" s="473">
        <v>17042.7138666667</v>
      </c>
      <c r="AB125" s="473">
        <f t="shared" si="159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AC127" s="473"/>
      <c r="AD127" s="473"/>
      <c r="AE127" s="473"/>
    </row>
    <row r="128" ht="17.5" spans="1:31">
      <c r="A128" s="467">
        <v>111</v>
      </c>
      <c r="B128" s="20" t="s">
        <v>299</v>
      </c>
      <c r="C128" s="470"/>
      <c r="U128" s="482"/>
      <c r="AC128" s="473"/>
      <c r="AD128" s="473"/>
      <c r="AE128" s="473"/>
    </row>
    <row r="129" ht="18" spans="1:31">
      <c r="A129" s="467">
        <v>112</v>
      </c>
      <c r="B129" s="11" t="s">
        <v>931</v>
      </c>
      <c r="C129" s="470">
        <v>1535720</v>
      </c>
      <c r="D129" s="469">
        <v>12</v>
      </c>
      <c r="E129" s="470">
        <f t="shared" ref="E129:E187" si="160">C129*D129</f>
        <v>18428640</v>
      </c>
      <c r="F129" s="470"/>
      <c r="G129" s="474">
        <v>1378291.2</v>
      </c>
      <c r="H129" s="476"/>
      <c r="I129" s="470">
        <f t="shared" ref="I129:I187" si="161">E129-F129-G129-H129</f>
        <v>17050348.8</v>
      </c>
      <c r="J129" s="470">
        <v>200000</v>
      </c>
      <c r="K129" s="470">
        <v>0.2</v>
      </c>
      <c r="L129" s="470">
        <f t="shared" ref="L129:L187" si="162">I129*K129</f>
        <v>3410069.76</v>
      </c>
      <c r="M129" s="470">
        <f t="shared" ref="M129:M187" si="163">J129+L129</f>
        <v>3610069.76</v>
      </c>
      <c r="N129" s="470">
        <f t="shared" ref="N129:N187" si="164">F129+G129+H129+M129</f>
        <v>4988360.96</v>
      </c>
      <c r="O129" s="470">
        <f t="shared" ref="O129:O187" si="165">E129-N129</f>
        <v>13440279.04</v>
      </c>
      <c r="P129" s="470">
        <f t="shared" ref="P129:P187" si="166">IF(O129&lt;300000,0.07*O129,21000)</f>
        <v>21000</v>
      </c>
      <c r="Q129" s="470">
        <f t="shared" ref="Q129:Q187" si="167">IF((O129-300000)&lt;0,0,IF((O129-300000)&lt;300000,0.11*(O129-300000),33000))</f>
        <v>33000</v>
      </c>
      <c r="R129" s="470">
        <f t="shared" ref="R129:R187" si="168">IF((O129-600000)&lt;0,0,IF((O129-600000)&lt;500000,0.15*(O129-600000),75000))</f>
        <v>75000</v>
      </c>
      <c r="S129" s="470">
        <f t="shared" ref="S129:S187" si="169">IF((O129-1100000)&lt;0,0,IF((O129-1100000)&lt;500000,0.19*(O129-1100000),95000))</f>
        <v>95000</v>
      </c>
      <c r="T129" s="470">
        <f t="shared" ref="T129:T187" si="170">IF((O129-1600000)&lt;0,0,IF((O129-1600000)&lt;1600000,0.21*(O129-1600000),336000))</f>
        <v>336000</v>
      </c>
      <c r="U129" s="470">
        <f t="shared" ref="U129:U141" si="171">0.24*(O129-3200000)</f>
        <v>2457666.9696</v>
      </c>
      <c r="V129" s="470">
        <f t="shared" ref="V129:V187" si="172">P129+Q129+R129+S129+T129+U129</f>
        <v>3017666.9696</v>
      </c>
      <c r="W129" s="471">
        <v>12</v>
      </c>
      <c r="X129" s="470">
        <f t="shared" ref="X129:X187" si="173">V129/W129</f>
        <v>251472.247466667</v>
      </c>
      <c r="Y129" s="476"/>
      <c r="Z129" s="470">
        <f t="shared" ref="Z129:Z187" si="174">X129</f>
        <v>251472.247466667</v>
      </c>
      <c r="AA129" s="473">
        <v>161106.806858667</v>
      </c>
      <c r="AB129" s="473">
        <f t="shared" ref="AB129:AB187" si="175"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933</v>
      </c>
      <c r="C130" s="470">
        <v>852373.166666667</v>
      </c>
      <c r="D130" s="469">
        <v>12</v>
      </c>
      <c r="E130" s="470">
        <f t="shared" si="160"/>
        <v>10228478</v>
      </c>
      <c r="F130" s="470"/>
      <c r="G130" s="474">
        <v>0</v>
      </c>
      <c r="H130" s="476"/>
      <c r="I130" s="470">
        <f t="shared" si="161"/>
        <v>10228478</v>
      </c>
      <c r="J130" s="470">
        <v>200000</v>
      </c>
      <c r="K130" s="470">
        <v>0.2</v>
      </c>
      <c r="L130" s="470">
        <f t="shared" si="162"/>
        <v>2045695.6</v>
      </c>
      <c r="M130" s="470">
        <f t="shared" si="163"/>
        <v>2245695.6</v>
      </c>
      <c r="N130" s="470">
        <f t="shared" si="164"/>
        <v>2245695.6</v>
      </c>
      <c r="O130" s="470">
        <f t="shared" si="165"/>
        <v>7982782.4</v>
      </c>
      <c r="P130" s="470">
        <f t="shared" si="166"/>
        <v>21000</v>
      </c>
      <c r="Q130" s="470">
        <f t="shared" si="167"/>
        <v>33000</v>
      </c>
      <c r="R130" s="470">
        <f t="shared" si="168"/>
        <v>75000</v>
      </c>
      <c r="S130" s="470">
        <f t="shared" si="169"/>
        <v>95000</v>
      </c>
      <c r="T130" s="470">
        <f t="shared" si="170"/>
        <v>336000</v>
      </c>
      <c r="U130" s="470">
        <f t="shared" si="171"/>
        <v>1147867.776</v>
      </c>
      <c r="V130" s="470">
        <f t="shared" si="172"/>
        <v>1707867.776</v>
      </c>
      <c r="W130" s="471">
        <v>12</v>
      </c>
      <c r="X130" s="470">
        <f t="shared" si="173"/>
        <v>142322.314666667</v>
      </c>
      <c r="Y130" s="476"/>
      <c r="Z130" s="470">
        <f t="shared" si="174"/>
        <v>142322.314666667</v>
      </c>
      <c r="AA130" s="473">
        <v>82627.9514186667</v>
      </c>
      <c r="AB130" s="473">
        <f t="shared" si="175"/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302</v>
      </c>
      <c r="C131" s="470">
        <v>902373.166666667</v>
      </c>
      <c r="D131" s="469">
        <v>12</v>
      </c>
      <c r="E131" s="470">
        <f t="shared" si="160"/>
        <v>10828478</v>
      </c>
      <c r="F131" s="470">
        <f>1066.32925*12</f>
        <v>12795.951</v>
      </c>
      <c r="G131" s="474">
        <v>731878.24</v>
      </c>
      <c r="H131" s="476"/>
      <c r="I131" s="470">
        <f t="shared" si="161"/>
        <v>10083803.809</v>
      </c>
      <c r="J131" s="470">
        <v>200000</v>
      </c>
      <c r="K131" s="470">
        <v>0.2</v>
      </c>
      <c r="L131" s="470">
        <f t="shared" si="162"/>
        <v>2016760.7618</v>
      </c>
      <c r="M131" s="470">
        <f t="shared" si="163"/>
        <v>2216760.7618</v>
      </c>
      <c r="N131" s="470">
        <f t="shared" si="164"/>
        <v>2961434.9528</v>
      </c>
      <c r="O131" s="470">
        <f t="shared" si="165"/>
        <v>7867043.0472</v>
      </c>
      <c r="P131" s="470">
        <f t="shared" si="166"/>
        <v>21000</v>
      </c>
      <c r="Q131" s="470">
        <f t="shared" si="167"/>
        <v>33000</v>
      </c>
      <c r="R131" s="470">
        <f t="shared" si="168"/>
        <v>75000</v>
      </c>
      <c r="S131" s="470">
        <f t="shared" si="169"/>
        <v>95000</v>
      </c>
      <c r="T131" s="470">
        <f t="shared" si="170"/>
        <v>336000</v>
      </c>
      <c r="U131" s="470">
        <f t="shared" si="171"/>
        <v>1120090.331328</v>
      </c>
      <c r="V131" s="470">
        <f t="shared" si="172"/>
        <v>1680090.331328</v>
      </c>
      <c r="W131" s="471">
        <v>12</v>
      </c>
      <c r="X131" s="470">
        <f t="shared" si="173"/>
        <v>140007.527610667</v>
      </c>
      <c r="Y131" s="476"/>
      <c r="Z131" s="470">
        <f t="shared" si="174"/>
        <v>140007.527610667</v>
      </c>
      <c r="AA131" s="473">
        <v>92023.2162026667</v>
      </c>
      <c r="AB131" s="473">
        <f t="shared" si="175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305</v>
      </c>
      <c r="C132" s="470">
        <v>554373.75</v>
      </c>
      <c r="D132" s="469">
        <v>12</v>
      </c>
      <c r="E132" s="470">
        <f t="shared" si="160"/>
        <v>6652485</v>
      </c>
      <c r="F132" s="470">
        <f t="shared" ref="F132:F134" si="176">712.24525*12</f>
        <v>8546.943</v>
      </c>
      <c r="G132" s="474">
        <v>464998.8</v>
      </c>
      <c r="H132" s="476"/>
      <c r="I132" s="470">
        <f t="shared" si="161"/>
        <v>6178939.257</v>
      </c>
      <c r="J132" s="470">
        <v>200000</v>
      </c>
      <c r="K132" s="470">
        <v>0.2</v>
      </c>
      <c r="L132" s="470">
        <f t="shared" si="162"/>
        <v>1235787.8514</v>
      </c>
      <c r="M132" s="470">
        <f t="shared" si="163"/>
        <v>1435787.8514</v>
      </c>
      <c r="N132" s="470">
        <f t="shared" si="164"/>
        <v>1909333.5944</v>
      </c>
      <c r="O132" s="470">
        <f t="shared" si="165"/>
        <v>4743151.4056</v>
      </c>
      <c r="P132" s="470">
        <f t="shared" si="166"/>
        <v>21000</v>
      </c>
      <c r="Q132" s="470">
        <f t="shared" si="167"/>
        <v>33000</v>
      </c>
      <c r="R132" s="470">
        <f t="shared" si="168"/>
        <v>75000</v>
      </c>
      <c r="S132" s="470">
        <f t="shared" si="169"/>
        <v>95000</v>
      </c>
      <c r="T132" s="470">
        <f t="shared" si="170"/>
        <v>336000</v>
      </c>
      <c r="U132" s="470">
        <f t="shared" si="171"/>
        <v>370356.337344</v>
      </c>
      <c r="V132" s="470">
        <f t="shared" si="172"/>
        <v>930356.337344</v>
      </c>
      <c r="W132" s="471">
        <v>12</v>
      </c>
      <c r="X132" s="470">
        <f t="shared" si="173"/>
        <v>77529.6947786667</v>
      </c>
      <c r="Y132" s="476"/>
      <c r="Z132" s="470">
        <f t="shared" si="174"/>
        <v>77529.6947786667</v>
      </c>
      <c r="AA132" s="473">
        <v>46081.2025986667</v>
      </c>
      <c r="AB132" s="473">
        <f t="shared" si="175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307</v>
      </c>
      <c r="C133" s="470">
        <v>554373.75</v>
      </c>
      <c r="D133" s="469">
        <v>12</v>
      </c>
      <c r="E133" s="470">
        <f t="shared" si="160"/>
        <v>6652485</v>
      </c>
      <c r="F133" s="470">
        <f t="shared" si="176"/>
        <v>8546.943</v>
      </c>
      <c r="G133" s="474">
        <v>464998.8</v>
      </c>
      <c r="H133" s="476"/>
      <c r="I133" s="470">
        <f t="shared" si="161"/>
        <v>6178939.257</v>
      </c>
      <c r="J133" s="470">
        <v>200000</v>
      </c>
      <c r="K133" s="470">
        <v>0.2</v>
      </c>
      <c r="L133" s="470">
        <f t="shared" si="162"/>
        <v>1235787.8514</v>
      </c>
      <c r="M133" s="470">
        <f t="shared" si="163"/>
        <v>1435787.8514</v>
      </c>
      <c r="N133" s="470">
        <f t="shared" si="164"/>
        <v>1909333.5944</v>
      </c>
      <c r="O133" s="470">
        <f t="shared" si="165"/>
        <v>4743151.4056</v>
      </c>
      <c r="P133" s="470">
        <f t="shared" si="166"/>
        <v>21000</v>
      </c>
      <c r="Q133" s="470">
        <f t="shared" si="167"/>
        <v>33000</v>
      </c>
      <c r="R133" s="470">
        <f t="shared" si="168"/>
        <v>75000</v>
      </c>
      <c r="S133" s="470">
        <f t="shared" si="169"/>
        <v>95000</v>
      </c>
      <c r="T133" s="470">
        <f t="shared" si="170"/>
        <v>336000</v>
      </c>
      <c r="U133" s="470">
        <f t="shared" si="171"/>
        <v>370356.337344</v>
      </c>
      <c r="V133" s="470">
        <f t="shared" si="172"/>
        <v>930356.337344</v>
      </c>
      <c r="W133" s="471">
        <v>12</v>
      </c>
      <c r="X133" s="470">
        <f t="shared" si="173"/>
        <v>77529.6947786667</v>
      </c>
      <c r="Y133" s="476"/>
      <c r="Z133" s="470">
        <f t="shared" si="174"/>
        <v>77529.6947786667</v>
      </c>
      <c r="AA133" s="473">
        <v>46081.2025986667</v>
      </c>
      <c r="AB133" s="473">
        <f t="shared" si="175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309</v>
      </c>
      <c r="C134" s="470">
        <v>554373.75</v>
      </c>
      <c r="D134" s="469">
        <v>12</v>
      </c>
      <c r="E134" s="470">
        <f t="shared" si="160"/>
        <v>6652485</v>
      </c>
      <c r="F134" s="470">
        <f t="shared" si="176"/>
        <v>8546.943</v>
      </c>
      <c r="G134" s="474">
        <v>464998.8</v>
      </c>
      <c r="H134" s="476"/>
      <c r="I134" s="470">
        <f t="shared" si="161"/>
        <v>6178939.257</v>
      </c>
      <c r="J134" s="470">
        <v>200000</v>
      </c>
      <c r="K134" s="470">
        <v>0.2</v>
      </c>
      <c r="L134" s="470">
        <f t="shared" si="162"/>
        <v>1235787.8514</v>
      </c>
      <c r="M134" s="470">
        <f t="shared" si="163"/>
        <v>1435787.8514</v>
      </c>
      <c r="N134" s="470">
        <f t="shared" si="164"/>
        <v>1909333.5944</v>
      </c>
      <c r="O134" s="470">
        <f t="shared" si="165"/>
        <v>4743151.4056</v>
      </c>
      <c r="P134" s="470">
        <f t="shared" si="166"/>
        <v>21000</v>
      </c>
      <c r="Q134" s="470">
        <f t="shared" si="167"/>
        <v>33000</v>
      </c>
      <c r="R134" s="470">
        <f t="shared" si="168"/>
        <v>75000</v>
      </c>
      <c r="S134" s="470">
        <f t="shared" si="169"/>
        <v>95000</v>
      </c>
      <c r="T134" s="470">
        <f t="shared" si="170"/>
        <v>336000</v>
      </c>
      <c r="U134" s="470">
        <f t="shared" si="171"/>
        <v>370356.337344</v>
      </c>
      <c r="V134" s="470">
        <f t="shared" si="172"/>
        <v>930356.337344</v>
      </c>
      <c r="W134" s="471">
        <v>12</v>
      </c>
      <c r="X134" s="470">
        <f t="shared" si="173"/>
        <v>77529.6947786667</v>
      </c>
      <c r="Y134" s="476"/>
      <c r="Z134" s="470">
        <f t="shared" si="174"/>
        <v>77529.6947786667</v>
      </c>
      <c r="AA134" s="473">
        <v>46081.2025986667</v>
      </c>
      <c r="AB134" s="473">
        <f t="shared" si="175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231</v>
      </c>
      <c r="C135" s="470">
        <v>450086.5</v>
      </c>
      <c r="D135" s="469">
        <v>12</v>
      </c>
      <c r="E135" s="470">
        <f t="shared" si="160"/>
        <v>5401038</v>
      </c>
      <c r="F135" s="470">
        <f>576.62125*12</f>
        <v>6919.455</v>
      </c>
      <c r="G135" s="474">
        <v>374483.04</v>
      </c>
      <c r="H135" s="476"/>
      <c r="I135" s="470">
        <f t="shared" si="161"/>
        <v>5019635.505</v>
      </c>
      <c r="J135" s="470">
        <v>200000</v>
      </c>
      <c r="K135" s="470">
        <v>0.2</v>
      </c>
      <c r="L135" s="470">
        <f t="shared" si="162"/>
        <v>1003927.101</v>
      </c>
      <c r="M135" s="470">
        <f t="shared" si="163"/>
        <v>1203927.101</v>
      </c>
      <c r="N135" s="470">
        <f t="shared" si="164"/>
        <v>1585329.596</v>
      </c>
      <c r="O135" s="470">
        <f t="shared" si="165"/>
        <v>3815708.404</v>
      </c>
      <c r="P135" s="470">
        <f t="shared" si="166"/>
        <v>21000</v>
      </c>
      <c r="Q135" s="470">
        <f t="shared" si="167"/>
        <v>33000</v>
      </c>
      <c r="R135" s="470">
        <f t="shared" si="168"/>
        <v>75000</v>
      </c>
      <c r="S135" s="470">
        <f t="shared" si="169"/>
        <v>95000</v>
      </c>
      <c r="T135" s="470">
        <f t="shared" si="170"/>
        <v>336000</v>
      </c>
      <c r="U135" s="470">
        <f t="shared" si="171"/>
        <v>147770.01696</v>
      </c>
      <c r="V135" s="470">
        <f t="shared" si="172"/>
        <v>707770.01696</v>
      </c>
      <c r="W135" s="471">
        <v>12</v>
      </c>
      <c r="X135" s="470">
        <f t="shared" si="173"/>
        <v>58980.8347466667</v>
      </c>
      <c r="Y135" s="476"/>
      <c r="Z135" s="470">
        <f t="shared" si="174"/>
        <v>58980.8347466667</v>
      </c>
      <c r="AA135" s="473">
        <v>35221.9540866667</v>
      </c>
      <c r="AB135" s="473">
        <f t="shared" si="175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312</v>
      </c>
      <c r="C136" s="470">
        <v>450086.5</v>
      </c>
      <c r="D136" s="469">
        <v>12</v>
      </c>
      <c r="E136" s="470">
        <f t="shared" si="160"/>
        <v>5401038</v>
      </c>
      <c r="F136" s="470"/>
      <c r="G136" s="474">
        <v>374483.04</v>
      </c>
      <c r="H136" s="476"/>
      <c r="I136" s="470">
        <f t="shared" si="161"/>
        <v>5026554.96</v>
      </c>
      <c r="J136" s="470">
        <v>200000</v>
      </c>
      <c r="K136" s="470">
        <v>0.2</v>
      </c>
      <c r="L136" s="470">
        <f t="shared" si="162"/>
        <v>1005310.992</v>
      </c>
      <c r="M136" s="470">
        <f t="shared" si="163"/>
        <v>1205310.992</v>
      </c>
      <c r="N136" s="470">
        <f t="shared" si="164"/>
        <v>1579794.032</v>
      </c>
      <c r="O136" s="470">
        <f t="shared" si="165"/>
        <v>3821243.968</v>
      </c>
      <c r="P136" s="470">
        <f t="shared" si="166"/>
        <v>21000</v>
      </c>
      <c r="Q136" s="470">
        <f t="shared" si="167"/>
        <v>33000</v>
      </c>
      <c r="R136" s="470">
        <f t="shared" si="168"/>
        <v>75000</v>
      </c>
      <c r="S136" s="470">
        <f t="shared" si="169"/>
        <v>95000</v>
      </c>
      <c r="T136" s="470">
        <f t="shared" si="170"/>
        <v>336000</v>
      </c>
      <c r="U136" s="470">
        <f t="shared" si="171"/>
        <v>149098.55232</v>
      </c>
      <c r="V136" s="470">
        <f t="shared" si="172"/>
        <v>709098.55232</v>
      </c>
      <c r="W136" s="471">
        <v>12</v>
      </c>
      <c r="X136" s="470">
        <f t="shared" si="173"/>
        <v>59091.5460266667</v>
      </c>
      <c r="Y136" s="476"/>
      <c r="Z136" s="470">
        <f t="shared" si="174"/>
        <v>59091.5460266667</v>
      </c>
      <c r="AA136" s="473">
        <v>35318.8264566667</v>
      </c>
      <c r="AB136" s="473">
        <f t="shared" si="175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313</v>
      </c>
      <c r="C137" s="470">
        <v>510248.916666667</v>
      </c>
      <c r="D137" s="469">
        <v>12</v>
      </c>
      <c r="E137" s="470">
        <f t="shared" si="160"/>
        <v>6122987</v>
      </c>
      <c r="F137" s="470"/>
      <c r="G137" s="474">
        <v>374483.04</v>
      </c>
      <c r="H137" s="476"/>
      <c r="I137" s="470">
        <f t="shared" si="161"/>
        <v>5748503.96</v>
      </c>
      <c r="J137" s="470">
        <v>200000</v>
      </c>
      <c r="K137" s="470">
        <v>0.2</v>
      </c>
      <c r="L137" s="470">
        <f t="shared" si="162"/>
        <v>1149700.792</v>
      </c>
      <c r="M137" s="470">
        <f t="shared" si="163"/>
        <v>1349700.792</v>
      </c>
      <c r="N137" s="470">
        <f t="shared" si="164"/>
        <v>1724183.832</v>
      </c>
      <c r="O137" s="470">
        <f t="shared" si="165"/>
        <v>4398803.168</v>
      </c>
      <c r="P137" s="470">
        <f t="shared" si="166"/>
        <v>21000</v>
      </c>
      <c r="Q137" s="470">
        <f t="shared" si="167"/>
        <v>33000</v>
      </c>
      <c r="R137" s="470">
        <f t="shared" si="168"/>
        <v>75000</v>
      </c>
      <c r="S137" s="470">
        <f t="shared" si="169"/>
        <v>95000</v>
      </c>
      <c r="T137" s="470">
        <f t="shared" si="170"/>
        <v>336000</v>
      </c>
      <c r="U137" s="470">
        <f t="shared" si="171"/>
        <v>287712.760320001</v>
      </c>
      <c r="V137" s="470">
        <f t="shared" si="172"/>
        <v>847712.760320001</v>
      </c>
      <c r="W137" s="471">
        <v>12</v>
      </c>
      <c r="X137" s="470">
        <f t="shared" si="173"/>
        <v>70642.7300266667</v>
      </c>
      <c r="Y137" s="476"/>
      <c r="Z137" s="470">
        <f t="shared" si="174"/>
        <v>70642.7300266667</v>
      </c>
      <c r="AA137" s="473">
        <v>35318.8264566667</v>
      </c>
      <c r="AB137" s="473">
        <f t="shared" si="175"/>
        <v>35323.90357</v>
      </c>
      <c r="AC137" s="473"/>
      <c r="AD137" s="473"/>
      <c r="AE137" s="473"/>
    </row>
    <row r="138" ht="18" spans="1:31">
      <c r="A138" s="467">
        <v>121</v>
      </c>
      <c r="B138" s="11" t="s">
        <v>315</v>
      </c>
      <c r="C138" s="470">
        <v>437895.166666667</v>
      </c>
      <c r="D138" s="469">
        <v>12</v>
      </c>
      <c r="E138" s="470">
        <f t="shared" si="160"/>
        <v>5254742</v>
      </c>
      <c r="F138" s="470"/>
      <c r="G138" s="474">
        <v>362779.36</v>
      </c>
      <c r="H138" s="476"/>
      <c r="I138" s="470">
        <f t="shared" si="161"/>
        <v>4891962.64</v>
      </c>
      <c r="J138" s="470">
        <v>200000</v>
      </c>
      <c r="K138" s="470">
        <v>0.2</v>
      </c>
      <c r="L138" s="470">
        <f t="shared" si="162"/>
        <v>978392.528000001</v>
      </c>
      <c r="M138" s="470">
        <f t="shared" si="163"/>
        <v>1178392.528</v>
      </c>
      <c r="N138" s="470">
        <f t="shared" si="164"/>
        <v>1541171.888</v>
      </c>
      <c r="O138" s="470">
        <f t="shared" si="165"/>
        <v>3713570.112</v>
      </c>
      <c r="P138" s="470">
        <f t="shared" si="166"/>
        <v>21000</v>
      </c>
      <c r="Q138" s="470">
        <f t="shared" si="167"/>
        <v>33000</v>
      </c>
      <c r="R138" s="470">
        <f t="shared" si="168"/>
        <v>75000</v>
      </c>
      <c r="S138" s="470">
        <f t="shared" si="169"/>
        <v>95000</v>
      </c>
      <c r="T138" s="470">
        <f t="shared" si="170"/>
        <v>336000</v>
      </c>
      <c r="U138" s="470">
        <f t="shared" si="171"/>
        <v>123256.826880001</v>
      </c>
      <c r="V138" s="470">
        <f t="shared" si="172"/>
        <v>683256.826880001</v>
      </c>
      <c r="W138" s="471">
        <v>12</v>
      </c>
      <c r="X138" s="470">
        <f t="shared" si="173"/>
        <v>56938.0689066667</v>
      </c>
      <c r="Y138" s="476"/>
      <c r="Z138" s="470">
        <f t="shared" si="174"/>
        <v>56938.0689066667</v>
      </c>
      <c r="AA138" s="473">
        <v>34968.8824146667</v>
      </c>
      <c r="AB138" s="473">
        <f t="shared" si="175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317</v>
      </c>
      <c r="C139" s="470">
        <v>425703.833333333</v>
      </c>
      <c r="D139" s="469">
        <v>12</v>
      </c>
      <c r="E139" s="470">
        <f t="shared" si="160"/>
        <v>5108446</v>
      </c>
      <c r="F139" s="470">
        <f>538.022*12</f>
        <v>6456.264</v>
      </c>
      <c r="G139" s="474">
        <v>351075.68</v>
      </c>
      <c r="H139" s="476"/>
      <c r="I139" s="470">
        <f t="shared" si="161"/>
        <v>4750914.056</v>
      </c>
      <c r="J139" s="470">
        <v>200000</v>
      </c>
      <c r="K139" s="470">
        <v>0.2</v>
      </c>
      <c r="L139" s="470">
        <f t="shared" si="162"/>
        <v>950182.811199999</v>
      </c>
      <c r="M139" s="470">
        <f t="shared" si="163"/>
        <v>1150182.8112</v>
      </c>
      <c r="N139" s="470">
        <f t="shared" si="164"/>
        <v>1507714.7552</v>
      </c>
      <c r="O139" s="470">
        <f t="shared" si="165"/>
        <v>3600731.2448</v>
      </c>
      <c r="P139" s="470">
        <f t="shared" si="166"/>
        <v>21000</v>
      </c>
      <c r="Q139" s="470">
        <f t="shared" si="167"/>
        <v>33000</v>
      </c>
      <c r="R139" s="470">
        <f t="shared" si="168"/>
        <v>75000</v>
      </c>
      <c r="S139" s="470">
        <f t="shared" si="169"/>
        <v>95000</v>
      </c>
      <c r="T139" s="470">
        <f t="shared" si="170"/>
        <v>336000</v>
      </c>
      <c r="U139" s="470">
        <f t="shared" si="171"/>
        <v>96175.4987519992</v>
      </c>
      <c r="V139" s="470">
        <f t="shared" si="172"/>
        <v>656175.498751999</v>
      </c>
      <c r="W139" s="471">
        <v>12</v>
      </c>
      <c r="X139" s="470">
        <f t="shared" si="173"/>
        <v>54681.2915626666</v>
      </c>
      <c r="Y139" s="476"/>
      <c r="Z139" s="470">
        <f t="shared" si="174"/>
        <v>54681.2915626666</v>
      </c>
      <c r="AA139" s="473">
        <v>32848.5634026667</v>
      </c>
      <c r="AB139" s="473">
        <f t="shared" si="175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616">
        <v>591753.166666667</v>
      </c>
      <c r="D140" s="469">
        <v>12</v>
      </c>
      <c r="E140" s="470">
        <f t="shared" si="160"/>
        <v>7101038</v>
      </c>
      <c r="F140" s="470">
        <f>576.62125*12</f>
        <v>6919.455</v>
      </c>
      <c r="G140" s="474">
        <v>374483.04</v>
      </c>
      <c r="H140" s="476"/>
      <c r="I140" s="470">
        <f t="shared" si="161"/>
        <v>6719635.505</v>
      </c>
      <c r="J140" s="470">
        <v>200000</v>
      </c>
      <c r="K140" s="470">
        <v>0.2</v>
      </c>
      <c r="L140" s="470">
        <f t="shared" si="162"/>
        <v>1343927.101</v>
      </c>
      <c r="M140" s="470">
        <f t="shared" si="163"/>
        <v>1543927.101</v>
      </c>
      <c r="N140" s="470">
        <f t="shared" si="164"/>
        <v>1925329.596</v>
      </c>
      <c r="O140" s="470">
        <f t="shared" si="165"/>
        <v>5175708.404</v>
      </c>
      <c r="P140" s="470">
        <f t="shared" si="166"/>
        <v>21000</v>
      </c>
      <c r="Q140" s="470">
        <f t="shared" si="167"/>
        <v>33000</v>
      </c>
      <c r="R140" s="470">
        <f t="shared" si="168"/>
        <v>75000</v>
      </c>
      <c r="S140" s="470">
        <f t="shared" si="169"/>
        <v>95000</v>
      </c>
      <c r="T140" s="470">
        <f t="shared" si="170"/>
        <v>336000</v>
      </c>
      <c r="U140" s="470">
        <f t="shared" si="171"/>
        <v>474170.016960001</v>
      </c>
      <c r="V140" s="470">
        <f t="shared" si="172"/>
        <v>1034170.01696</v>
      </c>
      <c r="W140" s="471">
        <v>12</v>
      </c>
      <c r="X140" s="470">
        <f t="shared" si="173"/>
        <v>86180.8347466667</v>
      </c>
      <c r="Y140" s="476"/>
      <c r="Z140" s="470">
        <f t="shared" si="174"/>
        <v>86180.8347466667</v>
      </c>
      <c r="AA140" s="473">
        <v>35221.9540866667</v>
      </c>
      <c r="AB140" s="473">
        <f t="shared" si="175"/>
        <v>50958.88066</v>
      </c>
      <c r="AC140" s="473"/>
      <c r="AD140" s="473"/>
      <c r="AE140" s="473"/>
    </row>
    <row r="141" ht="18" spans="1:31">
      <c r="A141" s="467">
        <v>124</v>
      </c>
      <c r="B141" s="18" t="s">
        <v>319</v>
      </c>
      <c r="C141" s="470">
        <v>413512.5</v>
      </c>
      <c r="D141" s="469">
        <v>12</v>
      </c>
      <c r="E141" s="470">
        <f t="shared" si="160"/>
        <v>4962150</v>
      </c>
      <c r="F141" s="470">
        <v>0</v>
      </c>
      <c r="G141" s="474">
        <v>339372</v>
      </c>
      <c r="H141" s="476"/>
      <c r="I141" s="470">
        <f t="shared" si="161"/>
        <v>4622778</v>
      </c>
      <c r="J141" s="470">
        <v>200000</v>
      </c>
      <c r="K141" s="470">
        <v>0.2</v>
      </c>
      <c r="L141" s="470">
        <f t="shared" si="162"/>
        <v>924555.6</v>
      </c>
      <c r="M141" s="470">
        <f t="shared" si="163"/>
        <v>1124555.6</v>
      </c>
      <c r="N141" s="470">
        <f t="shared" si="164"/>
        <v>1463927.6</v>
      </c>
      <c r="O141" s="470">
        <f t="shared" si="165"/>
        <v>3498222.4</v>
      </c>
      <c r="P141" s="470">
        <f t="shared" si="166"/>
        <v>21000</v>
      </c>
      <c r="Q141" s="470">
        <f t="shared" si="167"/>
        <v>33000</v>
      </c>
      <c r="R141" s="470">
        <f t="shared" si="168"/>
        <v>75000</v>
      </c>
      <c r="S141" s="470">
        <f t="shared" si="169"/>
        <v>95000</v>
      </c>
      <c r="T141" s="470">
        <f t="shared" si="170"/>
        <v>336000</v>
      </c>
      <c r="U141" s="470">
        <f t="shared" si="171"/>
        <v>71573.376</v>
      </c>
      <c r="V141" s="470">
        <f t="shared" si="172"/>
        <v>631573.376</v>
      </c>
      <c r="W141" s="471">
        <v>12</v>
      </c>
      <c r="X141" s="470">
        <f t="shared" si="173"/>
        <v>52631.1146666667</v>
      </c>
      <c r="Y141" s="476"/>
      <c r="Z141" s="470">
        <f t="shared" si="174"/>
        <v>52631.1146666667</v>
      </c>
      <c r="AA141" s="473">
        <v>31749.1752666667</v>
      </c>
      <c r="AB141" s="473">
        <f t="shared" si="175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321</v>
      </c>
      <c r="C142" s="470">
        <v>368901.5</v>
      </c>
      <c r="D142" s="469">
        <v>12</v>
      </c>
      <c r="E142" s="470">
        <f t="shared" si="160"/>
        <v>4426818</v>
      </c>
      <c r="F142" s="470"/>
      <c r="G142" s="474">
        <v>296545.44</v>
      </c>
      <c r="H142" s="476"/>
      <c r="I142" s="470">
        <f t="shared" si="161"/>
        <v>4130272.56</v>
      </c>
      <c r="J142" s="470">
        <v>200000</v>
      </c>
      <c r="K142" s="470">
        <v>0.2</v>
      </c>
      <c r="L142" s="470">
        <f t="shared" si="162"/>
        <v>826054.512</v>
      </c>
      <c r="M142" s="470">
        <f t="shared" si="163"/>
        <v>1026054.512</v>
      </c>
      <c r="N142" s="470">
        <f t="shared" si="164"/>
        <v>1322599.952</v>
      </c>
      <c r="O142" s="470">
        <f t="shared" si="165"/>
        <v>3104218.048</v>
      </c>
      <c r="P142" s="470">
        <f t="shared" si="166"/>
        <v>21000</v>
      </c>
      <c r="Q142" s="470">
        <f t="shared" si="167"/>
        <v>33000</v>
      </c>
      <c r="R142" s="470">
        <f t="shared" si="168"/>
        <v>75000</v>
      </c>
      <c r="S142" s="470">
        <f t="shared" si="169"/>
        <v>95000</v>
      </c>
      <c r="T142" s="470">
        <f t="shared" si="170"/>
        <v>315885.79008</v>
      </c>
      <c r="U142" s="470"/>
      <c r="V142" s="470">
        <f t="shared" si="172"/>
        <v>539885.79008</v>
      </c>
      <c r="W142" s="471">
        <v>12</v>
      </c>
      <c r="X142" s="470">
        <f t="shared" si="173"/>
        <v>44990.4825066667</v>
      </c>
      <c r="Y142" s="476"/>
      <c r="Z142" s="470">
        <f t="shared" si="174"/>
        <v>44990.4825066667</v>
      </c>
      <c r="AA142" s="473">
        <v>27105.9865626667</v>
      </c>
      <c r="AB142" s="473">
        <f t="shared" si="175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322</v>
      </c>
      <c r="C143" s="470">
        <v>376837.416666667</v>
      </c>
      <c r="D143" s="469">
        <v>12</v>
      </c>
      <c r="E143" s="470">
        <f t="shared" si="160"/>
        <v>4522049</v>
      </c>
      <c r="F143" s="470">
        <f>469.4825*12</f>
        <v>5633.79</v>
      </c>
      <c r="G143" s="474">
        <v>304163.92</v>
      </c>
      <c r="H143" s="476"/>
      <c r="I143" s="470">
        <f t="shared" si="161"/>
        <v>4212251.29</v>
      </c>
      <c r="J143" s="470">
        <v>200000</v>
      </c>
      <c r="K143" s="470">
        <v>0.2</v>
      </c>
      <c r="L143" s="470">
        <f t="shared" si="162"/>
        <v>842450.258000001</v>
      </c>
      <c r="M143" s="470">
        <f t="shared" si="163"/>
        <v>1042450.258</v>
      </c>
      <c r="N143" s="470">
        <f t="shared" si="164"/>
        <v>1352247.968</v>
      </c>
      <c r="O143" s="470">
        <f t="shared" si="165"/>
        <v>3169801.032</v>
      </c>
      <c r="P143" s="470">
        <f t="shared" si="166"/>
        <v>21000</v>
      </c>
      <c r="Q143" s="470">
        <f t="shared" si="167"/>
        <v>33000</v>
      </c>
      <c r="R143" s="470">
        <f t="shared" si="168"/>
        <v>75000</v>
      </c>
      <c r="S143" s="470">
        <f t="shared" si="169"/>
        <v>95000</v>
      </c>
      <c r="T143" s="470">
        <f t="shared" si="170"/>
        <v>329658.216720001</v>
      </c>
      <c r="U143" s="470"/>
      <c r="V143" s="470">
        <f t="shared" si="172"/>
        <v>553658.216720001</v>
      </c>
      <c r="W143" s="471">
        <v>12</v>
      </c>
      <c r="X143" s="470">
        <f t="shared" si="173"/>
        <v>46138.1847266667</v>
      </c>
      <c r="Y143" s="476"/>
      <c r="Z143" s="470">
        <f t="shared" si="174"/>
        <v>46138.1847266667</v>
      </c>
      <c r="AA143" s="473">
        <v>27794.2066266667</v>
      </c>
      <c r="AB143" s="473">
        <f t="shared" si="175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324</v>
      </c>
      <c r="C144" s="470">
        <v>376837.416666667</v>
      </c>
      <c r="D144" s="469">
        <v>12</v>
      </c>
      <c r="E144" s="470">
        <f t="shared" si="160"/>
        <v>4522049</v>
      </c>
      <c r="F144" s="470"/>
      <c r="G144" s="474">
        <v>304163.92</v>
      </c>
      <c r="H144" s="476"/>
      <c r="I144" s="470">
        <f t="shared" si="161"/>
        <v>4217885.08</v>
      </c>
      <c r="J144" s="470">
        <v>200000</v>
      </c>
      <c r="K144" s="470">
        <v>0.2</v>
      </c>
      <c r="L144" s="470">
        <f t="shared" si="162"/>
        <v>843577.016000001</v>
      </c>
      <c r="M144" s="470">
        <f t="shared" si="163"/>
        <v>1043577.016</v>
      </c>
      <c r="N144" s="470">
        <f t="shared" si="164"/>
        <v>1347740.936</v>
      </c>
      <c r="O144" s="470">
        <f t="shared" si="165"/>
        <v>3174308.064</v>
      </c>
      <c r="P144" s="470">
        <f t="shared" si="166"/>
        <v>21000</v>
      </c>
      <c r="Q144" s="470">
        <f t="shared" si="167"/>
        <v>33000</v>
      </c>
      <c r="R144" s="470">
        <f t="shared" si="168"/>
        <v>75000</v>
      </c>
      <c r="S144" s="470">
        <f t="shared" si="169"/>
        <v>95000</v>
      </c>
      <c r="T144" s="470">
        <f t="shared" si="170"/>
        <v>330604.693440001</v>
      </c>
      <c r="U144" s="470"/>
      <c r="V144" s="470">
        <f t="shared" si="172"/>
        <v>554604.693440001</v>
      </c>
      <c r="W144" s="471">
        <v>12</v>
      </c>
      <c r="X144" s="470">
        <f t="shared" si="173"/>
        <v>46217.0577866667</v>
      </c>
      <c r="Y144" s="476"/>
      <c r="Z144" s="470">
        <f t="shared" si="174"/>
        <v>46217.0577866667</v>
      </c>
      <c r="AA144" s="473">
        <v>27873.0796866667</v>
      </c>
      <c r="AB144" s="473">
        <f t="shared" si="175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325</v>
      </c>
      <c r="C145" s="470">
        <v>360965.583333333</v>
      </c>
      <c r="D145" s="469">
        <v>12</v>
      </c>
      <c r="E145" s="470">
        <f t="shared" si="160"/>
        <v>4331587</v>
      </c>
      <c r="F145" s="470"/>
      <c r="G145" s="474">
        <v>288926.96</v>
      </c>
      <c r="H145" s="476"/>
      <c r="I145" s="470">
        <f t="shared" si="161"/>
        <v>4042660.04</v>
      </c>
      <c r="J145" s="470">
        <v>200000</v>
      </c>
      <c r="K145" s="470">
        <v>0.2</v>
      </c>
      <c r="L145" s="470">
        <f t="shared" si="162"/>
        <v>808532.007999999</v>
      </c>
      <c r="M145" s="470">
        <f t="shared" si="163"/>
        <v>1008532.008</v>
      </c>
      <c r="N145" s="470">
        <f t="shared" si="164"/>
        <v>1297458.968</v>
      </c>
      <c r="O145" s="470">
        <f t="shared" si="165"/>
        <v>3034128.032</v>
      </c>
      <c r="P145" s="470">
        <f t="shared" si="166"/>
        <v>21000</v>
      </c>
      <c r="Q145" s="470">
        <f t="shared" si="167"/>
        <v>33000</v>
      </c>
      <c r="R145" s="470">
        <f t="shared" si="168"/>
        <v>75000</v>
      </c>
      <c r="S145" s="470">
        <f t="shared" si="169"/>
        <v>95000</v>
      </c>
      <c r="T145" s="470">
        <f t="shared" si="170"/>
        <v>301166.886719999</v>
      </c>
      <c r="U145" s="470"/>
      <c r="V145" s="470">
        <f t="shared" si="172"/>
        <v>525166.886719999</v>
      </c>
      <c r="W145" s="471">
        <v>12</v>
      </c>
      <c r="X145" s="470">
        <f t="shared" si="173"/>
        <v>43763.9072266666</v>
      </c>
      <c r="Y145" s="476"/>
      <c r="Z145" s="470">
        <f t="shared" si="174"/>
        <v>43763.9072266666</v>
      </c>
      <c r="AA145" s="473">
        <v>27105.9865626667</v>
      </c>
      <c r="AB145" s="473">
        <f t="shared" si="175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327</v>
      </c>
      <c r="C146" s="470">
        <v>323165.333333333</v>
      </c>
      <c r="D146" s="469">
        <v>12</v>
      </c>
      <c r="E146" s="470">
        <f t="shared" si="160"/>
        <v>3877984</v>
      </c>
      <c r="F146" s="470"/>
      <c r="G146" s="474">
        <v>252638.72</v>
      </c>
      <c r="H146" s="476"/>
      <c r="I146" s="470">
        <f t="shared" si="161"/>
        <v>3625345.28</v>
      </c>
      <c r="J146" s="470">
        <v>200000</v>
      </c>
      <c r="K146" s="470">
        <v>0.2</v>
      </c>
      <c r="L146" s="470">
        <f t="shared" si="162"/>
        <v>725069.055999999</v>
      </c>
      <c r="M146" s="470">
        <f t="shared" si="163"/>
        <v>925069.055999999</v>
      </c>
      <c r="N146" s="470">
        <f t="shared" si="164"/>
        <v>1177707.776</v>
      </c>
      <c r="O146" s="470">
        <f t="shared" si="165"/>
        <v>2700276.224</v>
      </c>
      <c r="P146" s="470">
        <f t="shared" si="166"/>
        <v>21000</v>
      </c>
      <c r="Q146" s="470">
        <f t="shared" si="167"/>
        <v>33000</v>
      </c>
      <c r="R146" s="470">
        <f t="shared" si="168"/>
        <v>75000</v>
      </c>
      <c r="S146" s="470">
        <f t="shared" si="169"/>
        <v>95000</v>
      </c>
      <c r="T146" s="470">
        <f t="shared" si="170"/>
        <v>231058.007039999</v>
      </c>
      <c r="U146" s="470"/>
      <c r="V146" s="470">
        <f t="shared" si="172"/>
        <v>455058.007039999</v>
      </c>
      <c r="W146" s="471">
        <v>12</v>
      </c>
      <c r="X146" s="470">
        <f t="shared" si="173"/>
        <v>37921.5005866666</v>
      </c>
      <c r="Y146" s="476"/>
      <c r="Z146" s="470">
        <f t="shared" si="174"/>
        <v>37921.5005866666</v>
      </c>
      <c r="AA146" s="473">
        <v>22338.4826046667</v>
      </c>
      <c r="AB146" s="473">
        <f t="shared" si="175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329</v>
      </c>
      <c r="C147" s="470">
        <v>368901.5</v>
      </c>
      <c r="D147" s="469">
        <v>12</v>
      </c>
      <c r="E147" s="470">
        <f t="shared" si="160"/>
        <v>4426818</v>
      </c>
      <c r="F147" s="470"/>
      <c r="G147" s="474">
        <v>296545.44</v>
      </c>
      <c r="H147" s="476"/>
      <c r="I147" s="470">
        <f t="shared" si="161"/>
        <v>4130272.56</v>
      </c>
      <c r="J147" s="470">
        <v>200000</v>
      </c>
      <c r="K147" s="470">
        <v>0.2</v>
      </c>
      <c r="L147" s="470">
        <f t="shared" si="162"/>
        <v>826054.512</v>
      </c>
      <c r="M147" s="470">
        <f t="shared" si="163"/>
        <v>1026054.512</v>
      </c>
      <c r="N147" s="470">
        <f t="shared" si="164"/>
        <v>1322599.952</v>
      </c>
      <c r="O147" s="470">
        <f t="shared" si="165"/>
        <v>3104218.048</v>
      </c>
      <c r="P147" s="470">
        <f t="shared" si="166"/>
        <v>21000</v>
      </c>
      <c r="Q147" s="470">
        <f t="shared" si="167"/>
        <v>33000</v>
      </c>
      <c r="R147" s="470">
        <f t="shared" si="168"/>
        <v>75000</v>
      </c>
      <c r="S147" s="470">
        <f t="shared" si="169"/>
        <v>95000</v>
      </c>
      <c r="T147" s="470">
        <f t="shared" si="170"/>
        <v>315885.79008</v>
      </c>
      <c r="U147" s="470"/>
      <c r="V147" s="470">
        <f t="shared" si="172"/>
        <v>539885.79008</v>
      </c>
      <c r="W147" s="471">
        <v>12</v>
      </c>
      <c r="X147" s="470">
        <f t="shared" si="173"/>
        <v>44990.4825066667</v>
      </c>
      <c r="Y147" s="476"/>
      <c r="Z147" s="470">
        <f t="shared" si="174"/>
        <v>44990.4825066667</v>
      </c>
      <c r="AA147" s="473">
        <v>27105.9865626667</v>
      </c>
      <c r="AB147" s="473">
        <f t="shared" si="175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331</v>
      </c>
      <c r="C148" s="470">
        <v>330481.666666667</v>
      </c>
      <c r="D148" s="469">
        <v>12</v>
      </c>
      <c r="E148" s="470">
        <f t="shared" si="160"/>
        <v>3965780</v>
      </c>
      <c r="F148" s="470"/>
      <c r="G148" s="474">
        <v>259662.4</v>
      </c>
      <c r="H148" s="476"/>
      <c r="I148" s="470">
        <f t="shared" si="161"/>
        <v>3706117.6</v>
      </c>
      <c r="J148" s="470">
        <v>200000</v>
      </c>
      <c r="K148" s="470">
        <v>0.2</v>
      </c>
      <c r="L148" s="470">
        <f t="shared" si="162"/>
        <v>741223.520000001</v>
      </c>
      <c r="M148" s="470">
        <f t="shared" si="163"/>
        <v>941223.520000001</v>
      </c>
      <c r="N148" s="470">
        <f t="shared" si="164"/>
        <v>1200885.92</v>
      </c>
      <c r="O148" s="470">
        <f t="shared" si="165"/>
        <v>2764894.08</v>
      </c>
      <c r="P148" s="470">
        <f t="shared" si="166"/>
        <v>21000</v>
      </c>
      <c r="Q148" s="470">
        <f t="shared" si="167"/>
        <v>33000</v>
      </c>
      <c r="R148" s="470">
        <f t="shared" si="168"/>
        <v>75000</v>
      </c>
      <c r="S148" s="470">
        <f t="shared" si="169"/>
        <v>95000</v>
      </c>
      <c r="T148" s="470">
        <f t="shared" si="170"/>
        <v>244627.756800001</v>
      </c>
      <c r="U148" s="470"/>
      <c r="V148" s="470">
        <f t="shared" si="172"/>
        <v>468627.756800001</v>
      </c>
      <c r="W148" s="471">
        <v>12</v>
      </c>
      <c r="X148" s="470">
        <f t="shared" si="173"/>
        <v>39052.3130666667</v>
      </c>
      <c r="Y148" s="476"/>
      <c r="Z148" s="470">
        <f t="shared" si="174"/>
        <v>39052.3130666667</v>
      </c>
      <c r="AA148" s="473">
        <v>23036.0123466667</v>
      </c>
      <c r="AB148" s="473">
        <f t="shared" si="175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333</v>
      </c>
      <c r="C149" s="470">
        <v>368901.5</v>
      </c>
      <c r="D149" s="469">
        <v>12</v>
      </c>
      <c r="E149" s="470">
        <f t="shared" si="160"/>
        <v>4426818</v>
      </c>
      <c r="F149" s="470">
        <f>457.041*12</f>
        <v>5484.492</v>
      </c>
      <c r="G149" s="474">
        <v>296545.44</v>
      </c>
      <c r="H149" s="476"/>
      <c r="I149" s="470">
        <f t="shared" si="161"/>
        <v>4124788.068</v>
      </c>
      <c r="J149" s="470">
        <v>200000</v>
      </c>
      <c r="K149" s="470">
        <v>0.2</v>
      </c>
      <c r="L149" s="470">
        <f t="shared" si="162"/>
        <v>824957.6136</v>
      </c>
      <c r="M149" s="470">
        <f t="shared" si="163"/>
        <v>1024957.6136</v>
      </c>
      <c r="N149" s="470">
        <f t="shared" si="164"/>
        <v>1326987.5456</v>
      </c>
      <c r="O149" s="470">
        <f t="shared" si="165"/>
        <v>3099830.4544</v>
      </c>
      <c r="P149" s="470">
        <f t="shared" si="166"/>
        <v>21000</v>
      </c>
      <c r="Q149" s="470">
        <f t="shared" si="167"/>
        <v>33000</v>
      </c>
      <c r="R149" s="470">
        <f t="shared" si="168"/>
        <v>75000</v>
      </c>
      <c r="S149" s="470">
        <f t="shared" si="169"/>
        <v>95000</v>
      </c>
      <c r="T149" s="470">
        <f t="shared" si="170"/>
        <v>314964.395424</v>
      </c>
      <c r="U149" s="470"/>
      <c r="V149" s="470">
        <f t="shared" si="172"/>
        <v>538964.395424</v>
      </c>
      <c r="W149" s="471">
        <v>12</v>
      </c>
      <c r="X149" s="470">
        <f t="shared" si="173"/>
        <v>44913.6996186667</v>
      </c>
      <c r="Y149" s="476"/>
      <c r="Z149" s="470">
        <f t="shared" si="174"/>
        <v>44913.6996186667</v>
      </c>
      <c r="AA149" s="473">
        <v>27029.2036746667</v>
      </c>
      <c r="AB149" s="473">
        <f t="shared" si="175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334</v>
      </c>
      <c r="C150" s="470">
        <v>330481.666666667</v>
      </c>
      <c r="D150" s="469">
        <v>12</v>
      </c>
      <c r="E150" s="470">
        <f t="shared" si="160"/>
        <v>3965780</v>
      </c>
      <c r="F150" s="470"/>
      <c r="G150" s="474">
        <v>259662.4</v>
      </c>
      <c r="H150" s="476"/>
      <c r="I150" s="470">
        <f t="shared" si="161"/>
        <v>3706117.6</v>
      </c>
      <c r="J150" s="470">
        <v>200000</v>
      </c>
      <c r="K150" s="470">
        <v>0.2</v>
      </c>
      <c r="L150" s="470">
        <f t="shared" si="162"/>
        <v>741223.520000001</v>
      </c>
      <c r="M150" s="470">
        <f t="shared" si="163"/>
        <v>941223.520000001</v>
      </c>
      <c r="N150" s="470">
        <f t="shared" si="164"/>
        <v>1200885.92</v>
      </c>
      <c r="O150" s="470">
        <f t="shared" si="165"/>
        <v>2764894.08</v>
      </c>
      <c r="P150" s="470">
        <f t="shared" si="166"/>
        <v>21000</v>
      </c>
      <c r="Q150" s="470">
        <f t="shared" si="167"/>
        <v>33000</v>
      </c>
      <c r="R150" s="470">
        <f t="shared" si="168"/>
        <v>75000</v>
      </c>
      <c r="S150" s="470">
        <f t="shared" si="169"/>
        <v>95000</v>
      </c>
      <c r="T150" s="470">
        <f t="shared" si="170"/>
        <v>244627.756800001</v>
      </c>
      <c r="U150" s="470"/>
      <c r="V150" s="470">
        <f t="shared" si="172"/>
        <v>468627.756800001</v>
      </c>
      <c r="W150" s="471">
        <v>12</v>
      </c>
      <c r="X150" s="470">
        <f t="shared" si="173"/>
        <v>39052.3130666667</v>
      </c>
      <c r="Y150" s="476"/>
      <c r="Z150" s="470">
        <f t="shared" si="174"/>
        <v>39052.3130666667</v>
      </c>
      <c r="AA150" s="473">
        <v>22338.4826046667</v>
      </c>
      <c r="AB150" s="473">
        <f t="shared" si="175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336</v>
      </c>
      <c r="C151" s="470">
        <v>315849</v>
      </c>
      <c r="D151" s="469">
        <v>12</v>
      </c>
      <c r="E151" s="470">
        <f t="shared" si="160"/>
        <v>3790188</v>
      </c>
      <c r="F151" s="470"/>
      <c r="G151" s="474">
        <v>245615.04</v>
      </c>
      <c r="H151" s="476"/>
      <c r="I151" s="470">
        <f t="shared" si="161"/>
        <v>3544572.96</v>
      </c>
      <c r="J151" s="470">
        <v>200000</v>
      </c>
      <c r="K151" s="470">
        <v>0.2</v>
      </c>
      <c r="L151" s="470">
        <f t="shared" si="162"/>
        <v>708914.592</v>
      </c>
      <c r="M151" s="470">
        <f t="shared" si="163"/>
        <v>908914.592</v>
      </c>
      <c r="N151" s="470">
        <f t="shared" si="164"/>
        <v>1154529.632</v>
      </c>
      <c r="O151" s="470">
        <f t="shared" si="165"/>
        <v>2635658.368</v>
      </c>
      <c r="P151" s="470">
        <f t="shared" si="166"/>
        <v>21000</v>
      </c>
      <c r="Q151" s="470">
        <f t="shared" si="167"/>
        <v>33000</v>
      </c>
      <c r="R151" s="470">
        <f t="shared" si="168"/>
        <v>75000</v>
      </c>
      <c r="S151" s="470">
        <f t="shared" si="169"/>
        <v>95000</v>
      </c>
      <c r="T151" s="470">
        <f t="shared" si="170"/>
        <v>217488.25728</v>
      </c>
      <c r="U151" s="470"/>
      <c r="V151" s="470">
        <f t="shared" si="172"/>
        <v>441488.25728</v>
      </c>
      <c r="W151" s="471">
        <v>12</v>
      </c>
      <c r="X151" s="470">
        <f t="shared" si="173"/>
        <v>36790.6881066667</v>
      </c>
      <c r="Y151" s="476"/>
      <c r="Z151" s="470">
        <f t="shared" si="174"/>
        <v>36790.6881066667</v>
      </c>
      <c r="AA151" s="473">
        <v>21640.9528626667</v>
      </c>
      <c r="AB151" s="473">
        <f t="shared" si="175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343</v>
      </c>
      <c r="C152" s="470">
        <v>274459.75</v>
      </c>
      <c r="D152" s="469">
        <v>12</v>
      </c>
      <c r="E152" s="470">
        <f t="shared" si="160"/>
        <v>3293517</v>
      </c>
      <c r="F152" s="470">
        <v>0</v>
      </c>
      <c r="G152" s="474">
        <v>215481.36</v>
      </c>
      <c r="H152" s="476"/>
      <c r="I152" s="470">
        <f t="shared" si="161"/>
        <v>3078035.64</v>
      </c>
      <c r="J152" s="470">
        <v>200000</v>
      </c>
      <c r="K152" s="470">
        <v>0.2</v>
      </c>
      <c r="L152" s="470">
        <f t="shared" si="162"/>
        <v>615607.128</v>
      </c>
      <c r="M152" s="470">
        <f t="shared" si="163"/>
        <v>815607.128</v>
      </c>
      <c r="N152" s="470">
        <f t="shared" si="164"/>
        <v>1031088.488</v>
      </c>
      <c r="O152" s="470">
        <f t="shared" si="165"/>
        <v>2262428.512</v>
      </c>
      <c r="P152" s="470">
        <f t="shared" si="166"/>
        <v>21000</v>
      </c>
      <c r="Q152" s="470">
        <f t="shared" si="167"/>
        <v>33000</v>
      </c>
      <c r="R152" s="470">
        <f t="shared" si="168"/>
        <v>75000</v>
      </c>
      <c r="S152" s="470">
        <f t="shared" si="169"/>
        <v>95000</v>
      </c>
      <c r="T152" s="470">
        <f t="shared" si="170"/>
        <v>139109.98752</v>
      </c>
      <c r="U152" s="470"/>
      <c r="V152" s="470">
        <f t="shared" si="172"/>
        <v>363109.98752</v>
      </c>
      <c r="W152" s="471">
        <v>12</v>
      </c>
      <c r="X152" s="470">
        <f t="shared" si="173"/>
        <v>30259.1656266667</v>
      </c>
      <c r="Y152" s="476"/>
      <c r="Z152" s="470">
        <f t="shared" si="174"/>
        <v>30259.1656266667</v>
      </c>
      <c r="AA152" s="473">
        <v>17042.7138666667</v>
      </c>
      <c r="AB152" s="473">
        <f t="shared" si="175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345</v>
      </c>
      <c r="C153" s="470">
        <v>274459.75</v>
      </c>
      <c r="D153" s="469">
        <v>12</v>
      </c>
      <c r="E153" s="470">
        <f t="shared" si="160"/>
        <v>3293517</v>
      </c>
      <c r="F153" s="470">
        <v>0</v>
      </c>
      <c r="G153" s="474">
        <v>215481.36</v>
      </c>
      <c r="H153" s="476"/>
      <c r="I153" s="470">
        <f t="shared" si="161"/>
        <v>3078035.64</v>
      </c>
      <c r="J153" s="470">
        <v>200000</v>
      </c>
      <c r="K153" s="470">
        <v>0.2</v>
      </c>
      <c r="L153" s="470">
        <f t="shared" si="162"/>
        <v>615607.128</v>
      </c>
      <c r="M153" s="470">
        <f t="shared" si="163"/>
        <v>815607.128</v>
      </c>
      <c r="N153" s="470">
        <f t="shared" si="164"/>
        <v>1031088.488</v>
      </c>
      <c r="O153" s="470">
        <f t="shared" si="165"/>
        <v>2262428.512</v>
      </c>
      <c r="P153" s="470">
        <f t="shared" si="166"/>
        <v>21000</v>
      </c>
      <c r="Q153" s="470">
        <f t="shared" si="167"/>
        <v>33000</v>
      </c>
      <c r="R153" s="470">
        <f t="shared" si="168"/>
        <v>75000</v>
      </c>
      <c r="S153" s="470">
        <f t="shared" si="169"/>
        <v>95000</v>
      </c>
      <c r="T153" s="470">
        <f t="shared" si="170"/>
        <v>139109.98752</v>
      </c>
      <c r="U153" s="470"/>
      <c r="V153" s="470">
        <f t="shared" si="172"/>
        <v>363109.98752</v>
      </c>
      <c r="W153" s="471">
        <v>12</v>
      </c>
      <c r="X153" s="470">
        <f t="shared" si="173"/>
        <v>30259.1656266667</v>
      </c>
      <c r="Y153" s="476"/>
      <c r="Z153" s="470">
        <f t="shared" si="174"/>
        <v>30259.1656266667</v>
      </c>
      <c r="AA153" s="473">
        <v>17042.7138666667</v>
      </c>
      <c r="AB153" s="473">
        <f t="shared" si="175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347</v>
      </c>
      <c r="C154" s="470">
        <v>274459.75</v>
      </c>
      <c r="D154" s="469">
        <v>12</v>
      </c>
      <c r="E154" s="470">
        <f t="shared" si="160"/>
        <v>3293517</v>
      </c>
      <c r="F154" s="470">
        <v>0</v>
      </c>
      <c r="G154" s="474">
        <v>215481.36</v>
      </c>
      <c r="H154" s="476"/>
      <c r="I154" s="470">
        <f t="shared" si="161"/>
        <v>3078035.64</v>
      </c>
      <c r="J154" s="470">
        <v>200000</v>
      </c>
      <c r="K154" s="470">
        <v>0.2</v>
      </c>
      <c r="L154" s="470">
        <f t="shared" si="162"/>
        <v>615607.128</v>
      </c>
      <c r="M154" s="470">
        <f t="shared" si="163"/>
        <v>815607.128</v>
      </c>
      <c r="N154" s="470">
        <f t="shared" si="164"/>
        <v>1031088.488</v>
      </c>
      <c r="O154" s="470">
        <f t="shared" si="165"/>
        <v>2262428.512</v>
      </c>
      <c r="P154" s="470">
        <f t="shared" si="166"/>
        <v>21000</v>
      </c>
      <c r="Q154" s="470">
        <f t="shared" si="167"/>
        <v>33000</v>
      </c>
      <c r="R154" s="470">
        <f t="shared" si="168"/>
        <v>75000</v>
      </c>
      <c r="S154" s="470">
        <f t="shared" si="169"/>
        <v>95000</v>
      </c>
      <c r="T154" s="470">
        <f t="shared" si="170"/>
        <v>139109.98752</v>
      </c>
      <c r="U154" s="470"/>
      <c r="V154" s="470">
        <f t="shared" si="172"/>
        <v>363109.98752</v>
      </c>
      <c r="W154" s="471">
        <v>12</v>
      </c>
      <c r="X154" s="470">
        <f t="shared" si="173"/>
        <v>30259.1656266667</v>
      </c>
      <c r="Y154" s="476"/>
      <c r="Z154" s="470">
        <f t="shared" si="174"/>
        <v>30259.1656266667</v>
      </c>
      <c r="AA154" s="473">
        <v>17042.7138666667</v>
      </c>
      <c r="AB154" s="473">
        <f t="shared" si="175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349</v>
      </c>
      <c r="C155" s="470">
        <v>280631.916666667</v>
      </c>
      <c r="D155" s="469">
        <v>12</v>
      </c>
      <c r="E155" s="470">
        <f t="shared" si="160"/>
        <v>3367583</v>
      </c>
      <c r="F155" s="470">
        <v>0</v>
      </c>
      <c r="G155" s="474">
        <v>221406.64</v>
      </c>
      <c r="H155" s="476"/>
      <c r="I155" s="470">
        <f t="shared" si="161"/>
        <v>3146176.36</v>
      </c>
      <c r="J155" s="470">
        <v>200000</v>
      </c>
      <c r="K155" s="470">
        <v>0.2</v>
      </c>
      <c r="L155" s="470">
        <f t="shared" si="162"/>
        <v>629235.272000001</v>
      </c>
      <c r="M155" s="470">
        <f t="shared" si="163"/>
        <v>829235.272000001</v>
      </c>
      <c r="N155" s="470">
        <f t="shared" si="164"/>
        <v>1050641.912</v>
      </c>
      <c r="O155" s="470">
        <f t="shared" si="165"/>
        <v>2316941.088</v>
      </c>
      <c r="P155" s="470">
        <f t="shared" si="166"/>
        <v>21000</v>
      </c>
      <c r="Q155" s="470">
        <f t="shared" si="167"/>
        <v>33000</v>
      </c>
      <c r="R155" s="470">
        <f t="shared" si="168"/>
        <v>75000</v>
      </c>
      <c r="S155" s="470">
        <f t="shared" si="169"/>
        <v>95000</v>
      </c>
      <c r="T155" s="470">
        <f t="shared" si="170"/>
        <v>150557.628480001</v>
      </c>
      <c r="U155" s="470"/>
      <c r="V155" s="470">
        <f t="shared" si="172"/>
        <v>374557.628480001</v>
      </c>
      <c r="W155" s="471">
        <v>12</v>
      </c>
      <c r="X155" s="470">
        <f t="shared" si="173"/>
        <v>31213.1357066667</v>
      </c>
      <c r="Y155" s="476"/>
      <c r="Z155" s="470">
        <f t="shared" si="174"/>
        <v>31213.1357066667</v>
      </c>
      <c r="AA155" s="473">
        <v>17572.8850026667</v>
      </c>
      <c r="AB155" s="473">
        <f t="shared" si="175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350</v>
      </c>
      <c r="C156" s="470">
        <v>274459.75</v>
      </c>
      <c r="D156" s="469">
        <v>12</v>
      </c>
      <c r="E156" s="470">
        <f t="shared" si="160"/>
        <v>3293517</v>
      </c>
      <c r="F156" s="470">
        <v>0</v>
      </c>
      <c r="G156" s="474">
        <v>215481.36</v>
      </c>
      <c r="H156" s="476"/>
      <c r="I156" s="470">
        <f t="shared" si="161"/>
        <v>3078035.64</v>
      </c>
      <c r="J156" s="470">
        <v>200000</v>
      </c>
      <c r="K156" s="470">
        <v>0.2</v>
      </c>
      <c r="L156" s="470">
        <f t="shared" si="162"/>
        <v>615607.128</v>
      </c>
      <c r="M156" s="470">
        <f t="shared" si="163"/>
        <v>815607.128</v>
      </c>
      <c r="N156" s="470">
        <f t="shared" si="164"/>
        <v>1031088.488</v>
      </c>
      <c r="O156" s="470">
        <f t="shared" si="165"/>
        <v>2262428.512</v>
      </c>
      <c r="P156" s="470">
        <f t="shared" si="166"/>
        <v>21000</v>
      </c>
      <c r="Q156" s="470">
        <f t="shared" si="167"/>
        <v>33000</v>
      </c>
      <c r="R156" s="470">
        <f t="shared" si="168"/>
        <v>75000</v>
      </c>
      <c r="S156" s="470">
        <f t="shared" si="169"/>
        <v>95000</v>
      </c>
      <c r="T156" s="470">
        <f t="shared" si="170"/>
        <v>139109.98752</v>
      </c>
      <c r="U156" s="470"/>
      <c r="V156" s="470">
        <f t="shared" si="172"/>
        <v>363109.98752</v>
      </c>
      <c r="W156" s="471">
        <v>12</v>
      </c>
      <c r="X156" s="470">
        <f t="shared" si="173"/>
        <v>30259.1656266667</v>
      </c>
      <c r="Y156" s="476"/>
      <c r="Z156" s="470">
        <f t="shared" si="174"/>
        <v>30259.1656266667</v>
      </c>
      <c r="AA156" s="473">
        <v>17042.7138666667</v>
      </c>
      <c r="AB156" s="473">
        <f t="shared" si="175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359</v>
      </c>
      <c r="C157" s="470">
        <v>202598.166666667</v>
      </c>
      <c r="D157" s="469">
        <v>12</v>
      </c>
      <c r="E157" s="470">
        <f t="shared" si="160"/>
        <v>2431178</v>
      </c>
      <c r="F157" s="470">
        <f>263.19*12</f>
        <v>3158.28</v>
      </c>
      <c r="G157" s="474">
        <v>161854.24</v>
      </c>
      <c r="H157" s="476"/>
      <c r="I157" s="470">
        <f t="shared" si="161"/>
        <v>2266165.48</v>
      </c>
      <c r="J157" s="470">
        <v>200000</v>
      </c>
      <c r="K157" s="470">
        <v>0.2</v>
      </c>
      <c r="L157" s="470">
        <f t="shared" si="162"/>
        <v>453233.096000001</v>
      </c>
      <c r="M157" s="470">
        <f t="shared" si="163"/>
        <v>653233.096000001</v>
      </c>
      <c r="N157" s="470">
        <f t="shared" si="164"/>
        <v>818245.616000001</v>
      </c>
      <c r="O157" s="470">
        <f t="shared" si="165"/>
        <v>1612932.384</v>
      </c>
      <c r="P157" s="470">
        <f t="shared" si="166"/>
        <v>21000</v>
      </c>
      <c r="Q157" s="470">
        <f t="shared" si="167"/>
        <v>33000</v>
      </c>
      <c r="R157" s="470">
        <f t="shared" si="168"/>
        <v>75000</v>
      </c>
      <c r="S157" s="470">
        <f t="shared" si="169"/>
        <v>95000</v>
      </c>
      <c r="T157" s="470">
        <f t="shared" si="170"/>
        <v>2715.8006400007</v>
      </c>
      <c r="U157" s="470"/>
      <c r="V157" s="470">
        <f t="shared" si="172"/>
        <v>226715.800640001</v>
      </c>
      <c r="W157" s="471">
        <v>12</v>
      </c>
      <c r="X157" s="470">
        <f t="shared" si="173"/>
        <v>18892.9833866667</v>
      </c>
      <c r="Y157" s="476"/>
      <c r="Z157" s="470">
        <f t="shared" si="174"/>
        <v>18892.9833866667</v>
      </c>
      <c r="AA157" s="473">
        <v>10739.3048</v>
      </c>
      <c r="AB157" s="473">
        <f t="shared" si="175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362</v>
      </c>
      <c r="C158" s="470">
        <v>205598.166666667</v>
      </c>
      <c r="D158" s="469">
        <v>12</v>
      </c>
      <c r="E158" s="470">
        <f t="shared" si="160"/>
        <v>2467178</v>
      </c>
      <c r="F158" s="470"/>
      <c r="G158" s="474">
        <v>161854.24</v>
      </c>
      <c r="H158" s="476"/>
      <c r="I158" s="470">
        <f t="shared" si="161"/>
        <v>2305323.76</v>
      </c>
      <c r="J158" s="470">
        <v>200000</v>
      </c>
      <c r="K158" s="470">
        <v>0.2</v>
      </c>
      <c r="L158" s="470">
        <f t="shared" si="162"/>
        <v>461064.752000001</v>
      </c>
      <c r="M158" s="470">
        <f t="shared" si="163"/>
        <v>661064.752000001</v>
      </c>
      <c r="N158" s="470">
        <f t="shared" si="164"/>
        <v>822918.992000001</v>
      </c>
      <c r="O158" s="470">
        <f t="shared" si="165"/>
        <v>1644259.008</v>
      </c>
      <c r="P158" s="470">
        <f t="shared" si="166"/>
        <v>21000</v>
      </c>
      <c r="Q158" s="470">
        <f t="shared" si="167"/>
        <v>33000</v>
      </c>
      <c r="R158" s="470">
        <f t="shared" si="168"/>
        <v>75000</v>
      </c>
      <c r="S158" s="470">
        <f t="shared" si="169"/>
        <v>95000</v>
      </c>
      <c r="T158" s="470">
        <f t="shared" si="170"/>
        <v>9294.39168000067</v>
      </c>
      <c r="U158" s="470"/>
      <c r="V158" s="470">
        <f t="shared" si="172"/>
        <v>233294.391680001</v>
      </c>
      <c r="W158" s="471">
        <v>12</v>
      </c>
      <c r="X158" s="470">
        <f t="shared" si="173"/>
        <v>19441.1993066667</v>
      </c>
      <c r="Y158" s="476"/>
      <c r="Z158" s="470">
        <f t="shared" si="174"/>
        <v>19441.1993066667</v>
      </c>
      <c r="AA158" s="473">
        <v>11232.4576266667</v>
      </c>
      <c r="AB158" s="473">
        <f t="shared" si="175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666</v>
      </c>
      <c r="C159" s="470">
        <v>202598.166666667</v>
      </c>
      <c r="D159" s="469">
        <v>12</v>
      </c>
      <c r="E159" s="470">
        <f t="shared" si="160"/>
        <v>2431178</v>
      </c>
      <c r="F159" s="470"/>
      <c r="G159" s="474">
        <v>161854.24</v>
      </c>
      <c r="H159" s="476"/>
      <c r="I159" s="470">
        <f t="shared" si="161"/>
        <v>2269323.76</v>
      </c>
      <c r="J159" s="470">
        <v>200000</v>
      </c>
      <c r="K159" s="470">
        <v>0.2</v>
      </c>
      <c r="L159" s="470">
        <f t="shared" si="162"/>
        <v>453864.752000001</v>
      </c>
      <c r="M159" s="470">
        <f t="shared" si="163"/>
        <v>653864.752000001</v>
      </c>
      <c r="N159" s="470">
        <f t="shared" si="164"/>
        <v>815718.992000001</v>
      </c>
      <c r="O159" s="470">
        <f t="shared" si="165"/>
        <v>1615459.008</v>
      </c>
      <c r="P159" s="470">
        <f t="shared" si="166"/>
        <v>21000</v>
      </c>
      <c r="Q159" s="470">
        <f t="shared" si="167"/>
        <v>33000</v>
      </c>
      <c r="R159" s="470">
        <f t="shared" si="168"/>
        <v>75000</v>
      </c>
      <c r="S159" s="470">
        <f t="shared" si="169"/>
        <v>95000</v>
      </c>
      <c r="T159" s="470">
        <f t="shared" si="170"/>
        <v>3246.39168000067</v>
      </c>
      <c r="U159" s="470"/>
      <c r="V159" s="470">
        <f t="shared" si="172"/>
        <v>227246.391680001</v>
      </c>
      <c r="W159" s="471">
        <v>12</v>
      </c>
      <c r="X159" s="470">
        <f t="shared" si="173"/>
        <v>18937.1993066667</v>
      </c>
      <c r="Y159" s="476"/>
      <c r="Z159" s="470">
        <f t="shared" si="174"/>
        <v>18937.1993066667</v>
      </c>
      <c r="AA159" s="473">
        <v>10776.4576266667</v>
      </c>
      <c r="AB159" s="473">
        <f t="shared" si="175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363</v>
      </c>
      <c r="C160" s="470">
        <v>202598.166666667</v>
      </c>
      <c r="D160" s="469">
        <v>12</v>
      </c>
      <c r="E160" s="470">
        <f t="shared" si="160"/>
        <v>2431178</v>
      </c>
      <c r="F160" s="470">
        <f>263.19*12</f>
        <v>3158.28</v>
      </c>
      <c r="G160" s="474">
        <v>161854.24</v>
      </c>
      <c r="H160" s="476"/>
      <c r="I160" s="470">
        <f t="shared" si="161"/>
        <v>2266165.48</v>
      </c>
      <c r="J160" s="470">
        <v>200000</v>
      </c>
      <c r="K160" s="470">
        <v>0.2</v>
      </c>
      <c r="L160" s="470">
        <f t="shared" si="162"/>
        <v>453233.096000001</v>
      </c>
      <c r="M160" s="470">
        <f t="shared" si="163"/>
        <v>653233.096000001</v>
      </c>
      <c r="N160" s="470">
        <f t="shared" si="164"/>
        <v>818245.616000001</v>
      </c>
      <c r="O160" s="470">
        <f t="shared" si="165"/>
        <v>1612932.384</v>
      </c>
      <c r="P160" s="470">
        <f t="shared" si="166"/>
        <v>21000</v>
      </c>
      <c r="Q160" s="470">
        <f t="shared" si="167"/>
        <v>33000</v>
      </c>
      <c r="R160" s="470">
        <f t="shared" si="168"/>
        <v>75000</v>
      </c>
      <c r="S160" s="470">
        <f t="shared" si="169"/>
        <v>95000</v>
      </c>
      <c r="T160" s="470">
        <f t="shared" si="170"/>
        <v>2715.8006400007</v>
      </c>
      <c r="U160" s="470"/>
      <c r="V160" s="470">
        <f t="shared" si="172"/>
        <v>226715.800640001</v>
      </c>
      <c r="W160" s="471">
        <v>12</v>
      </c>
      <c r="X160" s="470">
        <f t="shared" si="173"/>
        <v>18892.9833866667</v>
      </c>
      <c r="Y160" s="476"/>
      <c r="Z160" s="470">
        <f t="shared" si="174"/>
        <v>18892.9833866667</v>
      </c>
      <c r="AA160" s="473">
        <v>10739.3048</v>
      </c>
      <c r="AB160" s="473">
        <f t="shared" si="175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364</v>
      </c>
      <c r="C161" s="470">
        <v>202598.166666667</v>
      </c>
      <c r="D161" s="469">
        <v>12</v>
      </c>
      <c r="E161" s="470">
        <f t="shared" si="160"/>
        <v>2431178</v>
      </c>
      <c r="F161" s="470"/>
      <c r="G161" s="474">
        <v>161854.24</v>
      </c>
      <c r="H161" s="476"/>
      <c r="I161" s="470">
        <f t="shared" si="161"/>
        <v>2269323.76</v>
      </c>
      <c r="J161" s="470">
        <v>200000</v>
      </c>
      <c r="K161" s="470">
        <v>0.2</v>
      </c>
      <c r="L161" s="470">
        <f t="shared" si="162"/>
        <v>453864.752000001</v>
      </c>
      <c r="M161" s="470">
        <f t="shared" si="163"/>
        <v>653864.752000001</v>
      </c>
      <c r="N161" s="470">
        <f t="shared" si="164"/>
        <v>815718.992000001</v>
      </c>
      <c r="O161" s="470">
        <f t="shared" si="165"/>
        <v>1615459.008</v>
      </c>
      <c r="P161" s="470">
        <f t="shared" si="166"/>
        <v>21000</v>
      </c>
      <c r="Q161" s="470">
        <f t="shared" si="167"/>
        <v>33000</v>
      </c>
      <c r="R161" s="470">
        <f t="shared" si="168"/>
        <v>75000</v>
      </c>
      <c r="S161" s="470">
        <f t="shared" si="169"/>
        <v>95000</v>
      </c>
      <c r="T161" s="470">
        <f t="shared" si="170"/>
        <v>3246.39168000067</v>
      </c>
      <c r="U161" s="470"/>
      <c r="V161" s="470">
        <f t="shared" si="172"/>
        <v>227246.391680001</v>
      </c>
      <c r="W161" s="471">
        <v>12</v>
      </c>
      <c r="X161" s="470">
        <f t="shared" si="173"/>
        <v>18937.1993066667</v>
      </c>
      <c r="Y161" s="476"/>
      <c r="Z161" s="470">
        <f t="shared" si="174"/>
        <v>18937.1993066667</v>
      </c>
      <c r="AA161" s="473">
        <v>10776.4576266667</v>
      </c>
      <c r="AB161" s="473">
        <f t="shared" si="175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365</v>
      </c>
      <c r="C162" s="470">
        <v>200336.833333333</v>
      </c>
      <c r="D162" s="469">
        <v>12</v>
      </c>
      <c r="E162" s="470">
        <f t="shared" si="160"/>
        <v>2404042</v>
      </c>
      <c r="F162" s="470"/>
      <c r="G162" s="474">
        <v>156803.36</v>
      </c>
      <c r="H162" s="476"/>
      <c r="I162" s="470">
        <f t="shared" si="161"/>
        <v>2247238.64</v>
      </c>
      <c r="J162" s="470">
        <v>200000</v>
      </c>
      <c r="K162" s="470">
        <v>0.2</v>
      </c>
      <c r="L162" s="470">
        <f t="shared" si="162"/>
        <v>449447.727999999</v>
      </c>
      <c r="M162" s="470">
        <f t="shared" si="163"/>
        <v>649447.727999999</v>
      </c>
      <c r="N162" s="470">
        <f t="shared" si="164"/>
        <v>806251.087999999</v>
      </c>
      <c r="O162" s="470">
        <f t="shared" si="165"/>
        <v>1597790.912</v>
      </c>
      <c r="P162" s="470">
        <f t="shared" si="166"/>
        <v>21000</v>
      </c>
      <c r="Q162" s="470">
        <f t="shared" si="167"/>
        <v>33000</v>
      </c>
      <c r="R162" s="470">
        <f t="shared" si="168"/>
        <v>75000</v>
      </c>
      <c r="S162" s="470">
        <f t="shared" si="169"/>
        <v>94580.2732799994</v>
      </c>
      <c r="T162" s="470">
        <f t="shared" si="170"/>
        <v>0</v>
      </c>
      <c r="U162" s="470"/>
      <c r="V162" s="470">
        <f t="shared" si="172"/>
        <v>223580.273279999</v>
      </c>
      <c r="W162" s="471">
        <v>12</v>
      </c>
      <c r="X162" s="470">
        <f t="shared" si="173"/>
        <v>18631.6894399999</v>
      </c>
      <c r="Y162" s="476"/>
      <c r="Z162" s="470">
        <f t="shared" si="174"/>
        <v>18631.6894399999</v>
      </c>
      <c r="AA162" s="473">
        <v>11232.4576266667</v>
      </c>
      <c r="AB162" s="473">
        <f t="shared" si="175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367</v>
      </c>
      <c r="C163" s="470">
        <v>197336.833333333</v>
      </c>
      <c r="D163" s="469">
        <v>12</v>
      </c>
      <c r="E163" s="470">
        <f t="shared" si="160"/>
        <v>2368042</v>
      </c>
      <c r="F163" s="470"/>
      <c r="G163" s="474">
        <v>156803.36</v>
      </c>
      <c r="H163" s="476"/>
      <c r="I163" s="470">
        <f t="shared" si="161"/>
        <v>2211238.64</v>
      </c>
      <c r="J163" s="470">
        <v>200000</v>
      </c>
      <c r="K163" s="470">
        <v>0.2</v>
      </c>
      <c r="L163" s="470">
        <f t="shared" si="162"/>
        <v>442247.727999999</v>
      </c>
      <c r="M163" s="470">
        <f t="shared" si="163"/>
        <v>642247.727999999</v>
      </c>
      <c r="N163" s="470">
        <f t="shared" si="164"/>
        <v>799051.087999999</v>
      </c>
      <c r="O163" s="470">
        <f t="shared" si="165"/>
        <v>1568990.912</v>
      </c>
      <c r="P163" s="470">
        <f t="shared" si="166"/>
        <v>21000</v>
      </c>
      <c r="Q163" s="470">
        <f t="shared" si="167"/>
        <v>33000</v>
      </c>
      <c r="R163" s="470">
        <f t="shared" si="168"/>
        <v>75000</v>
      </c>
      <c r="S163" s="470">
        <f t="shared" si="169"/>
        <v>89108.2732799994</v>
      </c>
      <c r="T163" s="470">
        <f t="shared" si="170"/>
        <v>0</v>
      </c>
      <c r="U163" s="470"/>
      <c r="V163" s="470">
        <f t="shared" si="172"/>
        <v>218108.273279999</v>
      </c>
      <c r="W163" s="471">
        <v>12</v>
      </c>
      <c r="X163" s="470">
        <f t="shared" si="173"/>
        <v>18175.6894399999</v>
      </c>
      <c r="Y163" s="476"/>
      <c r="Z163" s="470">
        <f t="shared" si="174"/>
        <v>18175.6894399999</v>
      </c>
      <c r="AA163" s="473">
        <v>10776.4576266667</v>
      </c>
      <c r="AB163" s="473">
        <f t="shared" si="175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368</v>
      </c>
      <c r="C164" s="470">
        <v>200336.833333333</v>
      </c>
      <c r="D164" s="469">
        <v>12</v>
      </c>
      <c r="E164" s="470">
        <f t="shared" si="160"/>
        <v>2404042</v>
      </c>
      <c r="F164" s="470"/>
      <c r="G164" s="474">
        <v>156803.36</v>
      </c>
      <c r="H164" s="476"/>
      <c r="I164" s="470">
        <f t="shared" si="161"/>
        <v>2247238.64</v>
      </c>
      <c r="J164" s="470">
        <v>200000</v>
      </c>
      <c r="K164" s="470">
        <v>0.2</v>
      </c>
      <c r="L164" s="470">
        <f t="shared" si="162"/>
        <v>449447.727999999</v>
      </c>
      <c r="M164" s="470">
        <f t="shared" si="163"/>
        <v>649447.727999999</v>
      </c>
      <c r="N164" s="470">
        <f t="shared" si="164"/>
        <v>806251.087999999</v>
      </c>
      <c r="O164" s="470">
        <f t="shared" si="165"/>
        <v>1597790.912</v>
      </c>
      <c r="P164" s="470">
        <f t="shared" si="166"/>
        <v>21000</v>
      </c>
      <c r="Q164" s="470">
        <f t="shared" si="167"/>
        <v>33000</v>
      </c>
      <c r="R164" s="470">
        <f t="shared" si="168"/>
        <v>75000</v>
      </c>
      <c r="S164" s="470">
        <f t="shared" si="169"/>
        <v>94580.2732799994</v>
      </c>
      <c r="T164" s="470">
        <f t="shared" si="170"/>
        <v>0</v>
      </c>
      <c r="U164" s="470"/>
      <c r="V164" s="470">
        <f t="shared" si="172"/>
        <v>223580.273279999</v>
      </c>
      <c r="W164" s="471">
        <v>12</v>
      </c>
      <c r="X164" s="470">
        <f t="shared" si="173"/>
        <v>18631.6894399999</v>
      </c>
      <c r="Y164" s="476"/>
      <c r="Z164" s="470">
        <f t="shared" si="174"/>
        <v>18631.6894399999</v>
      </c>
      <c r="AA164" s="473">
        <v>11232.4576266667</v>
      </c>
      <c r="AB164" s="473">
        <f t="shared" si="175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369</v>
      </c>
      <c r="C165" s="470">
        <v>197336.833333333</v>
      </c>
      <c r="D165" s="469">
        <v>12</v>
      </c>
      <c r="E165" s="470">
        <f t="shared" si="160"/>
        <v>2368042</v>
      </c>
      <c r="F165" s="470"/>
      <c r="G165" s="474">
        <v>156803.36</v>
      </c>
      <c r="H165" s="476"/>
      <c r="I165" s="470">
        <f t="shared" si="161"/>
        <v>2211238.64</v>
      </c>
      <c r="J165" s="470">
        <v>200000</v>
      </c>
      <c r="K165" s="470">
        <v>0.2</v>
      </c>
      <c r="L165" s="470">
        <f t="shared" si="162"/>
        <v>442247.727999999</v>
      </c>
      <c r="M165" s="470">
        <f t="shared" si="163"/>
        <v>642247.727999999</v>
      </c>
      <c r="N165" s="470">
        <f t="shared" si="164"/>
        <v>799051.087999999</v>
      </c>
      <c r="O165" s="470">
        <f t="shared" si="165"/>
        <v>1568990.912</v>
      </c>
      <c r="P165" s="470">
        <f t="shared" si="166"/>
        <v>21000</v>
      </c>
      <c r="Q165" s="470">
        <f t="shared" si="167"/>
        <v>33000</v>
      </c>
      <c r="R165" s="470">
        <f t="shared" si="168"/>
        <v>75000</v>
      </c>
      <c r="S165" s="470">
        <f t="shared" si="169"/>
        <v>89108.2732799994</v>
      </c>
      <c r="T165" s="470">
        <f t="shared" si="170"/>
        <v>0</v>
      </c>
      <c r="U165" s="470"/>
      <c r="V165" s="470">
        <f t="shared" si="172"/>
        <v>218108.273279999</v>
      </c>
      <c r="W165" s="471">
        <v>12</v>
      </c>
      <c r="X165" s="470">
        <f t="shared" si="173"/>
        <v>18175.6894399999</v>
      </c>
      <c r="Y165" s="476"/>
      <c r="Z165" s="470">
        <f t="shared" si="174"/>
        <v>18175.6894399999</v>
      </c>
      <c r="AA165" s="473">
        <v>10776.4576266667</v>
      </c>
      <c r="AB165" s="473">
        <f t="shared" si="175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370</v>
      </c>
      <c r="C166" s="470">
        <v>197336.833333333</v>
      </c>
      <c r="D166" s="469">
        <v>12</v>
      </c>
      <c r="E166" s="470">
        <f t="shared" si="160"/>
        <v>2368042</v>
      </c>
      <c r="F166" s="470"/>
      <c r="G166" s="474">
        <v>156803.36</v>
      </c>
      <c r="H166" s="476"/>
      <c r="I166" s="470">
        <f t="shared" si="161"/>
        <v>2211238.64</v>
      </c>
      <c r="J166" s="470">
        <v>200000</v>
      </c>
      <c r="K166" s="470">
        <v>0.2</v>
      </c>
      <c r="L166" s="470">
        <f t="shared" si="162"/>
        <v>442247.727999999</v>
      </c>
      <c r="M166" s="470">
        <f t="shared" si="163"/>
        <v>642247.727999999</v>
      </c>
      <c r="N166" s="470">
        <f t="shared" si="164"/>
        <v>799051.087999999</v>
      </c>
      <c r="O166" s="470">
        <f t="shared" si="165"/>
        <v>1568990.912</v>
      </c>
      <c r="P166" s="470">
        <f t="shared" si="166"/>
        <v>21000</v>
      </c>
      <c r="Q166" s="470">
        <f t="shared" si="167"/>
        <v>33000</v>
      </c>
      <c r="R166" s="470">
        <f t="shared" si="168"/>
        <v>75000</v>
      </c>
      <c r="S166" s="470">
        <f t="shared" si="169"/>
        <v>89108.2732799994</v>
      </c>
      <c r="T166" s="470">
        <f t="shared" si="170"/>
        <v>0</v>
      </c>
      <c r="U166" s="470"/>
      <c r="V166" s="470">
        <f t="shared" si="172"/>
        <v>218108.273279999</v>
      </c>
      <c r="W166" s="471">
        <v>12</v>
      </c>
      <c r="X166" s="470">
        <f t="shared" si="173"/>
        <v>18175.6894399999</v>
      </c>
      <c r="Y166" s="476"/>
      <c r="Z166" s="470">
        <f t="shared" si="174"/>
        <v>18175.6894399999</v>
      </c>
      <c r="AA166" s="473">
        <v>10776.4576266667</v>
      </c>
      <c r="AB166" s="473">
        <f t="shared" si="175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357</v>
      </c>
      <c r="C167" s="470">
        <v>200336.833333333</v>
      </c>
      <c r="D167" s="469">
        <v>12</v>
      </c>
      <c r="E167" s="470">
        <f t="shared" si="160"/>
        <v>2404042</v>
      </c>
      <c r="F167" s="470"/>
      <c r="G167" s="474">
        <v>156803.36</v>
      </c>
      <c r="H167" s="476"/>
      <c r="I167" s="470">
        <f t="shared" si="161"/>
        <v>2247238.64</v>
      </c>
      <c r="J167" s="470">
        <v>200000</v>
      </c>
      <c r="K167" s="470">
        <v>0.2</v>
      </c>
      <c r="L167" s="470">
        <f t="shared" si="162"/>
        <v>449447.727999999</v>
      </c>
      <c r="M167" s="470">
        <f t="shared" si="163"/>
        <v>649447.727999999</v>
      </c>
      <c r="N167" s="470">
        <f t="shared" si="164"/>
        <v>806251.087999999</v>
      </c>
      <c r="O167" s="470">
        <f t="shared" si="165"/>
        <v>1597790.912</v>
      </c>
      <c r="P167" s="470">
        <f t="shared" si="166"/>
        <v>21000</v>
      </c>
      <c r="Q167" s="470">
        <f t="shared" si="167"/>
        <v>33000</v>
      </c>
      <c r="R167" s="470">
        <f t="shared" si="168"/>
        <v>75000</v>
      </c>
      <c r="S167" s="470">
        <f t="shared" si="169"/>
        <v>94580.2732799994</v>
      </c>
      <c r="T167" s="470">
        <f t="shared" si="170"/>
        <v>0</v>
      </c>
      <c r="U167" s="470"/>
      <c r="V167" s="470">
        <f t="shared" si="172"/>
        <v>223580.273279999</v>
      </c>
      <c r="W167" s="471">
        <v>12</v>
      </c>
      <c r="X167" s="470">
        <f t="shared" si="173"/>
        <v>18631.6894399999</v>
      </c>
      <c r="Y167" s="476"/>
      <c r="Z167" s="470">
        <f t="shared" si="174"/>
        <v>18631.6894399999</v>
      </c>
      <c r="AA167" s="473">
        <v>11232.4576266667</v>
      </c>
      <c r="AB167" s="473">
        <f t="shared" si="175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371</v>
      </c>
      <c r="C168" s="470">
        <v>189814.166666667</v>
      </c>
      <c r="D168" s="469">
        <v>12</v>
      </c>
      <c r="E168" s="470">
        <f t="shared" si="160"/>
        <v>2277770</v>
      </c>
      <c r="F168" s="470"/>
      <c r="G168" s="474">
        <v>146701.6</v>
      </c>
      <c r="H168" s="476"/>
      <c r="I168" s="470">
        <f t="shared" si="161"/>
        <v>2131068.4</v>
      </c>
      <c r="J168" s="470">
        <v>200000</v>
      </c>
      <c r="K168" s="470">
        <v>0.2</v>
      </c>
      <c r="L168" s="470">
        <f t="shared" si="162"/>
        <v>426213.680000001</v>
      </c>
      <c r="M168" s="470">
        <f t="shared" si="163"/>
        <v>626213.680000001</v>
      </c>
      <c r="N168" s="470">
        <f t="shared" si="164"/>
        <v>772915.280000001</v>
      </c>
      <c r="O168" s="470">
        <f t="shared" si="165"/>
        <v>1504854.72</v>
      </c>
      <c r="P168" s="470">
        <f t="shared" si="166"/>
        <v>21000</v>
      </c>
      <c r="Q168" s="470">
        <f t="shared" si="167"/>
        <v>33000</v>
      </c>
      <c r="R168" s="470">
        <f t="shared" si="168"/>
        <v>75000</v>
      </c>
      <c r="S168" s="470">
        <f t="shared" si="169"/>
        <v>76922.3968000007</v>
      </c>
      <c r="T168" s="470">
        <f t="shared" si="170"/>
        <v>0</v>
      </c>
      <c r="U168" s="470"/>
      <c r="V168" s="470">
        <f t="shared" si="172"/>
        <v>205922.396800001</v>
      </c>
      <c r="W168" s="471">
        <v>12</v>
      </c>
      <c r="X168" s="470">
        <f t="shared" si="173"/>
        <v>17160.1997333334</v>
      </c>
      <c r="Y168" s="476"/>
      <c r="Z168" s="470">
        <f t="shared" si="174"/>
        <v>17160.1997333334</v>
      </c>
      <c r="AA168" s="473">
        <v>9152.59979</v>
      </c>
      <c r="AB168" s="473">
        <f t="shared" si="175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373</v>
      </c>
      <c r="C169" s="470">
        <v>189814.166666667</v>
      </c>
      <c r="D169" s="469">
        <v>12</v>
      </c>
      <c r="E169" s="470">
        <f t="shared" si="160"/>
        <v>2277770</v>
      </c>
      <c r="F169" s="470"/>
      <c r="G169" s="474">
        <v>146701.6</v>
      </c>
      <c r="H169" s="476"/>
      <c r="I169" s="470">
        <f t="shared" si="161"/>
        <v>2131068.4</v>
      </c>
      <c r="J169" s="470">
        <v>200000</v>
      </c>
      <c r="K169" s="470">
        <v>0.2</v>
      </c>
      <c r="L169" s="470">
        <f t="shared" si="162"/>
        <v>426213.680000001</v>
      </c>
      <c r="M169" s="470">
        <f t="shared" si="163"/>
        <v>626213.680000001</v>
      </c>
      <c r="N169" s="470">
        <f t="shared" si="164"/>
        <v>772915.280000001</v>
      </c>
      <c r="O169" s="470">
        <f t="shared" si="165"/>
        <v>1504854.72</v>
      </c>
      <c r="P169" s="470">
        <f t="shared" si="166"/>
        <v>21000</v>
      </c>
      <c r="Q169" s="470">
        <f t="shared" si="167"/>
        <v>33000</v>
      </c>
      <c r="R169" s="470">
        <f t="shared" si="168"/>
        <v>75000</v>
      </c>
      <c r="S169" s="470">
        <f t="shared" si="169"/>
        <v>76922.3968000007</v>
      </c>
      <c r="T169" s="470">
        <f t="shared" si="170"/>
        <v>0</v>
      </c>
      <c r="U169" s="470"/>
      <c r="V169" s="470">
        <f t="shared" si="172"/>
        <v>205922.396800001</v>
      </c>
      <c r="W169" s="471">
        <v>12</v>
      </c>
      <c r="X169" s="470">
        <f t="shared" si="173"/>
        <v>17160.1997333334</v>
      </c>
      <c r="Y169" s="476"/>
      <c r="Z169" s="470">
        <f t="shared" si="174"/>
        <v>17160.1997333334</v>
      </c>
      <c r="AA169" s="473">
        <v>9152.59979</v>
      </c>
      <c r="AB169" s="473">
        <f t="shared" si="175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374</v>
      </c>
      <c r="C170" s="470">
        <v>195075.5</v>
      </c>
      <c r="D170" s="469">
        <v>12</v>
      </c>
      <c r="E170" s="470">
        <f t="shared" si="160"/>
        <v>2340906</v>
      </c>
      <c r="F170" s="470"/>
      <c r="G170" s="474">
        <v>151752.48</v>
      </c>
      <c r="H170" s="476"/>
      <c r="I170" s="470">
        <f t="shared" si="161"/>
        <v>2189153.52</v>
      </c>
      <c r="J170" s="470">
        <v>200000</v>
      </c>
      <c r="K170" s="470">
        <v>0.2</v>
      </c>
      <c r="L170" s="470">
        <f t="shared" si="162"/>
        <v>437830.704</v>
      </c>
      <c r="M170" s="470">
        <f t="shared" si="163"/>
        <v>637830.704</v>
      </c>
      <c r="N170" s="470">
        <f t="shared" si="164"/>
        <v>789583.184</v>
      </c>
      <c r="O170" s="470">
        <f t="shared" si="165"/>
        <v>1551322.816</v>
      </c>
      <c r="P170" s="470">
        <f t="shared" si="166"/>
        <v>21000</v>
      </c>
      <c r="Q170" s="470">
        <f t="shared" si="167"/>
        <v>33000</v>
      </c>
      <c r="R170" s="470">
        <f t="shared" si="168"/>
        <v>75000</v>
      </c>
      <c r="S170" s="470">
        <f t="shared" si="169"/>
        <v>85751.33504</v>
      </c>
      <c r="T170" s="470">
        <f t="shared" si="170"/>
        <v>0</v>
      </c>
      <c r="U170" s="470"/>
      <c r="V170" s="470">
        <f t="shared" si="172"/>
        <v>214751.33504</v>
      </c>
      <c r="W170" s="471">
        <v>12</v>
      </c>
      <c r="X170" s="470">
        <f t="shared" si="173"/>
        <v>17895.9445866667</v>
      </c>
      <c r="Y170" s="476"/>
      <c r="Z170" s="470">
        <f t="shared" si="174"/>
        <v>17895.9445866667</v>
      </c>
      <c r="AA170" s="473">
        <v>9504.20414</v>
      </c>
      <c r="AB170" s="473">
        <f t="shared" si="175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376</v>
      </c>
      <c r="C171" s="470">
        <v>121145.75</v>
      </c>
      <c r="D171" s="469">
        <v>12</v>
      </c>
      <c r="E171" s="470">
        <f t="shared" si="160"/>
        <v>1453749</v>
      </c>
      <c r="F171" s="470"/>
      <c r="G171" s="474">
        <v>90379.92</v>
      </c>
      <c r="H171" s="476"/>
      <c r="I171" s="470">
        <f t="shared" si="161"/>
        <v>1363369.08</v>
      </c>
      <c r="J171" s="470">
        <v>200000</v>
      </c>
      <c r="K171" s="470">
        <v>0.2</v>
      </c>
      <c r="L171" s="470">
        <f t="shared" si="162"/>
        <v>272673.816</v>
      </c>
      <c r="M171" s="470">
        <f t="shared" si="163"/>
        <v>472673.816</v>
      </c>
      <c r="N171" s="470">
        <f t="shared" si="164"/>
        <v>563053.736</v>
      </c>
      <c r="O171" s="470">
        <f t="shared" si="165"/>
        <v>890695.264</v>
      </c>
      <c r="P171" s="470">
        <f t="shared" si="166"/>
        <v>21000</v>
      </c>
      <c r="Q171" s="470">
        <f t="shared" si="167"/>
        <v>33000</v>
      </c>
      <c r="R171" s="470">
        <f t="shared" si="168"/>
        <v>43604.2896</v>
      </c>
      <c r="S171" s="470">
        <f t="shared" si="169"/>
        <v>0</v>
      </c>
      <c r="T171" s="470">
        <f t="shared" si="170"/>
        <v>0</v>
      </c>
      <c r="U171" s="470"/>
      <c r="V171" s="470">
        <f t="shared" si="172"/>
        <v>97604.2896</v>
      </c>
      <c r="W171" s="471">
        <v>12</v>
      </c>
      <c r="X171" s="470">
        <f t="shared" si="173"/>
        <v>8133.6908</v>
      </c>
      <c r="Y171" s="476"/>
      <c r="Z171" s="470">
        <f t="shared" si="174"/>
        <v>8133.6908</v>
      </c>
      <c r="AA171" s="473">
        <v>4365.33075466667</v>
      </c>
      <c r="AB171" s="473">
        <f t="shared" si="175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378</v>
      </c>
      <c r="C172" s="470">
        <v>118598</v>
      </c>
      <c r="D172" s="469">
        <v>12</v>
      </c>
      <c r="E172" s="470">
        <f t="shared" si="160"/>
        <v>1423176</v>
      </c>
      <c r="F172" s="470"/>
      <c r="G172" s="474">
        <v>87934.08</v>
      </c>
      <c r="H172" s="476"/>
      <c r="I172" s="470">
        <f t="shared" si="161"/>
        <v>1335241.92</v>
      </c>
      <c r="J172" s="470">
        <v>200000</v>
      </c>
      <c r="K172" s="470">
        <v>0.2</v>
      </c>
      <c r="L172" s="470">
        <f t="shared" si="162"/>
        <v>267048.384</v>
      </c>
      <c r="M172" s="470">
        <f t="shared" si="163"/>
        <v>467048.384</v>
      </c>
      <c r="N172" s="470">
        <f t="shared" si="164"/>
        <v>554982.464</v>
      </c>
      <c r="O172" s="470">
        <f t="shared" si="165"/>
        <v>868193.536</v>
      </c>
      <c r="P172" s="470">
        <f t="shared" si="166"/>
        <v>21000</v>
      </c>
      <c r="Q172" s="470">
        <f t="shared" si="167"/>
        <v>33000</v>
      </c>
      <c r="R172" s="470">
        <f t="shared" si="168"/>
        <v>40229.0304</v>
      </c>
      <c r="S172" s="470">
        <f t="shared" si="169"/>
        <v>0</v>
      </c>
      <c r="T172" s="470">
        <f t="shared" si="170"/>
        <v>0</v>
      </c>
      <c r="U172" s="470"/>
      <c r="V172" s="470">
        <f t="shared" si="172"/>
        <v>94229.0304</v>
      </c>
      <c r="W172" s="471">
        <v>12</v>
      </c>
      <c r="X172" s="470">
        <f t="shared" si="173"/>
        <v>7852.4192</v>
      </c>
      <c r="Y172" s="476"/>
      <c r="Z172" s="470">
        <f t="shared" si="174"/>
        <v>7852.4192</v>
      </c>
      <c r="AA172" s="473">
        <v>4227.52372266667</v>
      </c>
      <c r="AB172" s="473">
        <f t="shared" si="175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379</v>
      </c>
      <c r="C173" s="470">
        <v>115598</v>
      </c>
      <c r="D173" s="469">
        <v>12</v>
      </c>
      <c r="E173" s="470">
        <f t="shared" si="160"/>
        <v>1387176</v>
      </c>
      <c r="F173" s="470"/>
      <c r="G173" s="474">
        <v>87934.08</v>
      </c>
      <c r="H173" s="476"/>
      <c r="I173" s="470">
        <f t="shared" si="161"/>
        <v>1299241.92</v>
      </c>
      <c r="J173" s="470">
        <v>200000</v>
      </c>
      <c r="K173" s="470">
        <v>0.2</v>
      </c>
      <c r="L173" s="470">
        <f t="shared" si="162"/>
        <v>259848.384</v>
      </c>
      <c r="M173" s="470">
        <f t="shared" si="163"/>
        <v>459848.384</v>
      </c>
      <c r="N173" s="470">
        <f t="shared" si="164"/>
        <v>547782.464</v>
      </c>
      <c r="O173" s="470">
        <f t="shared" si="165"/>
        <v>839393.536</v>
      </c>
      <c r="P173" s="470">
        <f t="shared" si="166"/>
        <v>21000</v>
      </c>
      <c r="Q173" s="470">
        <f t="shared" si="167"/>
        <v>33000</v>
      </c>
      <c r="R173" s="470">
        <f t="shared" si="168"/>
        <v>35909.0304</v>
      </c>
      <c r="S173" s="470">
        <f t="shared" si="169"/>
        <v>0</v>
      </c>
      <c r="T173" s="470">
        <f t="shared" si="170"/>
        <v>0</v>
      </c>
      <c r="U173" s="470"/>
      <c r="V173" s="470">
        <f t="shared" si="172"/>
        <v>89909.0304</v>
      </c>
      <c r="W173" s="471">
        <v>12</v>
      </c>
      <c r="X173" s="470">
        <f t="shared" si="173"/>
        <v>7492.4192</v>
      </c>
      <c r="Y173" s="476"/>
      <c r="Z173" s="470">
        <f t="shared" si="174"/>
        <v>7492.4192</v>
      </c>
      <c r="AA173" s="473">
        <v>3963.52372266667</v>
      </c>
      <c r="AB173" s="473">
        <f t="shared" si="175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380</v>
      </c>
      <c r="C174" s="470">
        <v>118598</v>
      </c>
      <c r="D174" s="469">
        <v>12</v>
      </c>
      <c r="E174" s="470">
        <f t="shared" si="160"/>
        <v>1423176</v>
      </c>
      <c r="F174" s="470"/>
      <c r="G174" s="474">
        <v>87934.08</v>
      </c>
      <c r="H174" s="476"/>
      <c r="I174" s="470">
        <f t="shared" si="161"/>
        <v>1335241.92</v>
      </c>
      <c r="J174" s="470">
        <v>200000</v>
      </c>
      <c r="K174" s="470">
        <v>0.2</v>
      </c>
      <c r="L174" s="470">
        <f t="shared" si="162"/>
        <v>267048.384</v>
      </c>
      <c r="M174" s="470">
        <f t="shared" si="163"/>
        <v>467048.384</v>
      </c>
      <c r="N174" s="470">
        <f t="shared" si="164"/>
        <v>554982.464</v>
      </c>
      <c r="O174" s="470">
        <f t="shared" si="165"/>
        <v>868193.536</v>
      </c>
      <c r="P174" s="470">
        <f t="shared" si="166"/>
        <v>21000</v>
      </c>
      <c r="Q174" s="470">
        <f t="shared" si="167"/>
        <v>33000</v>
      </c>
      <c r="R174" s="470">
        <f t="shared" si="168"/>
        <v>40229.0304</v>
      </c>
      <c r="S174" s="470">
        <f t="shared" si="169"/>
        <v>0</v>
      </c>
      <c r="T174" s="470">
        <f t="shared" si="170"/>
        <v>0</v>
      </c>
      <c r="U174" s="470"/>
      <c r="V174" s="470">
        <f t="shared" si="172"/>
        <v>94229.0304</v>
      </c>
      <c r="W174" s="471">
        <v>12</v>
      </c>
      <c r="X174" s="470">
        <f t="shared" si="173"/>
        <v>7852.4192</v>
      </c>
      <c r="Y174" s="476"/>
      <c r="Z174" s="470">
        <f t="shared" si="174"/>
        <v>7852.4192</v>
      </c>
      <c r="AA174" s="473">
        <v>4227.52372266667</v>
      </c>
      <c r="AB174" s="473">
        <f t="shared" si="175"/>
        <v>3624.89547733333</v>
      </c>
      <c r="AC174" s="473"/>
      <c r="AD174" s="473"/>
      <c r="AE174" s="473"/>
    </row>
    <row r="175" ht="18" spans="1:31">
      <c r="A175" s="459"/>
      <c r="B175" s="11" t="s">
        <v>381</v>
      </c>
      <c r="C175" s="483">
        <v>115598</v>
      </c>
      <c r="D175" s="469">
        <v>12</v>
      </c>
      <c r="E175" s="470">
        <f t="shared" si="160"/>
        <v>1387176</v>
      </c>
      <c r="F175" s="470"/>
      <c r="G175" s="474">
        <v>87934.08</v>
      </c>
      <c r="H175" s="476"/>
      <c r="I175" s="470">
        <f t="shared" si="161"/>
        <v>1299241.92</v>
      </c>
      <c r="J175" s="470">
        <v>200000</v>
      </c>
      <c r="K175" s="470">
        <v>0.2</v>
      </c>
      <c r="L175" s="470">
        <f t="shared" si="162"/>
        <v>259848.384</v>
      </c>
      <c r="M175" s="470">
        <f t="shared" si="163"/>
        <v>459848.384</v>
      </c>
      <c r="N175" s="470">
        <f t="shared" si="164"/>
        <v>547782.464</v>
      </c>
      <c r="O175" s="470">
        <f t="shared" si="165"/>
        <v>839393.536</v>
      </c>
      <c r="P175" s="470">
        <f t="shared" si="166"/>
        <v>21000</v>
      </c>
      <c r="Q175" s="470">
        <f t="shared" si="167"/>
        <v>33000</v>
      </c>
      <c r="R175" s="470">
        <f t="shared" si="168"/>
        <v>35909.0304</v>
      </c>
      <c r="S175" s="470">
        <f t="shared" si="169"/>
        <v>0</v>
      </c>
      <c r="T175" s="470">
        <f t="shared" si="170"/>
        <v>0</v>
      </c>
      <c r="U175" s="470"/>
      <c r="V175" s="470">
        <f t="shared" si="172"/>
        <v>89909.0304</v>
      </c>
      <c r="W175" s="471">
        <v>12</v>
      </c>
      <c r="X175" s="470">
        <f t="shared" si="173"/>
        <v>7492.4192</v>
      </c>
      <c r="Y175" s="476"/>
      <c r="Z175" s="470">
        <f t="shared" si="174"/>
        <v>7492.4192</v>
      </c>
      <c r="AA175" s="473">
        <v>3963.52372266667</v>
      </c>
      <c r="AB175" s="473">
        <f t="shared" si="175"/>
        <v>3528.89547733333</v>
      </c>
      <c r="AC175" s="473"/>
      <c r="AD175" s="473"/>
      <c r="AE175" s="473"/>
    </row>
    <row r="176" ht="18" spans="1:31">
      <c r="A176" s="459"/>
      <c r="B176" s="11" t="s">
        <v>382</v>
      </c>
      <c r="C176" s="483">
        <v>118598</v>
      </c>
      <c r="D176" s="469">
        <v>12</v>
      </c>
      <c r="E176" s="470">
        <f t="shared" si="160"/>
        <v>1423176</v>
      </c>
      <c r="F176" s="470"/>
      <c r="G176" s="474">
        <v>87934.08</v>
      </c>
      <c r="H176" s="476"/>
      <c r="I176" s="470">
        <f t="shared" si="161"/>
        <v>1335241.92</v>
      </c>
      <c r="J176" s="470">
        <v>200000</v>
      </c>
      <c r="K176" s="470">
        <v>0.2</v>
      </c>
      <c r="L176" s="470">
        <f t="shared" si="162"/>
        <v>267048.384</v>
      </c>
      <c r="M176" s="470">
        <f t="shared" si="163"/>
        <v>467048.384</v>
      </c>
      <c r="N176" s="470">
        <f t="shared" si="164"/>
        <v>554982.464</v>
      </c>
      <c r="O176" s="470">
        <f t="shared" si="165"/>
        <v>868193.536</v>
      </c>
      <c r="P176" s="470">
        <f t="shared" si="166"/>
        <v>21000</v>
      </c>
      <c r="Q176" s="470">
        <f t="shared" si="167"/>
        <v>33000</v>
      </c>
      <c r="R176" s="470">
        <f t="shared" si="168"/>
        <v>40229.0304</v>
      </c>
      <c r="S176" s="470">
        <f t="shared" si="169"/>
        <v>0</v>
      </c>
      <c r="T176" s="470">
        <f t="shared" si="170"/>
        <v>0</v>
      </c>
      <c r="U176" s="470"/>
      <c r="V176" s="470">
        <f t="shared" si="172"/>
        <v>94229.0304</v>
      </c>
      <c r="W176" s="471">
        <v>12</v>
      </c>
      <c r="X176" s="470">
        <f t="shared" si="173"/>
        <v>7852.4192</v>
      </c>
      <c r="Y176" s="476"/>
      <c r="Z176" s="470">
        <f t="shared" si="174"/>
        <v>7852.4192</v>
      </c>
      <c r="AA176" s="473">
        <v>4227.52372266667</v>
      </c>
      <c r="AB176" s="473">
        <f t="shared" si="175"/>
        <v>3624.89547733333</v>
      </c>
    </row>
    <row r="177" ht="18" spans="2:28">
      <c r="B177" s="18" t="s">
        <v>383</v>
      </c>
      <c r="C177" s="473">
        <v>115598</v>
      </c>
      <c r="D177" s="469">
        <v>12</v>
      </c>
      <c r="E177" s="470">
        <f t="shared" si="160"/>
        <v>1387176</v>
      </c>
      <c r="G177" s="474">
        <v>87934.08</v>
      </c>
      <c r="I177" s="470">
        <f t="shared" si="161"/>
        <v>1299241.92</v>
      </c>
      <c r="J177" s="470">
        <v>200000</v>
      </c>
      <c r="K177" s="470">
        <v>0.2</v>
      </c>
      <c r="L177" s="470">
        <f t="shared" si="162"/>
        <v>259848.384</v>
      </c>
      <c r="M177" s="470">
        <f t="shared" si="163"/>
        <v>459848.384</v>
      </c>
      <c r="N177" s="470">
        <f t="shared" si="164"/>
        <v>547782.464</v>
      </c>
      <c r="O177" s="470">
        <f t="shared" si="165"/>
        <v>839393.536</v>
      </c>
      <c r="P177" s="470">
        <f t="shared" si="166"/>
        <v>21000</v>
      </c>
      <c r="Q177" s="470">
        <f t="shared" si="167"/>
        <v>33000</v>
      </c>
      <c r="R177" s="470">
        <f t="shared" si="168"/>
        <v>35909.0304</v>
      </c>
      <c r="S177" s="470">
        <f t="shared" si="169"/>
        <v>0</v>
      </c>
      <c r="T177" s="470">
        <f t="shared" si="170"/>
        <v>0</v>
      </c>
      <c r="U177" s="470"/>
      <c r="V177" s="470">
        <f t="shared" si="172"/>
        <v>89909.0304</v>
      </c>
      <c r="W177" s="471">
        <v>12</v>
      </c>
      <c r="X177" s="470">
        <f t="shared" si="173"/>
        <v>7492.4192</v>
      </c>
      <c r="Z177" s="470">
        <f t="shared" si="174"/>
        <v>7492.4192</v>
      </c>
      <c r="AA177" s="473">
        <v>3963.52372266667</v>
      </c>
      <c r="AB177" s="473">
        <f t="shared" si="175"/>
        <v>3528.89547733333</v>
      </c>
    </row>
    <row r="178" ht="18" spans="2:28">
      <c r="B178" s="18" t="s">
        <v>385</v>
      </c>
      <c r="C178" s="473">
        <v>118598</v>
      </c>
      <c r="D178" s="469">
        <v>12</v>
      </c>
      <c r="E178" s="470">
        <f t="shared" si="160"/>
        <v>1423176</v>
      </c>
      <c r="G178" s="474">
        <v>87934.08</v>
      </c>
      <c r="I178" s="470">
        <f t="shared" si="161"/>
        <v>1335241.92</v>
      </c>
      <c r="J178" s="470">
        <v>200000</v>
      </c>
      <c r="K178" s="470">
        <v>0.2</v>
      </c>
      <c r="L178" s="470">
        <f t="shared" si="162"/>
        <v>267048.384</v>
      </c>
      <c r="M178" s="470">
        <f t="shared" si="163"/>
        <v>467048.384</v>
      </c>
      <c r="N178" s="470">
        <f t="shared" si="164"/>
        <v>554982.464</v>
      </c>
      <c r="O178" s="470">
        <f t="shared" si="165"/>
        <v>868193.536</v>
      </c>
      <c r="P178" s="470">
        <f t="shared" si="166"/>
        <v>21000</v>
      </c>
      <c r="Q178" s="470">
        <f t="shared" si="167"/>
        <v>33000</v>
      </c>
      <c r="R178" s="470">
        <f t="shared" si="168"/>
        <v>40229.0304</v>
      </c>
      <c r="S178" s="470">
        <f t="shared" si="169"/>
        <v>0</v>
      </c>
      <c r="T178" s="470">
        <f t="shared" si="170"/>
        <v>0</v>
      </c>
      <c r="U178" s="470"/>
      <c r="V178" s="470">
        <f t="shared" si="172"/>
        <v>94229.0304</v>
      </c>
      <c r="W178" s="471">
        <v>12</v>
      </c>
      <c r="X178" s="470">
        <f t="shared" si="173"/>
        <v>7852.4192</v>
      </c>
      <c r="Z178" s="470">
        <f t="shared" si="174"/>
        <v>7852.4192</v>
      </c>
      <c r="AA178" s="473">
        <v>4227.52372266667</v>
      </c>
      <c r="AB178" s="473">
        <f t="shared" si="175"/>
        <v>3624.89547733333</v>
      </c>
    </row>
    <row r="179" ht="18" spans="2:28">
      <c r="B179" s="11" t="s">
        <v>668</v>
      </c>
      <c r="C179" s="473">
        <v>118598</v>
      </c>
      <c r="D179" s="469">
        <v>12</v>
      </c>
      <c r="E179" s="470">
        <f t="shared" si="160"/>
        <v>1423176</v>
      </c>
      <c r="G179" s="474">
        <v>87934.08</v>
      </c>
      <c r="I179" s="470">
        <f t="shared" si="161"/>
        <v>1335241.92</v>
      </c>
      <c r="J179" s="470">
        <v>200000</v>
      </c>
      <c r="K179" s="470">
        <v>0.2</v>
      </c>
      <c r="L179" s="470">
        <f t="shared" si="162"/>
        <v>267048.384</v>
      </c>
      <c r="M179" s="470">
        <f t="shared" si="163"/>
        <v>467048.384</v>
      </c>
      <c r="N179" s="470">
        <f t="shared" si="164"/>
        <v>554982.464</v>
      </c>
      <c r="O179" s="470">
        <f t="shared" si="165"/>
        <v>868193.536</v>
      </c>
      <c r="P179" s="470">
        <f t="shared" si="166"/>
        <v>21000</v>
      </c>
      <c r="Q179" s="470">
        <f t="shared" si="167"/>
        <v>33000</v>
      </c>
      <c r="R179" s="470">
        <f t="shared" si="168"/>
        <v>40229.0304</v>
      </c>
      <c r="S179" s="470">
        <f t="shared" si="169"/>
        <v>0</v>
      </c>
      <c r="T179" s="470">
        <f t="shared" si="170"/>
        <v>0</v>
      </c>
      <c r="V179" s="470">
        <f t="shared" si="172"/>
        <v>94229.0304</v>
      </c>
      <c r="W179" s="471">
        <v>12</v>
      </c>
      <c r="X179" s="470">
        <f t="shared" si="173"/>
        <v>7852.4192</v>
      </c>
      <c r="Z179" s="470">
        <f t="shared" si="174"/>
        <v>7852.4192</v>
      </c>
      <c r="AA179" s="473">
        <v>4089.71669066667</v>
      </c>
      <c r="AB179" s="473">
        <f t="shared" si="175"/>
        <v>3762.70250933333</v>
      </c>
    </row>
    <row r="180" ht="18" spans="2:28">
      <c r="B180" s="11" t="s">
        <v>386</v>
      </c>
      <c r="C180" s="473">
        <v>118598</v>
      </c>
      <c r="D180" s="469">
        <v>12</v>
      </c>
      <c r="E180" s="470">
        <f t="shared" si="160"/>
        <v>1423176</v>
      </c>
      <c r="G180" s="474">
        <v>87934.08</v>
      </c>
      <c r="I180" s="470">
        <f t="shared" si="161"/>
        <v>1335241.92</v>
      </c>
      <c r="J180" s="470">
        <v>200000</v>
      </c>
      <c r="K180" s="470">
        <v>0.2</v>
      </c>
      <c r="L180" s="470">
        <f t="shared" si="162"/>
        <v>267048.384</v>
      </c>
      <c r="M180" s="470">
        <f t="shared" si="163"/>
        <v>467048.384</v>
      </c>
      <c r="N180" s="470">
        <f t="shared" si="164"/>
        <v>554982.464</v>
      </c>
      <c r="O180" s="470">
        <f t="shared" si="165"/>
        <v>868193.536</v>
      </c>
      <c r="P180" s="470">
        <f t="shared" si="166"/>
        <v>21000</v>
      </c>
      <c r="Q180" s="470">
        <f t="shared" si="167"/>
        <v>33000</v>
      </c>
      <c r="R180" s="470">
        <f t="shared" si="168"/>
        <v>40229.0304</v>
      </c>
      <c r="S180" s="470">
        <f t="shared" si="169"/>
        <v>0</v>
      </c>
      <c r="T180" s="470">
        <f t="shared" si="170"/>
        <v>0</v>
      </c>
      <c r="V180" s="470">
        <f t="shared" si="172"/>
        <v>94229.0304</v>
      </c>
      <c r="W180" s="471">
        <v>12</v>
      </c>
      <c r="X180" s="470">
        <f t="shared" si="173"/>
        <v>7852.4192</v>
      </c>
      <c r="Z180" s="470">
        <f t="shared" si="174"/>
        <v>7852.4192</v>
      </c>
      <c r="AA180" s="473">
        <v>4227.52372266667</v>
      </c>
      <c r="AB180" s="473">
        <f t="shared" si="175"/>
        <v>3624.89547733333</v>
      </c>
    </row>
    <row r="181" ht="18" spans="2:28">
      <c r="B181" s="18" t="s">
        <v>358</v>
      </c>
      <c r="C181" s="473">
        <v>116050.25</v>
      </c>
      <c r="D181" s="469">
        <v>12</v>
      </c>
      <c r="E181" s="470">
        <f t="shared" si="160"/>
        <v>1392603</v>
      </c>
      <c r="G181" s="474">
        <v>85488.24</v>
      </c>
      <c r="I181" s="470">
        <f t="shared" si="161"/>
        <v>1307114.76</v>
      </c>
      <c r="J181" s="470">
        <v>200000</v>
      </c>
      <c r="K181" s="470">
        <v>0.2</v>
      </c>
      <c r="L181" s="470">
        <f t="shared" si="162"/>
        <v>261422.952</v>
      </c>
      <c r="M181" s="470">
        <f t="shared" si="163"/>
        <v>461422.952</v>
      </c>
      <c r="N181" s="470">
        <f t="shared" si="164"/>
        <v>546911.192</v>
      </c>
      <c r="O181" s="470">
        <f t="shared" si="165"/>
        <v>845691.808</v>
      </c>
      <c r="P181" s="470">
        <f t="shared" si="166"/>
        <v>21000</v>
      </c>
      <c r="Q181" s="470">
        <f t="shared" si="167"/>
        <v>33000</v>
      </c>
      <c r="R181" s="470">
        <f t="shared" si="168"/>
        <v>36853.7712</v>
      </c>
      <c r="S181" s="470">
        <f t="shared" si="169"/>
        <v>0</v>
      </c>
      <c r="T181" s="470">
        <f t="shared" si="170"/>
        <v>0</v>
      </c>
      <c r="V181" s="470">
        <f t="shared" si="172"/>
        <v>90853.7712</v>
      </c>
      <c r="W181" s="471">
        <v>12</v>
      </c>
      <c r="X181" s="470">
        <f t="shared" si="173"/>
        <v>7571.1476</v>
      </c>
      <c r="Z181" s="470">
        <f t="shared" si="174"/>
        <v>7571.1476</v>
      </c>
      <c r="AA181" s="473">
        <v>4089.71669066667</v>
      </c>
      <c r="AB181" s="473">
        <f t="shared" si="175"/>
        <v>3481.43090933333</v>
      </c>
    </row>
    <row r="182" ht="18" spans="2:28">
      <c r="B182" s="18" t="s">
        <v>392</v>
      </c>
      <c r="C182" s="473">
        <v>105933</v>
      </c>
      <c r="D182" s="469">
        <v>12</v>
      </c>
      <c r="E182" s="470">
        <f t="shared" si="160"/>
        <v>1271196</v>
      </c>
      <c r="G182" s="474">
        <v>77689.84</v>
      </c>
      <c r="I182" s="470">
        <f t="shared" si="161"/>
        <v>1193506.16</v>
      </c>
      <c r="J182" s="470">
        <v>200000</v>
      </c>
      <c r="K182" s="470">
        <v>0.2</v>
      </c>
      <c r="L182" s="470">
        <f t="shared" si="162"/>
        <v>238701.232</v>
      </c>
      <c r="M182" s="470">
        <f t="shared" si="163"/>
        <v>438701.232</v>
      </c>
      <c r="N182" s="470">
        <f t="shared" si="164"/>
        <v>516391.072</v>
      </c>
      <c r="O182" s="470">
        <f t="shared" si="165"/>
        <v>754804.928</v>
      </c>
      <c r="P182" s="470">
        <f t="shared" si="166"/>
        <v>21000</v>
      </c>
      <c r="Q182" s="470">
        <f t="shared" si="167"/>
        <v>33000</v>
      </c>
      <c r="R182" s="470">
        <f t="shared" si="168"/>
        <v>23220.7392</v>
      </c>
      <c r="S182" s="470">
        <f t="shared" si="169"/>
        <v>0</v>
      </c>
      <c r="T182" s="470">
        <f t="shared" si="170"/>
        <v>0</v>
      </c>
      <c r="V182" s="470">
        <f t="shared" si="172"/>
        <v>77220.7392</v>
      </c>
      <c r="W182" s="471">
        <v>12</v>
      </c>
      <c r="X182" s="470">
        <f t="shared" si="173"/>
        <v>6435.0616</v>
      </c>
      <c r="Z182" s="470">
        <f t="shared" si="174"/>
        <v>6435.0616</v>
      </c>
      <c r="AA182" s="473">
        <v>3210.15440486667</v>
      </c>
      <c r="AB182" s="473">
        <f t="shared" si="175"/>
        <v>3224.90719513333</v>
      </c>
    </row>
    <row r="183" ht="18" spans="2:28">
      <c r="B183" s="18" t="s">
        <v>396</v>
      </c>
      <c r="C183" s="473">
        <v>95540.75</v>
      </c>
      <c r="D183" s="469">
        <v>12</v>
      </c>
      <c r="E183" s="470">
        <f t="shared" si="160"/>
        <v>1146489</v>
      </c>
      <c r="G183" s="474">
        <f t="shared" ref="G183:G185" si="177">6123.26*12</f>
        <v>73479.12</v>
      </c>
      <c r="I183" s="470">
        <f t="shared" si="161"/>
        <v>1073009.88</v>
      </c>
      <c r="J183" s="470">
        <v>200000</v>
      </c>
      <c r="K183" s="470">
        <v>0.2</v>
      </c>
      <c r="L183" s="470">
        <f t="shared" si="162"/>
        <v>214601.976</v>
      </c>
      <c r="M183" s="470">
        <f t="shared" si="163"/>
        <v>414601.976</v>
      </c>
      <c r="N183" s="470">
        <f t="shared" si="164"/>
        <v>488081.096</v>
      </c>
      <c r="O183" s="470">
        <f t="shared" si="165"/>
        <v>658407.904</v>
      </c>
      <c r="P183" s="470">
        <f t="shared" si="166"/>
        <v>21000</v>
      </c>
      <c r="Q183" s="470">
        <f t="shared" si="167"/>
        <v>33000</v>
      </c>
      <c r="R183" s="470">
        <f t="shared" si="168"/>
        <v>8761.1856</v>
      </c>
      <c r="S183" s="470">
        <f t="shared" si="169"/>
        <v>0</v>
      </c>
      <c r="T183" s="470">
        <f t="shared" si="170"/>
        <v>0</v>
      </c>
      <c r="V183" s="470">
        <f t="shared" si="172"/>
        <v>62761.1856</v>
      </c>
      <c r="W183" s="471">
        <v>12</v>
      </c>
      <c r="X183" s="470">
        <f t="shared" si="173"/>
        <v>5230.0988</v>
      </c>
      <c r="Z183" s="470">
        <f t="shared" si="174"/>
        <v>5230.0988</v>
      </c>
      <c r="AA183" s="473">
        <v>2708.91364066667</v>
      </c>
      <c r="AB183" s="473">
        <f t="shared" si="175"/>
        <v>2521.18515933333</v>
      </c>
    </row>
    <row r="184" ht="18" spans="2:28">
      <c r="B184" s="18" t="s">
        <v>399</v>
      </c>
      <c r="C184" s="473">
        <v>95540.75</v>
      </c>
      <c r="D184" s="469">
        <v>12</v>
      </c>
      <c r="E184" s="470">
        <f t="shared" si="160"/>
        <v>1146489</v>
      </c>
      <c r="G184" s="474">
        <f t="shared" si="177"/>
        <v>73479.12</v>
      </c>
      <c r="I184" s="470">
        <f t="shared" si="161"/>
        <v>1073009.88</v>
      </c>
      <c r="J184" s="470">
        <v>200000</v>
      </c>
      <c r="K184" s="470">
        <v>0.2</v>
      </c>
      <c r="L184" s="470">
        <f t="shared" si="162"/>
        <v>214601.976</v>
      </c>
      <c r="M184" s="470">
        <f t="shared" si="163"/>
        <v>414601.976</v>
      </c>
      <c r="N184" s="470">
        <f t="shared" si="164"/>
        <v>488081.096</v>
      </c>
      <c r="O184" s="470">
        <f t="shared" si="165"/>
        <v>658407.904</v>
      </c>
      <c r="P184" s="470">
        <f t="shared" si="166"/>
        <v>21000</v>
      </c>
      <c r="Q184" s="470">
        <f t="shared" si="167"/>
        <v>33000</v>
      </c>
      <c r="R184" s="470">
        <f t="shared" si="168"/>
        <v>8761.1856</v>
      </c>
      <c r="S184" s="470">
        <f t="shared" si="169"/>
        <v>0</v>
      </c>
      <c r="T184" s="470">
        <f t="shared" si="170"/>
        <v>0</v>
      </c>
      <c r="V184" s="470">
        <f t="shared" si="172"/>
        <v>62761.1856</v>
      </c>
      <c r="W184" s="471">
        <v>12</v>
      </c>
      <c r="X184" s="470">
        <f t="shared" si="173"/>
        <v>5230.0988</v>
      </c>
      <c r="Z184" s="470">
        <f t="shared" si="174"/>
        <v>5230.0988</v>
      </c>
      <c r="AA184" s="473">
        <v>2708.91364066667</v>
      </c>
      <c r="AB184" s="473">
        <f t="shared" si="175"/>
        <v>2521.18515933333</v>
      </c>
    </row>
    <row r="185" ht="18" spans="2:28">
      <c r="B185" s="18" t="s">
        <v>400</v>
      </c>
      <c r="C185" s="473">
        <v>80195.93</v>
      </c>
      <c r="D185" s="469">
        <v>12</v>
      </c>
      <c r="E185" s="470">
        <f t="shared" si="160"/>
        <v>962351.16</v>
      </c>
      <c r="G185" s="474">
        <f t="shared" si="177"/>
        <v>73479.12</v>
      </c>
      <c r="I185" s="470">
        <f t="shared" si="161"/>
        <v>888872.04</v>
      </c>
      <c r="J185" s="470">
        <v>200000</v>
      </c>
      <c r="K185" s="470">
        <v>0.2</v>
      </c>
      <c r="L185" s="470">
        <f t="shared" si="162"/>
        <v>177774.408</v>
      </c>
      <c r="M185" s="470">
        <f t="shared" si="163"/>
        <v>377774.408</v>
      </c>
      <c r="N185" s="470">
        <f t="shared" si="164"/>
        <v>451253.528</v>
      </c>
      <c r="O185" s="470">
        <f t="shared" si="165"/>
        <v>511097.632</v>
      </c>
      <c r="P185" s="470">
        <f t="shared" si="166"/>
        <v>21000</v>
      </c>
      <c r="Q185" s="470">
        <f t="shared" si="167"/>
        <v>23220.73952</v>
      </c>
      <c r="R185" s="470">
        <f t="shared" si="168"/>
        <v>0</v>
      </c>
      <c r="S185" s="470">
        <f t="shared" si="169"/>
        <v>0</v>
      </c>
      <c r="T185" s="470">
        <f t="shared" si="170"/>
        <v>0</v>
      </c>
      <c r="V185" s="470">
        <f t="shared" si="172"/>
        <v>44220.73952</v>
      </c>
      <c r="W185" s="471">
        <v>12</v>
      </c>
      <c r="X185" s="470">
        <f t="shared" si="173"/>
        <v>3685.06162666667</v>
      </c>
      <c r="Z185" s="470">
        <f t="shared" si="174"/>
        <v>3685.06162666667</v>
      </c>
      <c r="AA185" s="473">
        <v>2708.91364066667</v>
      </c>
      <c r="AB185" s="473">
        <f t="shared" si="175"/>
        <v>976.147985999996</v>
      </c>
    </row>
    <row r="186" ht="18" spans="2:28">
      <c r="B186" s="484" t="s">
        <v>401</v>
      </c>
      <c r="C186" s="473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70">
        <v>200000</v>
      </c>
      <c r="K186" s="470">
        <v>0.2</v>
      </c>
      <c r="L186" s="470">
        <f t="shared" si="162"/>
        <v>243797.52</v>
      </c>
      <c r="M186" s="470">
        <f t="shared" si="163"/>
        <v>443797.52</v>
      </c>
      <c r="N186" s="470">
        <f t="shared" si="164"/>
        <v>526839.92</v>
      </c>
      <c r="O186" s="470">
        <f t="shared" si="165"/>
        <v>775190.08</v>
      </c>
      <c r="P186" s="470">
        <f t="shared" si="166"/>
        <v>21000</v>
      </c>
      <c r="Q186" s="470">
        <f t="shared" si="167"/>
        <v>33000</v>
      </c>
      <c r="R186" s="470">
        <f t="shared" si="168"/>
        <v>26278.512</v>
      </c>
      <c r="S186" s="470">
        <f t="shared" si="169"/>
        <v>0</v>
      </c>
      <c r="T186" s="470">
        <f t="shared" si="170"/>
        <v>0</v>
      </c>
      <c r="V186" s="470">
        <f t="shared" si="172"/>
        <v>80278.512</v>
      </c>
      <c r="W186" s="471">
        <v>12</v>
      </c>
      <c r="X186" s="470">
        <f t="shared" si="173"/>
        <v>6689.876</v>
      </c>
      <c r="Z186" s="470">
        <f t="shared" si="174"/>
        <v>6689.876</v>
      </c>
      <c r="AA186" s="473">
        <v>3511.79662266667</v>
      </c>
      <c r="AB186" s="473">
        <f t="shared" si="175"/>
        <v>3178.07937733333</v>
      </c>
    </row>
    <row r="187" ht="18" spans="2:28">
      <c r="B187" s="484" t="s">
        <v>404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490">
        <v>12</v>
      </c>
      <c r="X187" s="486">
        <f t="shared" si="173"/>
        <v>6689.876</v>
      </c>
      <c r="Z187" s="486">
        <f t="shared" si="174"/>
        <v>6689.876</v>
      </c>
      <c r="AA187" s="473">
        <v>3511.79662266667</v>
      </c>
      <c r="AB187" s="473">
        <f t="shared" si="175"/>
        <v>3178.07937733333</v>
      </c>
    </row>
    <row r="188" ht="35.25" customHeight="1" spans="2:28">
      <c r="B188" s="8" t="s">
        <v>1011</v>
      </c>
      <c r="C188" s="617">
        <f t="shared" ref="C188:G188" si="178">SUM(C6:C187)</f>
        <v>82001705.4378</v>
      </c>
      <c r="D188" s="618"/>
      <c r="E188" s="475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141644333.019677</v>
      </c>
      <c r="W188" s="619"/>
      <c r="X188" s="619">
        <f t="shared" si="179"/>
        <v>11803694.4183064</v>
      </c>
      <c r="Y188" s="619"/>
      <c r="Z188" s="619">
        <f t="shared" si="179"/>
        <v>11803694.4183064</v>
      </c>
      <c r="AA188" s="620"/>
      <c r="AB188" s="620"/>
    </row>
    <row r="189" ht="26.25" customHeight="1" spans="2:28">
      <c r="B189" s="30" t="s">
        <v>1012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11803694.4183064</v>
      </c>
      <c r="W189" s="618"/>
      <c r="X189" s="618"/>
      <c r="Y189" s="618"/>
      <c r="Z189" s="618"/>
      <c r="AA189" s="620"/>
      <c r="AB189" s="620"/>
    </row>
    <row r="190" ht="17.5" spans="2:28">
      <c r="B190" s="33"/>
      <c r="C190" s="473"/>
      <c r="F190" s="500"/>
    </row>
    <row r="191" ht="13" spans="2:28">
      <c r="F191" s="501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11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1013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1:11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16</v>
      </c>
    </row>
    <row r="5" s="1" customFormat="1" ht="17.25" customHeight="1" spans="1:11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 t="s">
        <v>21</v>
      </c>
      <c r="K5" s="82" t="s">
        <v>21</v>
      </c>
    </row>
    <row r="6" s="1" customFormat="1" ht="36" customHeight="1" spans="1:11">
      <c r="A6" s="10" t="s">
        <v>1014</v>
      </c>
      <c r="B6" s="14" t="s">
        <v>300</v>
      </c>
      <c r="C6" s="4" t="s">
        <v>907</v>
      </c>
      <c r="D6" s="10" t="s">
        <v>29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1015</v>
      </c>
      <c r="B7" s="14" t="s">
        <v>300</v>
      </c>
      <c r="C7" s="4" t="s">
        <v>1016</v>
      </c>
      <c r="D7" s="10" t="s">
        <v>511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120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1017</v>
      </c>
      <c r="B10" s="11" t="s">
        <v>206</v>
      </c>
      <c r="C10" s="4" t="s">
        <v>1018</v>
      </c>
      <c r="D10" s="10" t="s">
        <v>143</v>
      </c>
      <c r="E10" s="680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1019</v>
      </c>
      <c r="B12" s="14" t="s">
        <v>165</v>
      </c>
      <c r="C12" s="4" t="s">
        <v>145</v>
      </c>
      <c r="D12" s="10" t="s">
        <v>50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1020</v>
      </c>
      <c r="B13" s="14" t="s">
        <v>165</v>
      </c>
      <c r="C13" s="4" t="s">
        <v>1021</v>
      </c>
      <c r="D13" s="10" t="s">
        <v>36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120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workbookViewId="0">
      <selection activeCell="A1" sqref="A1:J5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1">
      <c r="A1" s="752" t="s">
        <v>546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1">
      <c r="A2" s="752" t="s">
        <v>1022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1">
      <c r="A3" s="753"/>
      <c r="B3" s="753"/>
      <c r="C3" s="753"/>
      <c r="D3" s="753"/>
      <c r="E3" s="753"/>
      <c r="F3" s="753"/>
      <c r="G3" s="753"/>
      <c r="H3" s="753"/>
      <c r="I3" s="784"/>
      <c r="J3" s="784"/>
    </row>
    <row r="4" ht="56" spans="1:11">
      <c r="A4" s="754" t="s">
        <v>548</v>
      </c>
      <c r="B4" s="754" t="s">
        <v>549</v>
      </c>
      <c r="C4" s="754" t="s">
        <v>550</v>
      </c>
      <c r="D4" s="754" t="s">
        <v>551</v>
      </c>
      <c r="E4" s="754" t="s">
        <v>552</v>
      </c>
      <c r="F4" s="754" t="s">
        <v>675</v>
      </c>
      <c r="G4" s="754" t="s">
        <v>676</v>
      </c>
      <c r="H4" s="755" t="s">
        <v>555</v>
      </c>
      <c r="I4" s="785" t="s">
        <v>557</v>
      </c>
      <c r="J4" s="754" t="s">
        <v>558</v>
      </c>
    </row>
    <row r="5" ht="14" spans="1:11">
      <c r="A5" s="754"/>
      <c r="B5" s="754"/>
      <c r="C5" s="754"/>
      <c r="D5" s="754"/>
      <c r="E5" s="754"/>
      <c r="F5" s="756" t="s">
        <v>21</v>
      </c>
      <c r="G5" s="756" t="s">
        <v>21</v>
      </c>
      <c r="H5" s="756" t="s">
        <v>21</v>
      </c>
      <c r="I5" s="756"/>
      <c r="J5" s="756" t="s">
        <v>21</v>
      </c>
    </row>
    <row r="6" ht="35.1" customHeight="1" spans="1:11">
      <c r="A6" s="757">
        <v>1</v>
      </c>
      <c r="B6" s="758" t="s">
        <v>988</v>
      </c>
      <c r="C6" s="759" t="s">
        <v>678</v>
      </c>
      <c r="D6" s="1201" t="s">
        <v>705</v>
      </c>
      <c r="E6" s="1202" t="s">
        <v>700</v>
      </c>
      <c r="F6" s="762">
        <f>511804.92</f>
        <v>511804.92</v>
      </c>
      <c r="G6" s="787">
        <f t="shared" ref="G6:G9" si="0">582118+80000</f>
        <v>662118</v>
      </c>
      <c r="H6" s="788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1">
      <c r="A7" s="757">
        <v>2</v>
      </c>
      <c r="B7" s="789" t="s">
        <v>989</v>
      </c>
      <c r="C7" s="765" t="s">
        <v>678</v>
      </c>
      <c r="D7" s="1202" t="s">
        <v>1023</v>
      </c>
      <c r="E7" s="1202" t="s">
        <v>1024</v>
      </c>
      <c r="F7" s="762">
        <v>610498</v>
      </c>
      <c r="G7" s="787">
        <f>582118+160000</f>
        <v>742118</v>
      </c>
      <c r="H7" s="788">
        <f t="shared" si="1"/>
        <v>131620</v>
      </c>
      <c r="I7" s="765">
        <v>4</v>
      </c>
      <c r="J7" s="768">
        <f t="shared" si="2"/>
        <v>526480</v>
      </c>
    </row>
    <row r="8" ht="35.1" customHeight="1" spans="1:11">
      <c r="A8" s="757">
        <v>3</v>
      </c>
      <c r="B8" s="758" t="s">
        <v>990</v>
      </c>
      <c r="C8" s="765" t="s">
        <v>678</v>
      </c>
      <c r="D8" s="1202" t="s">
        <v>1025</v>
      </c>
      <c r="E8" s="1202" t="s">
        <v>1024</v>
      </c>
      <c r="F8" s="762">
        <v>554373.75</v>
      </c>
      <c r="G8" s="787">
        <f t="shared" si="0"/>
        <v>662118</v>
      </c>
      <c r="H8" s="788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1">
      <c r="A9" s="757">
        <v>4</v>
      </c>
      <c r="B9" s="758" t="s">
        <v>991</v>
      </c>
      <c r="C9" s="765" t="s">
        <v>1026</v>
      </c>
      <c r="D9" s="1202" t="s">
        <v>1025</v>
      </c>
      <c r="E9" s="1202" t="s">
        <v>1024</v>
      </c>
      <c r="F9" s="762">
        <v>554374.75</v>
      </c>
      <c r="G9" s="787">
        <f t="shared" si="0"/>
        <v>662118</v>
      </c>
      <c r="H9" s="788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992</v>
      </c>
      <c r="C10" s="765" t="s">
        <v>1026</v>
      </c>
      <c r="D10" s="1202" t="s">
        <v>1027</v>
      </c>
      <c r="E10" s="1202" t="s">
        <v>1028</v>
      </c>
      <c r="F10" s="762">
        <v>121145.75</v>
      </c>
      <c r="G10" s="790">
        <v>189814.166666667</v>
      </c>
      <c r="H10" s="788">
        <f t="shared" si="1"/>
        <v>68668.416666667</v>
      </c>
      <c r="I10" s="765">
        <v>0</v>
      </c>
      <c r="J10" s="768">
        <f t="shared" si="2"/>
        <v>0</v>
      </c>
      <c r="K10" s="791" t="s">
        <v>1029</v>
      </c>
    </row>
    <row r="11" ht="35.1" customHeight="1" spans="1:11">
      <c r="A11" s="757">
        <v>6</v>
      </c>
      <c r="B11" s="792" t="s">
        <v>338</v>
      </c>
      <c r="C11" s="765" t="s">
        <v>1026</v>
      </c>
      <c r="D11" s="760" t="s">
        <v>945</v>
      </c>
      <c r="E11" s="1202" t="s">
        <v>1030</v>
      </c>
      <c r="F11" s="762">
        <v>120000</v>
      </c>
      <c r="G11" s="790">
        <f>255849+60000</f>
        <v>315849</v>
      </c>
      <c r="H11" s="788">
        <f t="shared" si="1"/>
        <v>195849</v>
      </c>
      <c r="I11" s="765">
        <v>8</v>
      </c>
      <c r="J11" s="768">
        <f t="shared" si="2"/>
        <v>1566792</v>
      </c>
    </row>
    <row r="12" ht="35.1" customHeight="1" spans="1:11">
      <c r="A12" s="757">
        <v>7</v>
      </c>
      <c r="B12" s="758" t="s">
        <v>993</v>
      </c>
      <c r="C12" s="765" t="s">
        <v>1026</v>
      </c>
      <c r="D12" s="1202" t="s">
        <v>1031</v>
      </c>
      <c r="E12" s="1202" t="s">
        <v>1032</v>
      </c>
      <c r="F12" s="762">
        <v>368901.5</v>
      </c>
      <c r="G12" s="787">
        <v>413512.5</v>
      </c>
      <c r="H12" s="788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1">
      <c r="A13" s="757">
        <v>8</v>
      </c>
      <c r="B13" s="758" t="s">
        <v>994</v>
      </c>
      <c r="C13" s="765" t="s">
        <v>1026</v>
      </c>
      <c r="D13" s="1202" t="s">
        <v>1033</v>
      </c>
      <c r="E13" s="1202" t="s">
        <v>1032</v>
      </c>
      <c r="F13" s="762">
        <v>376837.416666667</v>
      </c>
      <c r="G13" s="787">
        <v>413512.5</v>
      </c>
      <c r="H13" s="788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1">
      <c r="A14" s="757">
        <v>9</v>
      </c>
      <c r="B14" s="793" t="s">
        <v>995</v>
      </c>
      <c r="C14" s="765" t="s">
        <v>1026</v>
      </c>
      <c r="D14" s="1202" t="s">
        <v>1034</v>
      </c>
      <c r="E14" s="1202" t="s">
        <v>711</v>
      </c>
      <c r="F14" s="762">
        <v>450086.5</v>
      </c>
      <c r="G14" s="787">
        <v>510248.916666667</v>
      </c>
      <c r="H14" s="788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1">
      <c r="A15" s="757">
        <v>10</v>
      </c>
      <c r="B15" s="758" t="s">
        <v>996</v>
      </c>
      <c r="C15" s="765" t="s">
        <v>1026</v>
      </c>
      <c r="D15" s="1202" t="s">
        <v>1034</v>
      </c>
      <c r="E15" s="1202" t="s">
        <v>711</v>
      </c>
      <c r="F15" s="794">
        <v>450086.5</v>
      </c>
      <c r="G15" s="795">
        <v>510248.916666667</v>
      </c>
      <c r="H15" s="788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1">
      <c r="A16" s="757">
        <v>11</v>
      </c>
      <c r="B16" s="758" t="s">
        <v>997</v>
      </c>
      <c r="C16" s="765" t="s">
        <v>1035</v>
      </c>
      <c r="D16" s="1202" t="s">
        <v>1023</v>
      </c>
      <c r="E16" s="1202" t="s">
        <v>1024</v>
      </c>
      <c r="F16" s="762">
        <v>610498</v>
      </c>
      <c r="G16" s="787">
        <v>742118</v>
      </c>
      <c r="H16" s="788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307</v>
      </c>
      <c r="C17" s="765" t="s">
        <v>1035</v>
      </c>
      <c r="D17" s="1202" t="s">
        <v>1025</v>
      </c>
      <c r="E17" s="1202" t="s">
        <v>1024</v>
      </c>
      <c r="F17" s="762">
        <v>554373.75</v>
      </c>
      <c r="G17" s="787">
        <v>662118</v>
      </c>
      <c r="H17" s="788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998</v>
      </c>
      <c r="C18" s="765" t="s">
        <v>1035</v>
      </c>
      <c r="D18" s="1202" t="s">
        <v>1034</v>
      </c>
      <c r="E18" s="1202" t="s">
        <v>711</v>
      </c>
      <c r="F18" s="762">
        <v>450086.5</v>
      </c>
      <c r="G18" s="787">
        <v>510248.916666667</v>
      </c>
      <c r="H18" s="788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92" t="s">
        <v>999</v>
      </c>
      <c r="C19" s="765" t="s">
        <v>1036</v>
      </c>
      <c r="D19" s="1202" t="s">
        <v>1037</v>
      </c>
      <c r="E19" s="1202" t="s">
        <v>1038</v>
      </c>
      <c r="F19" s="762">
        <v>548915.916666667</v>
      </c>
      <c r="G19" s="787">
        <v>582746.5</v>
      </c>
      <c r="H19" s="788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92" t="s">
        <v>1000</v>
      </c>
      <c r="C20" s="765" t="s">
        <v>1036</v>
      </c>
      <c r="D20" s="1202" t="s">
        <v>1031</v>
      </c>
      <c r="E20" s="1202" t="s">
        <v>1032</v>
      </c>
      <c r="F20" s="762">
        <v>368901.5</v>
      </c>
      <c r="G20" s="787">
        <v>413512.5</v>
      </c>
      <c r="H20" s="788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6">
        <v>16</v>
      </c>
      <c r="B21" s="792" t="s">
        <v>1002</v>
      </c>
      <c r="C21" s="797" t="s">
        <v>722</v>
      </c>
      <c r="D21" s="1203" t="s">
        <v>1031</v>
      </c>
      <c r="E21" s="1203" t="s">
        <v>1032</v>
      </c>
      <c r="F21" s="799">
        <v>408901.5</v>
      </c>
      <c r="G21" s="800">
        <f>353512.5+110000</f>
        <v>463512.5</v>
      </c>
      <c r="H21" s="801">
        <f t="shared" si="1"/>
        <v>54611</v>
      </c>
      <c r="I21" s="797">
        <v>12</v>
      </c>
      <c r="J21" s="802">
        <f t="shared" si="2"/>
        <v>655332</v>
      </c>
    </row>
    <row r="22" ht="35.1" customHeight="1" spans="1:10">
      <c r="A22" s="757">
        <v>17</v>
      </c>
      <c r="B22" s="758" t="s">
        <v>1003</v>
      </c>
      <c r="C22" s="765" t="s">
        <v>1039</v>
      </c>
      <c r="D22" s="1202" t="s">
        <v>1040</v>
      </c>
      <c r="E22" s="1202" t="s">
        <v>1028</v>
      </c>
      <c r="F22" s="762">
        <v>102926.916666667</v>
      </c>
      <c r="G22" s="787">
        <v>189814.166666667</v>
      </c>
      <c r="H22" s="788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193</v>
      </c>
      <c r="C23" s="765" t="s">
        <v>1041</v>
      </c>
      <c r="D23" s="1202" t="s">
        <v>1034</v>
      </c>
      <c r="E23" s="1202" t="s">
        <v>711</v>
      </c>
      <c r="F23" s="762">
        <v>450086.5</v>
      </c>
      <c r="G23" s="787">
        <v>510248.916666667</v>
      </c>
      <c r="H23" s="788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803" t="s">
        <v>120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:10">
      <c r="J29" s="805"/>
    </row>
    <row r="30" spans="1:10">
      <c r="J30" s="805"/>
    </row>
    <row r="32" spans="1:10">
      <c r="J32" s="402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694</v>
      </c>
      <c r="AA4" s="466"/>
      <c r="AB4" s="466" t="s">
        <v>883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 t="shared" ref="E6:E32" si="0">C6*D6</f>
        <v>23219834.004</v>
      </c>
      <c r="F6" s="470"/>
      <c r="G6" s="470"/>
      <c r="H6" s="470"/>
      <c r="I6" s="470">
        <f t="shared" ref="I6:I32" si="1">E6-F6-G6-H6</f>
        <v>23219834.004</v>
      </c>
      <c r="J6" s="470">
        <v>200000</v>
      </c>
      <c r="K6" s="470">
        <v>0.2</v>
      </c>
      <c r="L6" s="470">
        <f t="shared" ref="L6:L32" si="2">I6*K6</f>
        <v>4643966.8008</v>
      </c>
      <c r="M6" s="470">
        <f t="shared" ref="M6:M32" si="3">J6+L6</f>
        <v>4843966.8008</v>
      </c>
      <c r="N6" s="470">
        <f t="shared" ref="N6:N32" si="4">F6+G6+H6+M6</f>
        <v>4843966.8008</v>
      </c>
      <c r="O6" s="470">
        <f t="shared" ref="O6:O32" si="5">E6-N6</f>
        <v>18375867.2032</v>
      </c>
      <c r="P6" s="470">
        <f t="shared" ref="P6:P32" si="6">IF(O6&lt;300000,0.07*O6,21000)</f>
        <v>21000</v>
      </c>
      <c r="Q6" s="470">
        <f t="shared" ref="Q6:Q32" si="7">IF((O6-300000)&lt;0,0,IF((O6-300000)&lt;300000,0.11*(O6-300000),33000))</f>
        <v>33000</v>
      </c>
      <c r="R6" s="470">
        <f t="shared" ref="R6:R32" si="8">IF((O6-600000)&lt;0,0,IF((O6-600000)&lt;500000,0.15*(O6-600000),75000))</f>
        <v>75000</v>
      </c>
      <c r="S6" s="470">
        <f t="shared" ref="S6:S32" si="9">IF((O6-1100000)&lt;0,0,IF((O6-1100000)&lt;500000,0.19*(O6-1100000),95000))</f>
        <v>95000</v>
      </c>
      <c r="T6" s="470">
        <f t="shared" ref="T6:T32" si="10">IF((O6-1600000)&lt;0,0,IF((O6-1600000)&lt;1600000,0.21*(O6-1600000),336000))</f>
        <v>336000</v>
      </c>
      <c r="U6" s="470">
        <f t="shared" ref="U6:U23" si="11">24%*(O6-3200000)</f>
        <v>3642208.128768</v>
      </c>
      <c r="V6" s="470">
        <f t="shared" ref="V6:V32" si="12">P6+Q6+R6+S6+T6+U6</f>
        <v>4202208.128768</v>
      </c>
      <c r="W6" s="471">
        <v>12</v>
      </c>
      <c r="X6" s="470">
        <f t="shared" ref="X6:X32" si="13">V6/W6</f>
        <v>350184.010730667</v>
      </c>
      <c r="Y6" s="470"/>
      <c r="Z6" s="470">
        <f t="shared" ref="Z6:Z32" si="14">X6</f>
        <v>350184.010730667</v>
      </c>
      <c r="AA6" s="473">
        <v>201165.835946667</v>
      </c>
      <c r="AB6" s="473">
        <f t="shared" ref="AB6:AB32" si="15"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f>852373.166666667+100000</f>
        <v>952373.166666667</v>
      </c>
      <c r="D7" s="469">
        <v>12</v>
      </c>
      <c r="E7" s="470">
        <f t="shared" si="0"/>
        <v>11428478</v>
      </c>
      <c r="F7" s="470"/>
      <c r="G7" s="470">
        <v>731878.24</v>
      </c>
      <c r="H7" s="470"/>
      <c r="I7" s="470">
        <f t="shared" si="1"/>
        <v>10696599.76</v>
      </c>
      <c r="J7" s="470">
        <v>200000</v>
      </c>
      <c r="K7" s="470">
        <v>0.2</v>
      </c>
      <c r="L7" s="470">
        <f t="shared" si="2"/>
        <v>2139319.952</v>
      </c>
      <c r="M7" s="470">
        <f t="shared" si="3"/>
        <v>2339319.952</v>
      </c>
      <c r="N7" s="470">
        <f t="shared" si="4"/>
        <v>3071198.192</v>
      </c>
      <c r="O7" s="470">
        <f t="shared" si="5"/>
        <v>8357279.808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1237747.15392</v>
      </c>
      <c r="V7" s="470">
        <f t="shared" si="12"/>
        <v>1797747.15392</v>
      </c>
      <c r="W7" s="471">
        <v>12</v>
      </c>
      <c r="X7" s="470">
        <f t="shared" si="13"/>
        <v>149812.262826667</v>
      </c>
      <c r="Y7" s="470"/>
      <c r="Z7" s="470">
        <f t="shared" si="14"/>
        <v>149812.262826667</v>
      </c>
      <c r="AA7" s="473">
        <v>82627.9514186667</v>
      </c>
      <c r="AB7" s="473">
        <f t="shared" si="15"/>
        <v>67184.311408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f>1052373.16666667+100000</f>
        <v>1152373.16666667</v>
      </c>
      <c r="D8" s="469">
        <v>12</v>
      </c>
      <c r="E8" s="470">
        <f t="shared" si="0"/>
        <v>13828478</v>
      </c>
      <c r="F8" s="470"/>
      <c r="G8" s="470">
        <v>0</v>
      </c>
      <c r="H8" s="470"/>
      <c r="I8" s="470">
        <f t="shared" si="1"/>
        <v>13828478</v>
      </c>
      <c r="J8" s="470">
        <v>200000</v>
      </c>
      <c r="K8" s="470">
        <v>0.2</v>
      </c>
      <c r="L8" s="470">
        <f t="shared" si="2"/>
        <v>2765695.60000001</v>
      </c>
      <c r="M8" s="470">
        <f t="shared" si="3"/>
        <v>2965695.60000001</v>
      </c>
      <c r="N8" s="470">
        <f t="shared" si="4"/>
        <v>2965695.60000001</v>
      </c>
      <c r="O8" s="470">
        <f t="shared" si="5"/>
        <v>10862782.4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1839067.77600001</v>
      </c>
      <c r="V8" s="470">
        <f t="shared" si="12"/>
        <v>2399067.77600001</v>
      </c>
      <c r="W8" s="471">
        <v>12</v>
      </c>
      <c r="X8" s="470">
        <f t="shared" si="13"/>
        <v>199922.314666667</v>
      </c>
      <c r="Y8" s="470"/>
      <c r="Z8" s="470">
        <f t="shared" si="14"/>
        <v>199922.314666667</v>
      </c>
      <c r="AA8" s="473">
        <v>121027.951418667</v>
      </c>
      <c r="AB8" s="473">
        <f t="shared" si="15"/>
        <v>78894.3632480003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0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1"/>
        <v>10563803.809</v>
      </c>
      <c r="J9" s="470">
        <v>200000</v>
      </c>
      <c r="K9" s="470">
        <v>0.2</v>
      </c>
      <c r="L9" s="470">
        <f t="shared" si="2"/>
        <v>2112760.7618</v>
      </c>
      <c r="M9" s="470">
        <f t="shared" si="3"/>
        <v>2312760.7618</v>
      </c>
      <c r="N9" s="470">
        <f t="shared" si="4"/>
        <v>3057434.9528</v>
      </c>
      <c r="O9" s="470">
        <f t="shared" si="5"/>
        <v>8251043.0472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1212250.331328</v>
      </c>
      <c r="V9" s="470">
        <f t="shared" si="12"/>
        <v>1772250.331328</v>
      </c>
      <c r="W9" s="471">
        <v>12</v>
      </c>
      <c r="X9" s="470">
        <f t="shared" si="13"/>
        <v>147687.527610667</v>
      </c>
      <c r="Y9" s="470"/>
      <c r="Z9" s="470">
        <f t="shared" si="14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300</v>
      </c>
      <c r="C10" s="615">
        <v>1300519.22</v>
      </c>
      <c r="D10" s="469">
        <v>12</v>
      </c>
      <c r="E10" s="470">
        <f t="shared" si="0"/>
        <v>15606230.64</v>
      </c>
      <c r="F10" s="470">
        <f>'[6]JANUARY 2024'!$V$10*12</f>
        <v>12795.951</v>
      </c>
      <c r="G10" s="470">
        <v>731878.24</v>
      </c>
      <c r="H10" s="470"/>
      <c r="I10" s="470">
        <f t="shared" si="1"/>
        <v>14861556.449</v>
      </c>
      <c r="J10" s="470">
        <v>200000</v>
      </c>
      <c r="K10" s="470">
        <v>0.2</v>
      </c>
      <c r="L10" s="470">
        <f t="shared" si="2"/>
        <v>2972311.2898</v>
      </c>
      <c r="M10" s="470">
        <f t="shared" si="3"/>
        <v>3172311.2898</v>
      </c>
      <c r="N10" s="470">
        <f t="shared" si="4"/>
        <v>3916985.4808</v>
      </c>
      <c r="O10" s="470">
        <f t="shared" si="5"/>
        <v>11689245.1592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2037418.838208</v>
      </c>
      <c r="V10" s="470">
        <f t="shared" si="12"/>
        <v>2597418.838208</v>
      </c>
      <c r="W10" s="471">
        <v>12</v>
      </c>
      <c r="X10" s="470">
        <f t="shared" si="13"/>
        <v>216451.569850667</v>
      </c>
      <c r="Y10" s="470"/>
      <c r="Z10" s="470">
        <f t="shared" si="14"/>
        <v>216451.569850667</v>
      </c>
      <c r="AA10" s="473">
        <v>111223.216202667</v>
      </c>
      <c r="AB10" s="473">
        <f t="shared" si="15"/>
        <v>105228.353648</v>
      </c>
      <c r="AC10" s="473"/>
      <c r="AD10" s="473"/>
      <c r="AE10" s="473"/>
    </row>
    <row r="11" ht="18" spans="1:31">
      <c r="A11" s="467">
        <v>8</v>
      </c>
      <c r="B11" s="18" t="s">
        <v>908</v>
      </c>
      <c r="C11" s="468">
        <f>952373.166666667+100000</f>
        <v>1052373.16666667</v>
      </c>
      <c r="D11" s="469">
        <v>12</v>
      </c>
      <c r="E11" s="470">
        <f t="shared" si="0"/>
        <v>12628478</v>
      </c>
      <c r="F11" s="470"/>
      <c r="G11" s="470">
        <v>0</v>
      </c>
      <c r="H11" s="470"/>
      <c r="I11" s="470">
        <f t="shared" si="1"/>
        <v>12628478</v>
      </c>
      <c r="J11" s="470">
        <v>200000</v>
      </c>
      <c r="K11" s="470">
        <v>0.2</v>
      </c>
      <c r="L11" s="470">
        <f t="shared" si="2"/>
        <v>2525695.60000001</v>
      </c>
      <c r="M11" s="470">
        <f t="shared" si="3"/>
        <v>2725695.60000001</v>
      </c>
      <c r="N11" s="470">
        <f t="shared" si="4"/>
        <v>2725695.60000001</v>
      </c>
      <c r="O11" s="470">
        <f t="shared" si="5"/>
        <v>9902782.40000003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1608667.77600001</v>
      </c>
      <c r="V11" s="470">
        <f t="shared" si="12"/>
        <v>2168667.77600001</v>
      </c>
      <c r="W11" s="471">
        <v>12</v>
      </c>
      <c r="X11" s="470">
        <f t="shared" si="13"/>
        <v>180722.314666667</v>
      </c>
      <c r="Y11" s="470"/>
      <c r="Z11" s="470">
        <f t="shared" si="14"/>
        <v>180722.314666667</v>
      </c>
      <c r="AA11" s="473">
        <v>101827.951418667</v>
      </c>
      <c r="AB11" s="473">
        <f t="shared" si="15"/>
        <v>78894.3632480003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856034</v>
      </c>
      <c r="D12" s="469">
        <v>12</v>
      </c>
      <c r="E12" s="470">
        <f t="shared" si="0"/>
        <v>10272408</v>
      </c>
      <c r="F12" s="470">
        <f>10293.3979166667*12</f>
        <v>123520.775</v>
      </c>
      <c r="G12" s="470">
        <f>59136.2866666667*12</f>
        <v>709635.44</v>
      </c>
      <c r="H12" s="470"/>
      <c r="I12" s="470">
        <f t="shared" si="1"/>
        <v>9439251.785</v>
      </c>
      <c r="J12" s="470">
        <v>200000</v>
      </c>
      <c r="K12" s="470">
        <v>0.2</v>
      </c>
      <c r="L12" s="470">
        <f t="shared" si="2"/>
        <v>1887850.357</v>
      </c>
      <c r="M12" s="470">
        <f t="shared" si="3"/>
        <v>2087850.357</v>
      </c>
      <c r="N12" s="470">
        <f t="shared" si="4"/>
        <v>2921006.572</v>
      </c>
      <c r="O12" s="470">
        <f t="shared" si="5"/>
        <v>7351401.428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996336.34272</v>
      </c>
      <c r="V12" s="470">
        <f t="shared" si="12"/>
        <v>1556336.34272</v>
      </c>
      <c r="W12" s="471">
        <v>12</v>
      </c>
      <c r="X12" s="470">
        <f t="shared" si="13"/>
        <v>129694.695226667</v>
      </c>
      <c r="Y12" s="470"/>
      <c r="Z12" s="470">
        <f t="shared" si="14"/>
        <v>129694.695226667</v>
      </c>
      <c r="AA12" s="473">
        <v>74036.1031466667</v>
      </c>
      <c r="AB12" s="473">
        <f t="shared" si="15"/>
        <v>55658.5920799999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f>842118.083333333+100000</f>
        <v>942118.083333333</v>
      </c>
      <c r="D13" s="469">
        <v>12</v>
      </c>
      <c r="E13" s="470">
        <f t="shared" si="0"/>
        <v>11305417</v>
      </c>
      <c r="F13" s="470">
        <f>'[6]JANUARY 2024'!$V$14*12</f>
        <v>9305.952</v>
      </c>
      <c r="G13" s="470">
        <v>558833.36</v>
      </c>
      <c r="H13" s="470"/>
      <c r="I13" s="470">
        <f t="shared" si="1"/>
        <v>10737277.688</v>
      </c>
      <c r="J13" s="470">
        <v>200000</v>
      </c>
      <c r="K13" s="470">
        <v>0.2</v>
      </c>
      <c r="L13" s="470">
        <f t="shared" si="2"/>
        <v>2147455.5376</v>
      </c>
      <c r="M13" s="470">
        <f t="shared" si="3"/>
        <v>2347455.5376</v>
      </c>
      <c r="N13" s="470">
        <f t="shared" si="4"/>
        <v>2915594.8496</v>
      </c>
      <c r="O13" s="470">
        <f t="shared" si="5"/>
        <v>8389822.1504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1245557.316096</v>
      </c>
      <c r="V13" s="470">
        <f t="shared" si="12"/>
        <v>1805557.316096</v>
      </c>
      <c r="W13" s="471">
        <v>12</v>
      </c>
      <c r="X13" s="470">
        <f t="shared" si="13"/>
        <v>150463.109674667</v>
      </c>
      <c r="Y13" s="470"/>
      <c r="Z13" s="470">
        <f t="shared" si="14"/>
        <v>150463.109674667</v>
      </c>
      <c r="AA13" s="473">
        <v>94625.7820586667</v>
      </c>
      <c r="AB13" s="473">
        <f t="shared" si="15"/>
        <v>55837.3276159999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0"/>
        <v>6652485</v>
      </c>
      <c r="F14" s="470"/>
      <c r="G14" s="470">
        <v>464998.8</v>
      </c>
      <c r="H14" s="470"/>
      <c r="I14" s="470">
        <f t="shared" si="1"/>
        <v>6187486.2</v>
      </c>
      <c r="J14" s="470">
        <v>200000</v>
      </c>
      <c r="K14" s="470">
        <v>0.2</v>
      </c>
      <c r="L14" s="470">
        <f t="shared" si="2"/>
        <v>1237497.24</v>
      </c>
      <c r="M14" s="470">
        <f t="shared" si="3"/>
        <v>1437497.24</v>
      </c>
      <c r="N14" s="470">
        <f t="shared" si="4"/>
        <v>1902496.04</v>
      </c>
      <c r="O14" s="470">
        <f t="shared" si="5"/>
        <v>4749988.96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371997.3504</v>
      </c>
      <c r="V14" s="470">
        <f t="shared" si="12"/>
        <v>931997.3504</v>
      </c>
      <c r="W14" s="471">
        <v>12</v>
      </c>
      <c r="X14" s="470">
        <f t="shared" si="13"/>
        <v>77666.4458666667</v>
      </c>
      <c r="Y14" s="470"/>
      <c r="Z14" s="470">
        <f t="shared" si="14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f>660498</f>
        <v>660498</v>
      </c>
      <c r="D15" s="469">
        <v>12</v>
      </c>
      <c r="E15" s="470">
        <f t="shared" si="0"/>
        <v>7925976</v>
      </c>
      <c r="F15" s="470"/>
      <c r="G15" s="474">
        <v>451678.08</v>
      </c>
      <c r="H15" s="470"/>
      <c r="I15" s="470">
        <f t="shared" si="1"/>
        <v>7474297.92</v>
      </c>
      <c r="J15" s="470">
        <v>200000</v>
      </c>
      <c r="K15" s="470">
        <v>0.2</v>
      </c>
      <c r="L15" s="470">
        <f t="shared" si="2"/>
        <v>1494859.584</v>
      </c>
      <c r="M15" s="470">
        <f t="shared" si="3"/>
        <v>1694859.584</v>
      </c>
      <c r="N15" s="470">
        <f t="shared" si="4"/>
        <v>2146537.664</v>
      </c>
      <c r="O15" s="470">
        <f t="shared" si="5"/>
        <v>5779438.336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619065.20064</v>
      </c>
      <c r="V15" s="470">
        <f t="shared" si="12"/>
        <v>1179065.20064</v>
      </c>
      <c r="W15" s="471">
        <v>12</v>
      </c>
      <c r="X15" s="470">
        <f t="shared" si="13"/>
        <v>98255.4333866667</v>
      </c>
      <c r="Y15" s="470"/>
      <c r="Z15" s="470">
        <f t="shared" si="14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f>732746.5+100000</f>
        <v>832746.5</v>
      </c>
      <c r="D16" s="469">
        <v>12</v>
      </c>
      <c r="E16" s="470">
        <f t="shared" si="0"/>
        <v>9992958</v>
      </c>
      <c r="F16" s="470"/>
      <c r="G16" s="470">
        <v>425036.64</v>
      </c>
      <c r="H16" s="470"/>
      <c r="I16" s="470">
        <f t="shared" si="1"/>
        <v>9567921.36</v>
      </c>
      <c r="J16" s="470">
        <v>200000</v>
      </c>
      <c r="K16" s="470">
        <v>0.2</v>
      </c>
      <c r="L16" s="470">
        <f t="shared" si="2"/>
        <v>1913584.272</v>
      </c>
      <c r="M16" s="470">
        <f t="shared" si="3"/>
        <v>2113584.272</v>
      </c>
      <c r="N16" s="470">
        <f t="shared" si="4"/>
        <v>2538620.912</v>
      </c>
      <c r="O16" s="470">
        <f t="shared" si="5"/>
        <v>7454337.088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1021040.90112</v>
      </c>
      <c r="V16" s="470">
        <f t="shared" si="12"/>
        <v>1581040.90112</v>
      </c>
      <c r="W16" s="471">
        <v>12</v>
      </c>
      <c r="X16" s="470">
        <f t="shared" si="13"/>
        <v>131753.408426667</v>
      </c>
      <c r="Y16" s="470"/>
      <c r="Z16" s="470">
        <f t="shared" si="14"/>
        <v>131753.408426667</v>
      </c>
      <c r="AA16" s="473">
        <v>46666.6666666667</v>
      </c>
      <c r="AB16" s="473">
        <f t="shared" si="15"/>
        <v>85086.74176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0"/>
        <v>6141659</v>
      </c>
      <c r="F17" s="470"/>
      <c r="G17" s="470">
        <v>424132.72</v>
      </c>
      <c r="H17" s="470"/>
      <c r="I17" s="470">
        <f t="shared" si="1"/>
        <v>5717526.28</v>
      </c>
      <c r="J17" s="470">
        <v>200000</v>
      </c>
      <c r="K17" s="470">
        <v>0.2</v>
      </c>
      <c r="L17" s="470">
        <f t="shared" si="2"/>
        <v>1143505.256</v>
      </c>
      <c r="M17" s="470">
        <f t="shared" si="3"/>
        <v>1343505.256</v>
      </c>
      <c r="N17" s="470">
        <f t="shared" si="4"/>
        <v>1767637.976</v>
      </c>
      <c r="O17" s="470">
        <f t="shared" si="5"/>
        <v>4374021.024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281765.045760001</v>
      </c>
      <c r="V17" s="470">
        <f t="shared" si="12"/>
        <v>841765.045760001</v>
      </c>
      <c r="W17" s="471">
        <v>12</v>
      </c>
      <c r="X17" s="470">
        <f t="shared" si="13"/>
        <v>70147.0871466667</v>
      </c>
      <c r="Y17" s="470"/>
      <c r="Z17" s="470">
        <f t="shared" si="14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0"/>
        <v>6586991</v>
      </c>
      <c r="F18" s="470"/>
      <c r="G18" s="470">
        <v>411759.28</v>
      </c>
      <c r="H18" s="470"/>
      <c r="I18" s="470">
        <f t="shared" si="1"/>
        <v>6175231.72</v>
      </c>
      <c r="J18" s="470">
        <v>200000</v>
      </c>
      <c r="K18" s="470">
        <v>0.2</v>
      </c>
      <c r="L18" s="470">
        <f t="shared" si="2"/>
        <v>1235046.344</v>
      </c>
      <c r="M18" s="470">
        <f t="shared" si="3"/>
        <v>1435046.344</v>
      </c>
      <c r="N18" s="470">
        <f t="shared" si="4"/>
        <v>1846805.624</v>
      </c>
      <c r="O18" s="470">
        <f t="shared" si="5"/>
        <v>4740185.376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369644.490240001</v>
      </c>
      <c r="V18" s="470">
        <f t="shared" si="12"/>
        <v>929644.490240001</v>
      </c>
      <c r="W18" s="471">
        <v>12</v>
      </c>
      <c r="X18" s="470">
        <f t="shared" si="13"/>
        <v>77470.3741866667</v>
      </c>
      <c r="Y18" s="470"/>
      <c r="Z18" s="470">
        <f t="shared" si="14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f>636026.916666667+100000</f>
        <v>736026.916666667</v>
      </c>
      <c r="D19" s="469">
        <v>12</v>
      </c>
      <c r="E19" s="470">
        <f t="shared" si="0"/>
        <v>8832323</v>
      </c>
      <c r="F19" s="470">
        <f>618.53*12</f>
        <v>7422.36</v>
      </c>
      <c r="G19" s="470">
        <v>399385.84</v>
      </c>
      <c r="H19" s="470"/>
      <c r="I19" s="470">
        <f t="shared" si="1"/>
        <v>8425514.8</v>
      </c>
      <c r="J19" s="470">
        <v>200000</v>
      </c>
      <c r="K19" s="470">
        <v>0.2</v>
      </c>
      <c r="L19" s="470">
        <f t="shared" si="2"/>
        <v>1685102.96</v>
      </c>
      <c r="M19" s="470">
        <f t="shared" si="3"/>
        <v>1885102.96</v>
      </c>
      <c r="N19" s="470">
        <f t="shared" si="4"/>
        <v>2291911.16</v>
      </c>
      <c r="O19" s="470">
        <f t="shared" si="5"/>
        <v>6540411.84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801698.841600001</v>
      </c>
      <c r="V19" s="470">
        <f t="shared" si="12"/>
        <v>1361698.8416</v>
      </c>
      <c r="W19" s="471">
        <v>12</v>
      </c>
      <c r="X19" s="470">
        <f t="shared" si="13"/>
        <v>113474.903466667</v>
      </c>
      <c r="Y19" s="470"/>
      <c r="Z19" s="470">
        <f t="shared" si="14"/>
        <v>113474.903466667</v>
      </c>
      <c r="AA19" s="473">
        <v>46666.6666666667</v>
      </c>
      <c r="AB19" s="473">
        <f t="shared" si="15"/>
        <v>66808.2368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0"/>
        <v>6454742</v>
      </c>
      <c r="F20" s="470"/>
      <c r="G20" s="470">
        <v>362779.36</v>
      </c>
      <c r="H20" s="470"/>
      <c r="I20" s="470">
        <f t="shared" si="1"/>
        <v>6091962.64</v>
      </c>
      <c r="J20" s="470">
        <v>200000</v>
      </c>
      <c r="K20" s="470">
        <v>0.2</v>
      </c>
      <c r="L20" s="470">
        <f t="shared" si="2"/>
        <v>1218392.528</v>
      </c>
      <c r="M20" s="470">
        <f t="shared" si="3"/>
        <v>1418392.528</v>
      </c>
      <c r="N20" s="470">
        <f t="shared" si="4"/>
        <v>1781171.888</v>
      </c>
      <c r="O20" s="470">
        <f t="shared" si="5"/>
        <v>4673570.112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353656.826880001</v>
      </c>
      <c r="V20" s="470">
        <f t="shared" si="12"/>
        <v>913656.826880001</v>
      </c>
      <c r="W20" s="471">
        <v>12</v>
      </c>
      <c r="X20" s="470">
        <f t="shared" si="13"/>
        <v>76138.0689066667</v>
      </c>
      <c r="Y20" s="470"/>
      <c r="Z20" s="470">
        <f t="shared" si="14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f>553512.5+100000</f>
        <v>653512.5</v>
      </c>
      <c r="D21" s="469">
        <v>12</v>
      </c>
      <c r="E21" s="470">
        <f t="shared" si="0"/>
        <v>7842150</v>
      </c>
      <c r="F21" s="470"/>
      <c r="G21" s="470">
        <v>339372</v>
      </c>
      <c r="H21" s="470"/>
      <c r="I21" s="470">
        <f t="shared" si="1"/>
        <v>7502778</v>
      </c>
      <c r="J21" s="470">
        <v>200000</v>
      </c>
      <c r="K21" s="470">
        <v>0.2</v>
      </c>
      <c r="L21" s="470">
        <f t="shared" si="2"/>
        <v>1500555.6</v>
      </c>
      <c r="M21" s="470">
        <f t="shared" si="3"/>
        <v>1700555.6</v>
      </c>
      <c r="N21" s="470">
        <f t="shared" si="4"/>
        <v>2039927.6</v>
      </c>
      <c r="O21" s="470">
        <f t="shared" si="5"/>
        <v>5802222.4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624533.376</v>
      </c>
      <c r="V21" s="470">
        <f t="shared" si="12"/>
        <v>1184533.376</v>
      </c>
      <c r="W21" s="471">
        <v>12</v>
      </c>
      <c r="X21" s="470">
        <f t="shared" si="13"/>
        <v>98711.1146666667</v>
      </c>
      <c r="Y21" s="470"/>
      <c r="Z21" s="470">
        <f t="shared" si="14"/>
        <v>98711.1146666667</v>
      </c>
      <c r="AA21" s="473">
        <v>46666.6666666667</v>
      </c>
      <c r="AB21" s="473">
        <f t="shared" si="15"/>
        <v>52044.448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0"/>
        <v>5562150</v>
      </c>
      <c r="F22" s="470"/>
      <c r="G22" s="470">
        <v>339372</v>
      </c>
      <c r="H22" s="470"/>
      <c r="I22" s="470">
        <f t="shared" si="1"/>
        <v>5222778</v>
      </c>
      <c r="J22" s="470">
        <v>200000</v>
      </c>
      <c r="K22" s="470">
        <v>0.2</v>
      </c>
      <c r="L22" s="470">
        <f t="shared" si="2"/>
        <v>1044555.6</v>
      </c>
      <c r="M22" s="470">
        <f t="shared" si="3"/>
        <v>1244555.6</v>
      </c>
      <c r="N22" s="470">
        <f t="shared" si="4"/>
        <v>1583927.6</v>
      </c>
      <c r="O22" s="470">
        <f t="shared" si="5"/>
        <v>3978222.4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186773.376</v>
      </c>
      <c r="V22" s="470">
        <f t="shared" si="12"/>
        <v>746773.376</v>
      </c>
      <c r="W22" s="471">
        <v>12</v>
      </c>
      <c r="X22" s="470">
        <f t="shared" si="13"/>
        <v>62231.1146666667</v>
      </c>
      <c r="Y22" s="470"/>
      <c r="Z22" s="470">
        <f t="shared" si="14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f>453029.666666667+100000</f>
        <v>553029.666666667</v>
      </c>
      <c r="D23" s="469">
        <v>12</v>
      </c>
      <c r="E23" s="470">
        <f t="shared" si="0"/>
        <v>6636356</v>
      </c>
      <c r="F23" s="470"/>
      <c r="G23" s="470">
        <v>281308.48</v>
      </c>
      <c r="H23" s="470"/>
      <c r="I23" s="470">
        <f t="shared" si="1"/>
        <v>6355047.52</v>
      </c>
      <c r="J23" s="470">
        <v>200000</v>
      </c>
      <c r="K23" s="470">
        <v>0.2</v>
      </c>
      <c r="L23" s="470">
        <f t="shared" si="2"/>
        <v>1271009.504</v>
      </c>
      <c r="M23" s="470">
        <f t="shared" si="3"/>
        <v>1471009.504</v>
      </c>
      <c r="N23" s="470">
        <f t="shared" si="4"/>
        <v>1752317.984</v>
      </c>
      <c r="O23" s="470">
        <f t="shared" si="5"/>
        <v>4884038.016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404169.123840001</v>
      </c>
      <c r="V23" s="470">
        <f t="shared" si="12"/>
        <v>964169.123840001</v>
      </c>
      <c r="W23" s="471">
        <v>12</v>
      </c>
      <c r="X23" s="470">
        <f t="shared" si="13"/>
        <v>80347.4269866667</v>
      </c>
      <c r="Y23" s="470"/>
      <c r="Z23" s="470">
        <f t="shared" si="14"/>
        <v>80347.4269866667</v>
      </c>
      <c r="AA23" s="473">
        <v>42371.8157286667</v>
      </c>
      <c r="AB23" s="473">
        <f t="shared" si="15"/>
        <v>37975.611258</v>
      </c>
      <c r="AC23" s="473"/>
      <c r="AD23" s="473"/>
      <c r="AE23" s="473"/>
    </row>
    <row r="24" ht="18" spans="1:31">
      <c r="A24" s="467">
        <v>21</v>
      </c>
      <c r="B24" s="4" t="s">
        <v>478</v>
      </c>
      <c r="C24" s="468">
        <v>330481.666666667</v>
      </c>
      <c r="D24" s="469">
        <v>12</v>
      </c>
      <c r="E24" s="470">
        <f t="shared" si="0"/>
        <v>3965780</v>
      </c>
      <c r="F24" s="470"/>
      <c r="G24" s="470">
        <v>259662.4</v>
      </c>
      <c r="H24" s="470"/>
      <c r="I24" s="470">
        <f t="shared" si="1"/>
        <v>3706117.6</v>
      </c>
      <c r="J24" s="470">
        <v>200000</v>
      </c>
      <c r="K24" s="470">
        <v>0.2</v>
      </c>
      <c r="L24" s="470">
        <f t="shared" si="2"/>
        <v>741223.520000001</v>
      </c>
      <c r="M24" s="470">
        <f t="shared" si="3"/>
        <v>941223.520000001</v>
      </c>
      <c r="N24" s="470">
        <f t="shared" si="4"/>
        <v>1200885.92</v>
      </c>
      <c r="O24" s="470">
        <f t="shared" si="5"/>
        <v>2764894.08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244627.756800001</v>
      </c>
      <c r="U24" s="470"/>
      <c r="V24" s="470">
        <f t="shared" si="12"/>
        <v>468627.756800001</v>
      </c>
      <c r="W24" s="471">
        <v>12</v>
      </c>
      <c r="X24" s="470">
        <f t="shared" si="13"/>
        <v>39052.3130666667</v>
      </c>
      <c r="Y24" s="470"/>
      <c r="Z24" s="470">
        <f t="shared" si="14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0"/>
        <v>3965780</v>
      </c>
      <c r="F25" s="470"/>
      <c r="G25" s="470">
        <v>259662.4</v>
      </c>
      <c r="H25" s="470"/>
      <c r="I25" s="470">
        <f t="shared" si="1"/>
        <v>3706117.6</v>
      </c>
      <c r="J25" s="470">
        <v>200000</v>
      </c>
      <c r="K25" s="470">
        <v>0.2</v>
      </c>
      <c r="L25" s="470">
        <f t="shared" si="2"/>
        <v>741223.520000001</v>
      </c>
      <c r="M25" s="470">
        <f t="shared" si="3"/>
        <v>941223.520000001</v>
      </c>
      <c r="N25" s="470">
        <f t="shared" si="4"/>
        <v>1200885.92</v>
      </c>
      <c r="O25" s="470">
        <f t="shared" si="5"/>
        <v>2764894.08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244627.756800001</v>
      </c>
      <c r="U25" s="470"/>
      <c r="V25" s="470">
        <f t="shared" si="12"/>
        <v>468627.756800001</v>
      </c>
      <c r="W25" s="471">
        <v>12</v>
      </c>
      <c r="X25" s="470">
        <f t="shared" si="13"/>
        <v>39052.3130666667</v>
      </c>
      <c r="Y25" s="470"/>
      <c r="Z25" s="470">
        <f t="shared" si="14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0"/>
        <v>4445780</v>
      </c>
      <c r="F26" s="470"/>
      <c r="G26" s="470">
        <v>259662.4</v>
      </c>
      <c r="H26" s="470"/>
      <c r="I26" s="470">
        <f t="shared" si="1"/>
        <v>4186117.6</v>
      </c>
      <c r="J26" s="470">
        <v>200000</v>
      </c>
      <c r="K26" s="470">
        <v>0.2</v>
      </c>
      <c r="L26" s="470">
        <f t="shared" si="2"/>
        <v>837223.520000001</v>
      </c>
      <c r="M26" s="470">
        <f t="shared" si="3"/>
        <v>1037223.52</v>
      </c>
      <c r="N26" s="470">
        <f t="shared" si="4"/>
        <v>1296885.92</v>
      </c>
      <c r="O26" s="470">
        <f t="shared" si="5"/>
        <v>3148894.08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325267.756800001</v>
      </c>
      <c r="U26" s="470"/>
      <c r="V26" s="470">
        <f t="shared" si="12"/>
        <v>549267.756800001</v>
      </c>
      <c r="W26" s="471">
        <v>12</v>
      </c>
      <c r="X26" s="470">
        <f t="shared" si="13"/>
        <v>45772.3130666667</v>
      </c>
      <c r="Y26" s="470"/>
      <c r="Z26" s="470">
        <f t="shared" si="14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0"/>
        <v>3877984</v>
      </c>
      <c r="F27" s="470"/>
      <c r="G27" s="470">
        <v>252638.72</v>
      </c>
      <c r="H27" s="470"/>
      <c r="I27" s="470">
        <f t="shared" si="1"/>
        <v>3625345.28</v>
      </c>
      <c r="J27" s="470">
        <v>200000</v>
      </c>
      <c r="K27" s="470">
        <v>0.2</v>
      </c>
      <c r="L27" s="470">
        <f t="shared" si="2"/>
        <v>725069.055999999</v>
      </c>
      <c r="M27" s="470">
        <f t="shared" si="3"/>
        <v>925069.055999999</v>
      </c>
      <c r="N27" s="470">
        <f t="shared" si="4"/>
        <v>1177707.776</v>
      </c>
      <c r="O27" s="470">
        <f t="shared" si="5"/>
        <v>2700276.224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231058.007039999</v>
      </c>
      <c r="U27" s="470"/>
      <c r="V27" s="470">
        <f t="shared" si="12"/>
        <v>455058.007039999</v>
      </c>
      <c r="W27" s="471">
        <v>12</v>
      </c>
      <c r="X27" s="470">
        <f t="shared" si="13"/>
        <v>37921.5005866666</v>
      </c>
      <c r="Y27" s="470"/>
      <c r="Z27" s="470">
        <f t="shared" si="14"/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0"/>
        <v>3790188</v>
      </c>
      <c r="F28" s="470"/>
      <c r="G28" s="470">
        <v>245615.04</v>
      </c>
      <c r="H28" s="470"/>
      <c r="I28" s="470">
        <f t="shared" si="1"/>
        <v>3544572.96</v>
      </c>
      <c r="J28" s="470">
        <v>200000</v>
      </c>
      <c r="K28" s="470">
        <v>0.2</v>
      </c>
      <c r="L28" s="470">
        <f t="shared" si="2"/>
        <v>708914.592</v>
      </c>
      <c r="M28" s="470">
        <f t="shared" si="3"/>
        <v>908914.592</v>
      </c>
      <c r="N28" s="470">
        <f t="shared" si="4"/>
        <v>1154529.632</v>
      </c>
      <c r="O28" s="470">
        <f t="shared" si="5"/>
        <v>2635658.368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217488.25728</v>
      </c>
      <c r="U28" s="470"/>
      <c r="V28" s="470">
        <f t="shared" si="12"/>
        <v>441488.25728</v>
      </c>
      <c r="W28" s="471">
        <v>12</v>
      </c>
      <c r="X28" s="470">
        <f t="shared" si="13"/>
        <v>36790.6881066667</v>
      </c>
      <c r="Y28" s="470"/>
      <c r="Z28" s="470">
        <f t="shared" si="14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0"/>
        <v>3790188</v>
      </c>
      <c r="F29" s="470"/>
      <c r="G29" s="470">
        <v>245615.04</v>
      </c>
      <c r="H29" s="470"/>
      <c r="I29" s="470">
        <f t="shared" si="1"/>
        <v>3544572.96</v>
      </c>
      <c r="J29" s="470">
        <v>200000</v>
      </c>
      <c r="K29" s="470">
        <v>0.2</v>
      </c>
      <c r="L29" s="470">
        <f t="shared" si="2"/>
        <v>708914.592</v>
      </c>
      <c r="M29" s="470">
        <f t="shared" si="3"/>
        <v>908914.592</v>
      </c>
      <c r="N29" s="470">
        <f t="shared" si="4"/>
        <v>1154529.632</v>
      </c>
      <c r="O29" s="470">
        <f t="shared" si="5"/>
        <v>2635658.368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217488.25728</v>
      </c>
      <c r="U29" s="470"/>
      <c r="V29" s="470">
        <f t="shared" si="12"/>
        <v>441488.25728</v>
      </c>
      <c r="W29" s="471">
        <v>12</v>
      </c>
      <c r="X29" s="470">
        <f t="shared" si="13"/>
        <v>36790.6881066667</v>
      </c>
      <c r="Y29" s="470"/>
      <c r="Z29" s="470">
        <f t="shared" si="14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0"/>
        <v>3965780</v>
      </c>
      <c r="F30" s="470"/>
      <c r="G30" s="470">
        <v>259662.4</v>
      </c>
      <c r="H30" s="470"/>
      <c r="I30" s="470">
        <f t="shared" si="1"/>
        <v>3706117.6</v>
      </c>
      <c r="J30" s="470">
        <v>200000</v>
      </c>
      <c r="K30" s="470">
        <v>0.2</v>
      </c>
      <c r="L30" s="470">
        <f t="shared" si="2"/>
        <v>741223.520000001</v>
      </c>
      <c r="M30" s="470">
        <f t="shared" si="3"/>
        <v>941223.520000001</v>
      </c>
      <c r="N30" s="470">
        <f t="shared" si="4"/>
        <v>1200885.92</v>
      </c>
      <c r="O30" s="470">
        <f t="shared" si="5"/>
        <v>2764894.08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244627.756800001</v>
      </c>
      <c r="U30" s="470"/>
      <c r="V30" s="470">
        <f t="shared" si="12"/>
        <v>468627.756800001</v>
      </c>
      <c r="W30" s="471">
        <v>12</v>
      </c>
      <c r="X30" s="470">
        <f t="shared" si="13"/>
        <v>39052.3130666667</v>
      </c>
      <c r="Y30" s="470"/>
      <c r="Z30" s="470">
        <f t="shared" si="14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0"/>
        <v>3367583</v>
      </c>
      <c r="F31" s="470"/>
      <c r="G31" s="474">
        <v>221406.64</v>
      </c>
      <c r="H31" s="470"/>
      <c r="I31" s="470">
        <f t="shared" si="1"/>
        <v>3146176.36</v>
      </c>
      <c r="J31" s="470">
        <v>200000</v>
      </c>
      <c r="K31" s="470">
        <v>0.2</v>
      </c>
      <c r="L31" s="470">
        <f t="shared" si="2"/>
        <v>629235.272000001</v>
      </c>
      <c r="M31" s="470">
        <f t="shared" si="3"/>
        <v>829235.272000001</v>
      </c>
      <c r="N31" s="470">
        <f t="shared" si="4"/>
        <v>1050641.912</v>
      </c>
      <c r="O31" s="470">
        <f t="shared" si="5"/>
        <v>2316941.088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150557.628480001</v>
      </c>
      <c r="U31" s="470"/>
      <c r="V31" s="470">
        <f t="shared" si="12"/>
        <v>374557.628480001</v>
      </c>
      <c r="W31" s="471">
        <v>12</v>
      </c>
      <c r="X31" s="470">
        <f t="shared" si="13"/>
        <v>31213.1357066667</v>
      </c>
      <c r="Y31" s="470"/>
      <c r="Z31" s="470">
        <f t="shared" si="14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0"/>
        <v>3293517</v>
      </c>
      <c r="F32" s="470"/>
      <c r="G32" s="474">
        <f>17956.78*12</f>
        <v>215481.36</v>
      </c>
      <c r="H32" s="470"/>
      <c r="I32" s="470">
        <f t="shared" si="1"/>
        <v>3078035.64</v>
      </c>
      <c r="J32" s="470">
        <v>200000</v>
      </c>
      <c r="K32" s="470">
        <v>0.2</v>
      </c>
      <c r="L32" s="470">
        <f t="shared" si="2"/>
        <v>615607.128</v>
      </c>
      <c r="M32" s="470">
        <f t="shared" si="3"/>
        <v>815607.128</v>
      </c>
      <c r="N32" s="470">
        <f t="shared" si="4"/>
        <v>1031088.488</v>
      </c>
      <c r="O32" s="470">
        <f t="shared" si="5"/>
        <v>2262428.512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139109.98752</v>
      </c>
      <c r="U32" s="470"/>
      <c r="V32" s="470">
        <f t="shared" si="12"/>
        <v>363109.98752</v>
      </c>
      <c r="W32" s="471">
        <v>12</v>
      </c>
      <c r="X32" s="470">
        <f t="shared" si="13"/>
        <v>30259.1656266667</v>
      </c>
      <c r="Y32" s="470"/>
      <c r="Z32" s="470">
        <f t="shared" si="14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 t="shared" ref="E35:E37" si="16">C35*D35</f>
        <v>18428640</v>
      </c>
      <c r="F35" s="470"/>
      <c r="G35" s="474">
        <v>1378291.2</v>
      </c>
      <c r="H35" s="470"/>
      <c r="I35" s="470">
        <f t="shared" ref="I35:I37" si="17">E35-F35-G35-H35</f>
        <v>17050348.8</v>
      </c>
      <c r="J35" s="470">
        <v>200000</v>
      </c>
      <c r="K35" s="470">
        <v>0.2</v>
      </c>
      <c r="L35" s="470">
        <f t="shared" ref="L35:L37" si="18">I35*K35</f>
        <v>3410069.76</v>
      </c>
      <c r="M35" s="470">
        <f t="shared" ref="M35:M37" si="19">J35+L35</f>
        <v>3610069.76</v>
      </c>
      <c r="N35" s="470">
        <f t="shared" ref="N35:N37" si="20">F35+G35+H35+M35</f>
        <v>4988360.96</v>
      </c>
      <c r="O35" s="470">
        <f t="shared" ref="O35:O37" si="21">E35-N35</f>
        <v>13440279.04</v>
      </c>
      <c r="P35" s="470">
        <f t="shared" ref="P35:P37" si="22">IF(O35&lt;300000,0.07*O35,21000)</f>
        <v>21000</v>
      </c>
      <c r="Q35" s="470">
        <f t="shared" ref="Q35:Q37" si="23">IF((O35-300000)&lt;0,0,IF((O35-300000)&lt;300000,0.11*(O35-300000),33000))</f>
        <v>33000</v>
      </c>
      <c r="R35" s="470">
        <f t="shared" ref="R35:R37" si="24">IF((O35-600000)&lt;0,0,IF((O35-600000)&lt;500000,0.15*(O35-600000),75000))</f>
        <v>75000</v>
      </c>
      <c r="S35" s="470">
        <f t="shared" ref="S35:S37" si="25">IF((O35-1100000)&lt;0,0,IF((O35-1100000)&lt;500000,0.19*(O35-1100000),95000))</f>
        <v>95000</v>
      </c>
      <c r="T35" s="470">
        <f t="shared" ref="T35:T37" si="26">IF((O35-1600000)&lt;0,0,IF((O35-1600000)&lt;1600000,0.21*(O35-1600000),336000))</f>
        <v>336000</v>
      </c>
      <c r="U35" s="470">
        <f>24%*(O35-3200000)</f>
        <v>2457666.9696</v>
      </c>
      <c r="V35" s="470">
        <f t="shared" ref="V35:V37" si="27">P35+Q35+R35+S35+T35+U35</f>
        <v>3017666.9696</v>
      </c>
      <c r="W35" s="470">
        <v>12</v>
      </c>
      <c r="X35" s="470">
        <f t="shared" ref="X35:X37" si="28">V35/W35</f>
        <v>251472.247466667</v>
      </c>
      <c r="Y35" s="470"/>
      <c r="Z35" s="470">
        <f t="shared" ref="Z35:Z37" si="29">X35</f>
        <v>251472.247466667</v>
      </c>
      <c r="AA35" s="470">
        <v>161106.806858667</v>
      </c>
      <c r="AB35" s="470">
        <f t="shared" ref="AB35:AB37" si="30"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 t="shared" si="16"/>
        <v>4236356</v>
      </c>
      <c r="F36" s="470"/>
      <c r="G36" s="474">
        <v>281308.48</v>
      </c>
      <c r="H36" s="470"/>
      <c r="I36" s="470">
        <f t="shared" si="17"/>
        <v>3955047.52</v>
      </c>
      <c r="J36" s="470">
        <v>200000</v>
      </c>
      <c r="K36" s="470">
        <v>0.2</v>
      </c>
      <c r="L36" s="470">
        <f t="shared" si="18"/>
        <v>791009.504000001</v>
      </c>
      <c r="M36" s="470">
        <f t="shared" si="19"/>
        <v>991009.504000001</v>
      </c>
      <c r="N36" s="470">
        <f t="shared" si="20"/>
        <v>1272317.984</v>
      </c>
      <c r="O36" s="470">
        <f t="shared" si="21"/>
        <v>2964038.016</v>
      </c>
      <c r="P36" s="470">
        <f t="shared" si="22"/>
        <v>21000</v>
      </c>
      <c r="Q36" s="470">
        <f t="shared" si="23"/>
        <v>33000</v>
      </c>
      <c r="R36" s="470">
        <f t="shared" si="24"/>
        <v>75000</v>
      </c>
      <c r="S36" s="470">
        <f t="shared" si="25"/>
        <v>95000</v>
      </c>
      <c r="T36" s="470">
        <f t="shared" si="26"/>
        <v>286447.983360001</v>
      </c>
      <c r="U36" s="470"/>
      <c r="V36" s="470">
        <f t="shared" si="27"/>
        <v>510447.983360001</v>
      </c>
      <c r="W36" s="470">
        <v>12</v>
      </c>
      <c r="X36" s="470">
        <f t="shared" si="28"/>
        <v>42537.3319466667</v>
      </c>
      <c r="Y36" s="470"/>
      <c r="Z36" s="470">
        <f t="shared" si="29"/>
        <v>42537.3319466667</v>
      </c>
      <c r="AA36" s="473">
        <v>17042.7138666667</v>
      </c>
      <c r="AB36" s="470">
        <f t="shared" si="30"/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 t="shared" si="16"/>
        <v>4331587</v>
      </c>
      <c r="F37" s="470"/>
      <c r="G37" s="474">
        <v>288926.96</v>
      </c>
      <c r="H37" s="470"/>
      <c r="I37" s="470">
        <f t="shared" si="17"/>
        <v>4042660.04</v>
      </c>
      <c r="J37" s="470">
        <v>200000</v>
      </c>
      <c r="K37" s="470">
        <v>0.2</v>
      </c>
      <c r="L37" s="470">
        <f t="shared" si="18"/>
        <v>808532.007999999</v>
      </c>
      <c r="M37" s="470">
        <f t="shared" si="19"/>
        <v>1008532.008</v>
      </c>
      <c r="N37" s="470">
        <f t="shared" si="20"/>
        <v>1297458.968</v>
      </c>
      <c r="O37" s="470">
        <f t="shared" si="21"/>
        <v>3034128.032</v>
      </c>
      <c r="P37" s="470">
        <f t="shared" si="22"/>
        <v>21000</v>
      </c>
      <c r="Q37" s="470">
        <f t="shared" si="23"/>
        <v>33000</v>
      </c>
      <c r="R37" s="470">
        <f t="shared" si="24"/>
        <v>75000</v>
      </c>
      <c r="S37" s="470">
        <f t="shared" si="25"/>
        <v>95000</v>
      </c>
      <c r="T37" s="470">
        <f t="shared" si="26"/>
        <v>301166.886719999</v>
      </c>
      <c r="U37" s="470"/>
      <c r="V37" s="470">
        <f t="shared" si="27"/>
        <v>525166.886719999</v>
      </c>
      <c r="W37" s="470">
        <v>12</v>
      </c>
      <c r="X37" s="470">
        <f t="shared" si="28"/>
        <v>43763.9072266666</v>
      </c>
      <c r="Y37" s="470"/>
      <c r="Z37" s="470">
        <f t="shared" si="29"/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912</v>
      </c>
      <c r="C40" s="468">
        <v>1635720</v>
      </c>
      <c r="D40" s="469">
        <v>12</v>
      </c>
      <c r="E40" s="470">
        <f t="shared" ref="E40:E50" si="31">C40*D40</f>
        <v>19628640</v>
      </c>
      <c r="F40" s="470"/>
      <c r="G40" s="474">
        <v>1378291.2</v>
      </c>
      <c r="H40" s="470"/>
      <c r="I40" s="470">
        <f t="shared" ref="I40:I50" si="32">E40-F40-G40-H40</f>
        <v>18250348.8</v>
      </c>
      <c r="J40" s="470">
        <v>200000</v>
      </c>
      <c r="K40" s="470">
        <v>0.2</v>
      </c>
      <c r="L40" s="470">
        <f t="shared" ref="L40:L50" si="33">I40*K40</f>
        <v>3650069.76</v>
      </c>
      <c r="M40" s="470">
        <f t="shared" ref="M40:M50" si="34">J40+L40</f>
        <v>3850069.76</v>
      </c>
      <c r="N40" s="470">
        <f t="shared" ref="N40:N50" si="35">F40+G40+H40+M40</f>
        <v>5228360.96</v>
      </c>
      <c r="O40" s="470">
        <f t="shared" ref="O40:O50" si="36">E40-N40</f>
        <v>14400279.04</v>
      </c>
      <c r="P40" s="470">
        <f t="shared" ref="P40:P50" si="37">IF(O40&lt;300000,0.07*O40,21000)</f>
        <v>21000</v>
      </c>
      <c r="Q40" s="470">
        <f t="shared" ref="Q40:Q50" si="38">IF((O40-300000)&lt;0,0,IF((O40-300000)&lt;300000,0.11*(O40-300000),33000))</f>
        <v>33000</v>
      </c>
      <c r="R40" s="470">
        <f t="shared" ref="R40:R50" si="39">IF((O40-600000)&lt;0,0,IF((O40-600000)&lt;500000,0.15*(O40-600000),75000))</f>
        <v>75000</v>
      </c>
      <c r="S40" s="470">
        <f t="shared" ref="S40:S50" si="40">IF((O40-1100000)&lt;0,0,IF((O40-1100000)&lt;500000,0.19*(O40-1100000),95000))</f>
        <v>95000</v>
      </c>
      <c r="T40" s="470">
        <f t="shared" ref="T40:T50" si="41">IF((O40-1600000)&lt;0,0,IF((O40-1600000)&lt;1600000,0.21*(O40-1600000),336000))</f>
        <v>336000</v>
      </c>
      <c r="U40" s="470">
        <f>0.24*(O40-3200000)</f>
        <v>2688066.9696</v>
      </c>
      <c r="V40" s="470">
        <f t="shared" ref="V40:V50" si="42">P40+Q40+R40+S40+T40+U40</f>
        <v>3248066.9696</v>
      </c>
      <c r="W40" s="471">
        <v>12</v>
      </c>
      <c r="X40" s="470">
        <f t="shared" ref="X40:X50" si="43">V40/W40</f>
        <v>270672.247466667</v>
      </c>
      <c r="Y40" s="470"/>
      <c r="Z40" s="470">
        <f t="shared" ref="Z40:Z50" si="44">X40</f>
        <v>270672.247466667</v>
      </c>
      <c r="AA40" s="473">
        <v>180306.806858667</v>
      </c>
      <c r="AB40" s="473">
        <f t="shared" ref="AB40:AB50" si="45">Z40-AA40</f>
        <v>90365.4406079996</v>
      </c>
      <c r="AC40" s="473"/>
      <c r="AD40" s="473"/>
      <c r="AE40" s="473"/>
    </row>
    <row r="41" ht="18" spans="1:31">
      <c r="A41" s="467">
        <v>36</v>
      </c>
      <c r="B41" s="11" t="s">
        <v>914</v>
      </c>
      <c r="C41" s="470">
        <v>780675.583333333</v>
      </c>
      <c r="D41" s="469">
        <v>12</v>
      </c>
      <c r="E41" s="470">
        <f t="shared" si="31"/>
        <v>9368107</v>
      </c>
      <c r="F41" s="476"/>
      <c r="G41" s="474">
        <v>595848.56</v>
      </c>
      <c r="H41" s="476"/>
      <c r="I41" s="470">
        <f t="shared" si="32"/>
        <v>8772258.44</v>
      </c>
      <c r="J41" s="470">
        <v>200000</v>
      </c>
      <c r="K41" s="470">
        <v>0.2</v>
      </c>
      <c r="L41" s="470">
        <f t="shared" si="33"/>
        <v>1754451.688</v>
      </c>
      <c r="M41" s="470">
        <f t="shared" si="34"/>
        <v>1954451.688</v>
      </c>
      <c r="N41" s="470">
        <f t="shared" si="35"/>
        <v>2550300.248</v>
      </c>
      <c r="O41" s="470">
        <f t="shared" si="36"/>
        <v>6817806.752</v>
      </c>
      <c r="P41" s="470">
        <f t="shared" si="37"/>
        <v>21000</v>
      </c>
      <c r="Q41" s="470">
        <f t="shared" si="38"/>
        <v>33000</v>
      </c>
      <c r="R41" s="470">
        <f t="shared" si="39"/>
        <v>75000</v>
      </c>
      <c r="S41" s="470">
        <f t="shared" si="40"/>
        <v>95000</v>
      </c>
      <c r="T41" s="470">
        <f t="shared" si="41"/>
        <v>336000</v>
      </c>
      <c r="U41" s="470">
        <f t="shared" ref="U41:U47" si="46">24%*(O41-3200000)</f>
        <v>868273.620479999</v>
      </c>
      <c r="V41" s="470">
        <f t="shared" si="42"/>
        <v>1428273.62048</v>
      </c>
      <c r="W41" s="471">
        <v>12</v>
      </c>
      <c r="X41" s="470">
        <f t="shared" si="43"/>
        <v>119022.801706667</v>
      </c>
      <c r="Y41" s="476"/>
      <c r="Z41" s="470">
        <f t="shared" si="44"/>
        <v>119022.801706667</v>
      </c>
      <c r="AA41" s="473">
        <v>79956.9391466667</v>
      </c>
      <c r="AB41" s="473">
        <f t="shared" si="45"/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616">
        <v>1019203.58333333</v>
      </c>
      <c r="D42" s="469">
        <v>12</v>
      </c>
      <c r="E42" s="470">
        <f t="shared" si="31"/>
        <v>12230443</v>
      </c>
      <c r="F42" s="476"/>
      <c r="G42" s="474">
        <v>709635.44</v>
      </c>
      <c r="H42" s="476"/>
      <c r="I42" s="470">
        <f t="shared" si="32"/>
        <v>11520807.56</v>
      </c>
      <c r="J42" s="470">
        <v>200000</v>
      </c>
      <c r="K42" s="470">
        <v>0.2</v>
      </c>
      <c r="L42" s="470">
        <f t="shared" si="33"/>
        <v>2304161.512</v>
      </c>
      <c r="M42" s="470">
        <f t="shared" si="34"/>
        <v>2504161.512</v>
      </c>
      <c r="N42" s="470">
        <f t="shared" si="35"/>
        <v>3213796.952</v>
      </c>
      <c r="O42" s="470">
        <f t="shared" si="36"/>
        <v>9016646.048</v>
      </c>
      <c r="P42" s="470">
        <f t="shared" si="37"/>
        <v>21000</v>
      </c>
      <c r="Q42" s="470">
        <f t="shared" si="38"/>
        <v>33000</v>
      </c>
      <c r="R42" s="470">
        <f t="shared" si="39"/>
        <v>75000</v>
      </c>
      <c r="S42" s="470">
        <f t="shared" si="40"/>
        <v>95000</v>
      </c>
      <c r="T42" s="470">
        <f t="shared" si="41"/>
        <v>336000</v>
      </c>
      <c r="U42" s="470">
        <f t="shared" si="46"/>
        <v>1395995.05152</v>
      </c>
      <c r="V42" s="470">
        <f t="shared" si="42"/>
        <v>1955995.05152</v>
      </c>
      <c r="W42" s="471">
        <v>12</v>
      </c>
      <c r="X42" s="470">
        <f t="shared" si="43"/>
        <v>162999.587626667</v>
      </c>
      <c r="Y42" s="476"/>
      <c r="Z42" s="470">
        <f t="shared" si="44"/>
        <v>162999.587626667</v>
      </c>
      <c r="AA42" s="473">
        <v>97273.5138506667</v>
      </c>
      <c r="AB42" s="473">
        <f t="shared" si="45"/>
        <v>65726.0737759999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1"/>
        <v>9368107</v>
      </c>
      <c r="F43" s="476"/>
      <c r="G43" s="474">
        <v>595848.56</v>
      </c>
      <c r="H43" s="476"/>
      <c r="I43" s="470">
        <f t="shared" si="32"/>
        <v>8772258.44</v>
      </c>
      <c r="J43" s="470">
        <v>200000</v>
      </c>
      <c r="K43" s="470">
        <v>0.2</v>
      </c>
      <c r="L43" s="470">
        <f t="shared" si="33"/>
        <v>1754451.688</v>
      </c>
      <c r="M43" s="470">
        <f t="shared" si="34"/>
        <v>1954451.688</v>
      </c>
      <c r="N43" s="470">
        <f t="shared" si="35"/>
        <v>2550300.248</v>
      </c>
      <c r="O43" s="470">
        <f t="shared" si="36"/>
        <v>6817806.752</v>
      </c>
      <c r="P43" s="470">
        <f t="shared" si="37"/>
        <v>21000</v>
      </c>
      <c r="Q43" s="470">
        <f t="shared" si="38"/>
        <v>33000</v>
      </c>
      <c r="R43" s="470">
        <f t="shared" si="39"/>
        <v>75000</v>
      </c>
      <c r="S43" s="470">
        <f t="shared" si="40"/>
        <v>95000</v>
      </c>
      <c r="T43" s="470">
        <f t="shared" si="41"/>
        <v>336000</v>
      </c>
      <c r="U43" s="470">
        <f t="shared" si="46"/>
        <v>868273.620479999</v>
      </c>
      <c r="V43" s="470">
        <f t="shared" si="42"/>
        <v>1428273.62048</v>
      </c>
      <c r="W43" s="471">
        <v>12</v>
      </c>
      <c r="X43" s="470">
        <f t="shared" si="43"/>
        <v>119022.801706667</v>
      </c>
      <c r="Y43" s="476"/>
      <c r="Z43" s="470">
        <f t="shared" si="44"/>
        <v>119022.801706667</v>
      </c>
      <c r="AA43" s="473">
        <v>79956.9391466667</v>
      </c>
      <c r="AB43" s="473">
        <f t="shared" si="4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1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2"/>
        <v>8762206.19</v>
      </c>
      <c r="J44" s="470">
        <v>200000</v>
      </c>
      <c r="K44" s="470">
        <v>0.2</v>
      </c>
      <c r="L44" s="470">
        <f t="shared" si="33"/>
        <v>1752441.238</v>
      </c>
      <c r="M44" s="470">
        <f t="shared" si="34"/>
        <v>1952441.238</v>
      </c>
      <c r="N44" s="470">
        <f t="shared" si="35"/>
        <v>2558342.048</v>
      </c>
      <c r="O44" s="470">
        <f t="shared" si="36"/>
        <v>6809764.952</v>
      </c>
      <c r="P44" s="470">
        <f t="shared" si="37"/>
        <v>21000</v>
      </c>
      <c r="Q44" s="470">
        <f t="shared" si="38"/>
        <v>33000</v>
      </c>
      <c r="R44" s="470">
        <f t="shared" si="39"/>
        <v>75000</v>
      </c>
      <c r="S44" s="470">
        <f t="shared" si="40"/>
        <v>95000</v>
      </c>
      <c r="T44" s="470">
        <f t="shared" si="41"/>
        <v>336000</v>
      </c>
      <c r="U44" s="470">
        <f t="shared" si="46"/>
        <v>866343.588479999</v>
      </c>
      <c r="V44" s="470">
        <f t="shared" si="42"/>
        <v>1426343.58848</v>
      </c>
      <c r="W44" s="471">
        <v>12</v>
      </c>
      <c r="X44" s="470">
        <f t="shared" si="43"/>
        <v>118861.965706667</v>
      </c>
      <c r="Y44" s="476"/>
      <c r="Z44" s="470">
        <f t="shared" si="44"/>
        <v>118861.965706667</v>
      </c>
      <c r="AA44" s="473">
        <v>79796.1031466666</v>
      </c>
      <c r="AB44" s="473">
        <f t="shared" si="4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1"/>
        <v>8905417</v>
      </c>
      <c r="F45" s="470"/>
      <c r="G45" s="474">
        <v>558833.36</v>
      </c>
      <c r="H45" s="476"/>
      <c r="I45" s="470">
        <f t="shared" si="32"/>
        <v>8346583.64</v>
      </c>
      <c r="J45" s="470">
        <v>200000</v>
      </c>
      <c r="K45" s="470">
        <v>0.2</v>
      </c>
      <c r="L45" s="470">
        <f t="shared" si="33"/>
        <v>1669316.728</v>
      </c>
      <c r="M45" s="470">
        <f t="shared" si="34"/>
        <v>1869316.728</v>
      </c>
      <c r="N45" s="470">
        <f t="shared" si="35"/>
        <v>2428150.088</v>
      </c>
      <c r="O45" s="470">
        <f t="shared" si="36"/>
        <v>6477266.912</v>
      </c>
      <c r="P45" s="470">
        <f t="shared" si="37"/>
        <v>21000</v>
      </c>
      <c r="Q45" s="470">
        <f t="shared" si="38"/>
        <v>33000</v>
      </c>
      <c r="R45" s="470">
        <f t="shared" si="39"/>
        <v>75000</v>
      </c>
      <c r="S45" s="470">
        <f t="shared" si="40"/>
        <v>95000</v>
      </c>
      <c r="T45" s="470">
        <f t="shared" si="41"/>
        <v>336000</v>
      </c>
      <c r="U45" s="470">
        <f t="shared" si="46"/>
        <v>786544.058879999</v>
      </c>
      <c r="V45" s="470">
        <f t="shared" si="42"/>
        <v>1346544.05888</v>
      </c>
      <c r="W45" s="471">
        <v>12</v>
      </c>
      <c r="X45" s="470">
        <f t="shared" si="43"/>
        <v>112212.004906667</v>
      </c>
      <c r="Y45" s="476"/>
      <c r="Z45" s="470">
        <f t="shared" si="44"/>
        <v>112212.004906667</v>
      </c>
      <c r="AA45" s="473">
        <v>75572.9156906667</v>
      </c>
      <c r="AB45" s="473">
        <f t="shared" si="4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1"/>
        <v>7325976</v>
      </c>
      <c r="F46" s="470"/>
      <c r="G46" s="474">
        <v>451678.08</v>
      </c>
      <c r="H46" s="476"/>
      <c r="I46" s="470">
        <f t="shared" si="32"/>
        <v>6874297.92</v>
      </c>
      <c r="J46" s="470">
        <v>200000</v>
      </c>
      <c r="K46" s="470">
        <v>0.2</v>
      </c>
      <c r="L46" s="470">
        <f t="shared" si="33"/>
        <v>1374859.584</v>
      </c>
      <c r="M46" s="470">
        <f t="shared" si="34"/>
        <v>1574859.584</v>
      </c>
      <c r="N46" s="470">
        <f t="shared" si="35"/>
        <v>2026537.664</v>
      </c>
      <c r="O46" s="470">
        <f t="shared" si="36"/>
        <v>5299438.336</v>
      </c>
      <c r="P46" s="470">
        <f t="shared" si="37"/>
        <v>21000</v>
      </c>
      <c r="Q46" s="470">
        <f t="shared" si="38"/>
        <v>33000</v>
      </c>
      <c r="R46" s="470">
        <f t="shared" si="39"/>
        <v>75000</v>
      </c>
      <c r="S46" s="470">
        <f t="shared" si="40"/>
        <v>95000</v>
      </c>
      <c r="T46" s="470">
        <f t="shared" si="41"/>
        <v>336000</v>
      </c>
      <c r="U46" s="470">
        <f t="shared" si="46"/>
        <v>503865.20064</v>
      </c>
      <c r="V46" s="470">
        <f t="shared" si="42"/>
        <v>1063865.20064</v>
      </c>
      <c r="W46" s="471">
        <v>12</v>
      </c>
      <c r="X46" s="470">
        <f t="shared" si="43"/>
        <v>88655.4333866667</v>
      </c>
      <c r="Y46" s="476"/>
      <c r="Z46" s="470">
        <f t="shared" si="44"/>
        <v>88655.4333866667</v>
      </c>
      <c r="AA46" s="473">
        <v>58026.6094346667</v>
      </c>
      <c r="AB46" s="473">
        <f t="shared" si="4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1"/>
        <v>4811587</v>
      </c>
      <c r="F47" s="470"/>
      <c r="G47" s="474">
        <v>288926.96</v>
      </c>
      <c r="H47" s="476"/>
      <c r="I47" s="470">
        <f t="shared" si="32"/>
        <v>4522660.04</v>
      </c>
      <c r="J47" s="470">
        <v>200000</v>
      </c>
      <c r="K47" s="470">
        <v>0.2</v>
      </c>
      <c r="L47" s="470">
        <f t="shared" si="33"/>
        <v>904532.007999999</v>
      </c>
      <c r="M47" s="470">
        <f t="shared" si="34"/>
        <v>1104532.008</v>
      </c>
      <c r="N47" s="470">
        <f t="shared" si="35"/>
        <v>1393458.968</v>
      </c>
      <c r="O47" s="470">
        <f t="shared" si="36"/>
        <v>3418128.032</v>
      </c>
      <c r="P47" s="470">
        <f t="shared" si="37"/>
        <v>21000</v>
      </c>
      <c r="Q47" s="470">
        <f t="shared" si="38"/>
        <v>33000</v>
      </c>
      <c r="R47" s="470">
        <f t="shared" si="39"/>
        <v>75000</v>
      </c>
      <c r="S47" s="470">
        <f t="shared" si="40"/>
        <v>95000</v>
      </c>
      <c r="T47" s="470">
        <f t="shared" si="41"/>
        <v>336000</v>
      </c>
      <c r="U47" s="470">
        <f t="shared" si="46"/>
        <v>52350.7276799992</v>
      </c>
      <c r="V47" s="470">
        <f t="shared" si="42"/>
        <v>612350.727679999</v>
      </c>
      <c r="W47" s="471">
        <v>12</v>
      </c>
      <c r="X47" s="470">
        <f t="shared" si="43"/>
        <v>51029.2273066666</v>
      </c>
      <c r="Y47" s="476"/>
      <c r="Z47" s="470">
        <f t="shared" si="44"/>
        <v>51029.2273066666</v>
      </c>
      <c r="AA47" s="473">
        <v>33059.0784066667</v>
      </c>
      <c r="AB47" s="473">
        <f t="shared" si="4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1"/>
        <v>4357984</v>
      </c>
      <c r="F48" s="470"/>
      <c r="G48" s="474">
        <v>252638.72</v>
      </c>
      <c r="H48" s="476"/>
      <c r="I48" s="470">
        <f t="shared" si="32"/>
        <v>4105345.28</v>
      </c>
      <c r="J48" s="470">
        <v>200000</v>
      </c>
      <c r="K48" s="470">
        <v>0.2</v>
      </c>
      <c r="L48" s="470">
        <f t="shared" si="33"/>
        <v>821069.055999999</v>
      </c>
      <c r="M48" s="470">
        <f t="shared" si="34"/>
        <v>1021069.056</v>
      </c>
      <c r="N48" s="470">
        <f t="shared" si="35"/>
        <v>1273707.776</v>
      </c>
      <c r="O48" s="470">
        <f t="shared" si="36"/>
        <v>3084276.224</v>
      </c>
      <c r="P48" s="470">
        <f t="shared" si="37"/>
        <v>21000</v>
      </c>
      <c r="Q48" s="470">
        <f t="shared" si="38"/>
        <v>33000</v>
      </c>
      <c r="R48" s="470">
        <f t="shared" si="39"/>
        <v>75000</v>
      </c>
      <c r="S48" s="470">
        <f t="shared" si="40"/>
        <v>95000</v>
      </c>
      <c r="T48" s="470">
        <f t="shared" si="41"/>
        <v>311698.007039999</v>
      </c>
      <c r="U48" s="470"/>
      <c r="V48" s="470">
        <f t="shared" si="42"/>
        <v>535698.007039999</v>
      </c>
      <c r="W48" s="471">
        <v>12</v>
      </c>
      <c r="X48" s="470">
        <f t="shared" si="43"/>
        <v>44641.5005866666</v>
      </c>
      <c r="Y48" s="476"/>
      <c r="Z48" s="470">
        <f t="shared" si="44"/>
        <v>44641.5005866666</v>
      </c>
      <c r="AA48" s="473">
        <v>29058.4826046667</v>
      </c>
      <c r="AB48" s="473">
        <f t="shared" si="4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915</v>
      </c>
      <c r="C49" s="470">
        <v>363165.333333333</v>
      </c>
      <c r="D49" s="469">
        <v>12</v>
      </c>
      <c r="E49" s="470">
        <f t="shared" si="31"/>
        <v>4357984</v>
      </c>
      <c r="F49" s="470"/>
      <c r="G49" s="474">
        <v>252638.72</v>
      </c>
      <c r="H49" s="476"/>
      <c r="I49" s="470">
        <f t="shared" si="32"/>
        <v>4105345.28</v>
      </c>
      <c r="J49" s="470">
        <v>200000</v>
      </c>
      <c r="K49" s="470">
        <v>0.2</v>
      </c>
      <c r="L49" s="470">
        <f t="shared" si="33"/>
        <v>821069.055999999</v>
      </c>
      <c r="M49" s="470">
        <f t="shared" si="34"/>
        <v>1021069.056</v>
      </c>
      <c r="N49" s="470">
        <f t="shared" si="35"/>
        <v>1273707.776</v>
      </c>
      <c r="O49" s="470">
        <f t="shared" si="36"/>
        <v>3084276.224</v>
      </c>
      <c r="P49" s="470">
        <f t="shared" si="37"/>
        <v>21000</v>
      </c>
      <c r="Q49" s="470">
        <f t="shared" si="38"/>
        <v>33000</v>
      </c>
      <c r="R49" s="470">
        <f t="shared" si="39"/>
        <v>75000</v>
      </c>
      <c r="S49" s="470">
        <f t="shared" si="40"/>
        <v>95000</v>
      </c>
      <c r="T49" s="470">
        <f t="shared" si="41"/>
        <v>311698.007039999</v>
      </c>
      <c r="U49" s="470"/>
      <c r="V49" s="470">
        <f t="shared" si="42"/>
        <v>535698.007039999</v>
      </c>
      <c r="W49" s="471">
        <v>12</v>
      </c>
      <c r="X49" s="470">
        <f t="shared" si="43"/>
        <v>44641.5005866666</v>
      </c>
      <c r="Y49" s="476"/>
      <c r="Z49" s="470">
        <f t="shared" si="44"/>
        <v>44641.5005866666</v>
      </c>
      <c r="AA49" s="473">
        <v>28360.9528626667</v>
      </c>
      <c r="AB49" s="473">
        <f t="shared" si="4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1"/>
        <v>4357984</v>
      </c>
      <c r="F50" s="470"/>
      <c r="G50" s="474">
        <v>252638.72</v>
      </c>
      <c r="H50" s="476"/>
      <c r="I50" s="470">
        <f t="shared" si="32"/>
        <v>4105345.28</v>
      </c>
      <c r="J50" s="470">
        <v>200000</v>
      </c>
      <c r="K50" s="470">
        <v>0.2</v>
      </c>
      <c r="L50" s="470">
        <f t="shared" si="33"/>
        <v>821069.055999999</v>
      </c>
      <c r="M50" s="470">
        <f t="shared" si="34"/>
        <v>1021069.056</v>
      </c>
      <c r="N50" s="470">
        <f t="shared" si="35"/>
        <v>1273707.776</v>
      </c>
      <c r="O50" s="470">
        <f t="shared" si="36"/>
        <v>3084276.224</v>
      </c>
      <c r="P50" s="470">
        <f t="shared" si="37"/>
        <v>21000</v>
      </c>
      <c r="Q50" s="470">
        <f t="shared" si="38"/>
        <v>33000</v>
      </c>
      <c r="R50" s="470">
        <f t="shared" si="39"/>
        <v>75000</v>
      </c>
      <c r="S50" s="470">
        <f t="shared" si="40"/>
        <v>95000</v>
      </c>
      <c r="T50" s="470">
        <f t="shared" si="41"/>
        <v>311698.007039999</v>
      </c>
      <c r="U50" s="470"/>
      <c r="V50" s="470">
        <f t="shared" si="42"/>
        <v>535698.007039999</v>
      </c>
      <c r="W50" s="471">
        <v>12</v>
      </c>
      <c r="X50" s="470">
        <f t="shared" si="43"/>
        <v>44641.5005866666</v>
      </c>
      <c r="Y50" s="476"/>
      <c r="Z50" s="470">
        <f t="shared" si="44"/>
        <v>44641.5005866666</v>
      </c>
      <c r="AA50" s="473">
        <v>29058.4826046667</v>
      </c>
      <c r="AB50" s="473">
        <f t="shared" si="4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 t="shared" ref="E53:E66" si="47">C53*D53</f>
        <v>19628640</v>
      </c>
      <c r="F53" s="470"/>
      <c r="G53" s="474">
        <v>1378291.2</v>
      </c>
      <c r="H53" s="476"/>
      <c r="I53" s="470">
        <f t="shared" ref="I53:I66" si="48">E53-F53-G53-H53</f>
        <v>18250348.8</v>
      </c>
      <c r="J53" s="470">
        <v>200000</v>
      </c>
      <c r="K53" s="470">
        <v>0.2</v>
      </c>
      <c r="L53" s="470">
        <f t="shared" ref="L53:L66" si="49">I53*K53</f>
        <v>3650069.76</v>
      </c>
      <c r="M53" s="470">
        <f t="shared" ref="M53:M66" si="50">J53+L53</f>
        <v>3850069.76</v>
      </c>
      <c r="N53" s="470">
        <f t="shared" ref="N53:N66" si="51">F53+G53+H53+M53</f>
        <v>5228360.96</v>
      </c>
      <c r="O53" s="470">
        <f t="shared" ref="O53:O66" si="52">E53-N53</f>
        <v>14400279.04</v>
      </c>
      <c r="P53" s="470">
        <f t="shared" ref="P53:P66" si="53">IF(O53&lt;300000,0.07*O53,21000)</f>
        <v>21000</v>
      </c>
      <c r="Q53" s="470">
        <f t="shared" ref="Q53:Q66" si="54">IF((O53-300000)&lt;0,0,IF((O53-300000)&lt;300000,0.11*(O53-300000),33000))</f>
        <v>33000</v>
      </c>
      <c r="R53" s="470">
        <f t="shared" ref="R53:R66" si="55">IF((O53-600000)&lt;0,0,IF((O53-600000)&lt;500000,0.15*(O53-600000),75000))</f>
        <v>75000</v>
      </c>
      <c r="S53" s="470">
        <f t="shared" ref="S53:S66" si="56">IF((O53-1100000)&lt;0,0,IF((O53-1100000)&lt;500000,0.19*(O53-1100000),95000))</f>
        <v>95000</v>
      </c>
      <c r="T53" s="470">
        <f t="shared" ref="T53:T66" si="57">IF((O53-1600000)&lt;0,0,IF((O53-1600000)&lt;1600000,0.21*(O53-1600000),336000))</f>
        <v>336000</v>
      </c>
      <c r="U53" s="470">
        <f t="shared" ref="U53:U66" si="58">24%*(O53-3200000)</f>
        <v>2688066.9696</v>
      </c>
      <c r="V53" s="470">
        <f t="shared" ref="V53:V66" si="59">P53+Q53+R53+S53+T53+U53</f>
        <v>3248066.9696</v>
      </c>
      <c r="W53" s="471">
        <v>12</v>
      </c>
      <c r="X53" s="470">
        <f t="shared" ref="X53:X66" si="60">V53/W53</f>
        <v>270672.247466667</v>
      </c>
      <c r="Y53" s="476"/>
      <c r="Z53" s="470">
        <f t="shared" ref="Z53:Z66" si="61">X53</f>
        <v>270672.247466667</v>
      </c>
      <c r="AA53" s="473">
        <v>180306.806858667</v>
      </c>
      <c r="AB53" s="473">
        <f t="shared" ref="AB53:AB66" si="62"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 t="shared" si="47"/>
        <v>8408107</v>
      </c>
      <c r="F54" s="470"/>
      <c r="G54" s="470">
        <v>595848.56</v>
      </c>
      <c r="H54" s="476"/>
      <c r="I54" s="470">
        <f t="shared" si="48"/>
        <v>7812258.44</v>
      </c>
      <c r="J54" s="470">
        <v>200000</v>
      </c>
      <c r="K54" s="470">
        <v>0.2</v>
      </c>
      <c r="L54" s="470">
        <f t="shared" si="49"/>
        <v>1562451.688</v>
      </c>
      <c r="M54" s="470">
        <f t="shared" si="50"/>
        <v>1762451.688</v>
      </c>
      <c r="N54" s="470">
        <f t="shared" si="51"/>
        <v>2358300.248</v>
      </c>
      <c r="O54" s="470">
        <f t="shared" si="52"/>
        <v>6049806.752</v>
      </c>
      <c r="P54" s="470">
        <f t="shared" si="53"/>
        <v>21000</v>
      </c>
      <c r="Q54" s="470">
        <f t="shared" si="54"/>
        <v>33000</v>
      </c>
      <c r="R54" s="470">
        <f t="shared" si="55"/>
        <v>75000</v>
      </c>
      <c r="S54" s="470">
        <f t="shared" si="56"/>
        <v>95000</v>
      </c>
      <c r="T54" s="470">
        <f t="shared" si="57"/>
        <v>336000</v>
      </c>
      <c r="U54" s="470">
        <f t="shared" si="58"/>
        <v>683953.620479999</v>
      </c>
      <c r="V54" s="470">
        <f t="shared" si="59"/>
        <v>1243953.62048</v>
      </c>
      <c r="W54" s="471">
        <v>12</v>
      </c>
      <c r="X54" s="470">
        <f t="shared" si="60"/>
        <v>103662.801706667</v>
      </c>
      <c r="Y54" s="476"/>
      <c r="Z54" s="470">
        <f t="shared" si="61"/>
        <v>103662.801706667</v>
      </c>
      <c r="AA54" s="473">
        <v>64596.9391466667</v>
      </c>
      <c r="AB54" s="473">
        <f t="shared" si="62"/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917</v>
      </c>
      <c r="C57" s="470">
        <v>1635720</v>
      </c>
      <c r="D57" s="469">
        <v>12</v>
      </c>
      <c r="E57" s="470">
        <f t="shared" si="47"/>
        <v>19628640</v>
      </c>
      <c r="F57" s="470"/>
      <c r="G57" s="474">
        <v>0</v>
      </c>
      <c r="H57" s="476"/>
      <c r="I57" s="470">
        <f t="shared" si="48"/>
        <v>19628640</v>
      </c>
      <c r="J57" s="470">
        <v>200000</v>
      </c>
      <c r="K57" s="470">
        <v>0.2</v>
      </c>
      <c r="L57" s="470">
        <f t="shared" si="49"/>
        <v>3925728</v>
      </c>
      <c r="M57" s="470">
        <f t="shared" si="50"/>
        <v>4125728</v>
      </c>
      <c r="N57" s="470">
        <f t="shared" si="51"/>
        <v>4125728</v>
      </c>
      <c r="O57" s="470">
        <f t="shared" si="52"/>
        <v>15502912</v>
      </c>
      <c r="P57" s="470">
        <f t="shared" si="53"/>
        <v>21000</v>
      </c>
      <c r="Q57" s="470">
        <f t="shared" si="54"/>
        <v>33000</v>
      </c>
      <c r="R57" s="470">
        <f t="shared" si="55"/>
        <v>75000</v>
      </c>
      <c r="S57" s="470">
        <f t="shared" si="56"/>
        <v>95000</v>
      </c>
      <c r="T57" s="470">
        <f t="shared" si="57"/>
        <v>336000</v>
      </c>
      <c r="U57" s="470">
        <f t="shared" si="58"/>
        <v>2952698.88</v>
      </c>
      <c r="V57" s="470">
        <f t="shared" si="59"/>
        <v>3512698.88</v>
      </c>
      <c r="W57" s="471">
        <v>12</v>
      </c>
      <c r="X57" s="470">
        <f t="shared" si="60"/>
        <v>292724.906666667</v>
      </c>
      <c r="Y57" s="476"/>
      <c r="Z57" s="470">
        <f t="shared" si="61"/>
        <v>292724.906666667</v>
      </c>
      <c r="AA57" s="473">
        <v>180306.806858667</v>
      </c>
      <c r="AB57" s="473">
        <f t="shared" si="62"/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919</v>
      </c>
      <c r="C58" s="470">
        <v>761396.833333333</v>
      </c>
      <c r="D58" s="469">
        <v>12</v>
      </c>
      <c r="E58" s="470">
        <f t="shared" si="47"/>
        <v>9136762</v>
      </c>
      <c r="F58" s="470"/>
      <c r="G58" s="479">
        <f>48111.7466666667*12</f>
        <v>577340.96</v>
      </c>
      <c r="H58" s="476"/>
      <c r="I58" s="470">
        <f t="shared" si="48"/>
        <v>8559421.04</v>
      </c>
      <c r="J58" s="470">
        <v>200000</v>
      </c>
      <c r="K58" s="470">
        <v>0.2</v>
      </c>
      <c r="L58" s="470">
        <f t="shared" si="49"/>
        <v>1711884.208</v>
      </c>
      <c r="M58" s="470">
        <f t="shared" si="50"/>
        <v>1911884.208</v>
      </c>
      <c r="N58" s="470">
        <f t="shared" si="51"/>
        <v>2489225.168</v>
      </c>
      <c r="O58" s="470">
        <f t="shared" si="52"/>
        <v>6647536.832</v>
      </c>
      <c r="P58" s="470">
        <f t="shared" si="53"/>
        <v>21000</v>
      </c>
      <c r="Q58" s="470">
        <f t="shared" si="54"/>
        <v>33000</v>
      </c>
      <c r="R58" s="470">
        <f t="shared" si="55"/>
        <v>75000</v>
      </c>
      <c r="S58" s="470">
        <f t="shared" si="56"/>
        <v>95000</v>
      </c>
      <c r="T58" s="470">
        <f t="shared" si="57"/>
        <v>336000</v>
      </c>
      <c r="U58" s="470">
        <f t="shared" si="58"/>
        <v>827408.839679999</v>
      </c>
      <c r="V58" s="470">
        <f t="shared" si="59"/>
        <v>1387408.83968</v>
      </c>
      <c r="W58" s="471">
        <v>12</v>
      </c>
      <c r="X58" s="470">
        <f t="shared" si="60"/>
        <v>115617.403306667</v>
      </c>
      <c r="Y58" s="476"/>
      <c r="Z58" s="470">
        <f t="shared" si="61"/>
        <v>115617.403306667</v>
      </c>
      <c r="AA58" s="473">
        <v>77764.9802666667</v>
      </c>
      <c r="AB58" s="473">
        <f t="shared" si="62"/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47"/>
        <v>6992958</v>
      </c>
      <c r="F59" s="470"/>
      <c r="G59" s="474">
        <v>425036.64</v>
      </c>
      <c r="H59" s="476"/>
      <c r="I59" s="470">
        <f t="shared" si="48"/>
        <v>6567921.36</v>
      </c>
      <c r="J59" s="470">
        <v>200000</v>
      </c>
      <c r="K59" s="470">
        <v>0.2</v>
      </c>
      <c r="L59" s="470">
        <f t="shared" si="49"/>
        <v>1313584.272</v>
      </c>
      <c r="M59" s="470">
        <f t="shared" si="50"/>
        <v>1513584.272</v>
      </c>
      <c r="N59" s="470">
        <f t="shared" si="51"/>
        <v>1938620.912</v>
      </c>
      <c r="O59" s="470">
        <f t="shared" si="52"/>
        <v>5054337.088</v>
      </c>
      <c r="P59" s="470">
        <f t="shared" si="53"/>
        <v>21000</v>
      </c>
      <c r="Q59" s="470">
        <f t="shared" si="54"/>
        <v>33000</v>
      </c>
      <c r="R59" s="470">
        <f t="shared" si="55"/>
        <v>75000</v>
      </c>
      <c r="S59" s="470">
        <f t="shared" si="56"/>
        <v>95000</v>
      </c>
      <c r="T59" s="470">
        <f t="shared" si="57"/>
        <v>336000</v>
      </c>
      <c r="U59" s="470">
        <f t="shared" si="58"/>
        <v>445040.90112</v>
      </c>
      <c r="V59" s="470">
        <f t="shared" si="59"/>
        <v>1005040.90112</v>
      </c>
      <c r="W59" s="471">
        <v>12</v>
      </c>
      <c r="X59" s="470">
        <f t="shared" si="60"/>
        <v>83753.4084266666</v>
      </c>
      <c r="Y59" s="476"/>
      <c r="Z59" s="470">
        <f t="shared" si="61"/>
        <v>83753.4084266666</v>
      </c>
      <c r="AA59" s="473">
        <v>54931.2492266667</v>
      </c>
      <c r="AB59" s="473">
        <f t="shared" si="62"/>
        <v>28822.1591999999</v>
      </c>
      <c r="AC59" s="473"/>
      <c r="AD59" s="473"/>
      <c r="AE59" s="473"/>
    </row>
    <row r="60" ht="18" spans="1:31">
      <c r="A60" s="467">
        <v>53</v>
      </c>
      <c r="B60" s="18" t="s">
        <v>921</v>
      </c>
      <c r="C60" s="470">
        <v>548915.916666667</v>
      </c>
      <c r="D60" s="469">
        <v>12</v>
      </c>
      <c r="E60" s="470">
        <f t="shared" si="47"/>
        <v>6586991</v>
      </c>
      <c r="F60" s="470"/>
      <c r="G60" s="474">
        <v>411759.28</v>
      </c>
      <c r="H60" s="476"/>
      <c r="I60" s="470">
        <f t="shared" si="48"/>
        <v>6175231.72</v>
      </c>
      <c r="J60" s="470">
        <v>200000</v>
      </c>
      <c r="K60" s="470">
        <v>0.2</v>
      </c>
      <c r="L60" s="470">
        <f t="shared" si="49"/>
        <v>1235046.344</v>
      </c>
      <c r="M60" s="470">
        <f t="shared" si="50"/>
        <v>1435046.344</v>
      </c>
      <c r="N60" s="470">
        <f t="shared" si="51"/>
        <v>1846805.624</v>
      </c>
      <c r="O60" s="470">
        <f t="shared" si="52"/>
        <v>4740185.376</v>
      </c>
      <c r="P60" s="470">
        <f t="shared" si="53"/>
        <v>21000</v>
      </c>
      <c r="Q60" s="470">
        <f t="shared" si="54"/>
        <v>33000</v>
      </c>
      <c r="R60" s="470">
        <f t="shared" si="55"/>
        <v>75000</v>
      </c>
      <c r="S60" s="470">
        <f t="shared" si="56"/>
        <v>95000</v>
      </c>
      <c r="T60" s="470">
        <f t="shared" si="57"/>
        <v>336000</v>
      </c>
      <c r="U60" s="470">
        <f t="shared" si="58"/>
        <v>369644.490240001</v>
      </c>
      <c r="V60" s="470">
        <f t="shared" si="59"/>
        <v>929644.490240001</v>
      </c>
      <c r="W60" s="471">
        <v>12</v>
      </c>
      <c r="X60" s="470">
        <f t="shared" si="60"/>
        <v>77470.3741866667</v>
      </c>
      <c r="Y60" s="476"/>
      <c r="Z60" s="470">
        <f t="shared" si="61"/>
        <v>77470.3741866667</v>
      </c>
      <c r="AA60" s="473">
        <v>49548.7761866667</v>
      </c>
      <c r="AB60" s="473">
        <f t="shared" si="62"/>
        <v>27921.598</v>
      </c>
      <c r="AC60" s="473"/>
      <c r="AD60" s="473"/>
      <c r="AE60" s="473"/>
    </row>
    <row r="61" ht="18" spans="1:31">
      <c r="A61" s="467">
        <v>54</v>
      </c>
      <c r="B61" s="14" t="s">
        <v>922</v>
      </c>
      <c r="C61" s="470">
        <v>624373.75</v>
      </c>
      <c r="D61" s="469">
        <v>12</v>
      </c>
      <c r="E61" s="470">
        <f t="shared" si="47"/>
        <v>7492485</v>
      </c>
      <c r="F61" s="470"/>
      <c r="G61" s="474">
        <v>464998.8</v>
      </c>
      <c r="H61" s="476"/>
      <c r="I61" s="470">
        <f t="shared" si="48"/>
        <v>7027486.2</v>
      </c>
      <c r="J61" s="470">
        <v>200000</v>
      </c>
      <c r="K61" s="470">
        <v>0.2</v>
      </c>
      <c r="L61" s="470">
        <f t="shared" si="49"/>
        <v>1405497.24</v>
      </c>
      <c r="M61" s="470">
        <f t="shared" si="50"/>
        <v>1605497.24</v>
      </c>
      <c r="N61" s="470">
        <f t="shared" si="51"/>
        <v>2070496.04</v>
      </c>
      <c r="O61" s="470">
        <f t="shared" si="52"/>
        <v>5421988.96</v>
      </c>
      <c r="P61" s="470">
        <f t="shared" si="53"/>
        <v>21000</v>
      </c>
      <c r="Q61" s="470">
        <f t="shared" si="54"/>
        <v>33000</v>
      </c>
      <c r="R61" s="470">
        <f t="shared" si="55"/>
        <v>75000</v>
      </c>
      <c r="S61" s="470">
        <f t="shared" si="56"/>
        <v>95000</v>
      </c>
      <c r="T61" s="470">
        <f t="shared" si="57"/>
        <v>336000</v>
      </c>
      <c r="U61" s="470">
        <f t="shared" si="58"/>
        <v>533277.3504</v>
      </c>
      <c r="V61" s="470">
        <f t="shared" si="59"/>
        <v>1093277.3504</v>
      </c>
      <c r="W61" s="471">
        <v>12</v>
      </c>
      <c r="X61" s="470">
        <f t="shared" si="60"/>
        <v>91106.4458666667</v>
      </c>
      <c r="Y61" s="476"/>
      <c r="Z61" s="470">
        <f t="shared" si="61"/>
        <v>91106.4458666667</v>
      </c>
      <c r="AA61" s="473">
        <v>46666.6666666667</v>
      </c>
      <c r="AB61" s="473">
        <f t="shared" si="62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47"/>
        <v>5708446</v>
      </c>
      <c r="F62" s="470"/>
      <c r="G62" s="474">
        <v>351075.68</v>
      </c>
      <c r="H62" s="476"/>
      <c r="I62" s="470">
        <f t="shared" si="48"/>
        <v>5357370.32</v>
      </c>
      <c r="J62" s="470">
        <v>200000</v>
      </c>
      <c r="K62" s="470">
        <v>0.2</v>
      </c>
      <c r="L62" s="470">
        <f t="shared" si="49"/>
        <v>1071474.064</v>
      </c>
      <c r="M62" s="470">
        <f t="shared" si="50"/>
        <v>1271474.064</v>
      </c>
      <c r="N62" s="470">
        <f t="shared" si="51"/>
        <v>1622549.744</v>
      </c>
      <c r="O62" s="470">
        <f t="shared" si="52"/>
        <v>4085896.256</v>
      </c>
      <c r="P62" s="470">
        <f t="shared" si="53"/>
        <v>21000</v>
      </c>
      <c r="Q62" s="470">
        <f t="shared" si="54"/>
        <v>33000</v>
      </c>
      <c r="R62" s="470">
        <f t="shared" si="55"/>
        <v>75000</v>
      </c>
      <c r="S62" s="470">
        <f t="shared" si="56"/>
        <v>95000</v>
      </c>
      <c r="T62" s="470">
        <f t="shared" si="57"/>
        <v>336000</v>
      </c>
      <c r="U62" s="470">
        <f t="shared" si="58"/>
        <v>212615.101439999</v>
      </c>
      <c r="V62" s="470">
        <f t="shared" si="59"/>
        <v>772615.101439999</v>
      </c>
      <c r="W62" s="471">
        <v>12</v>
      </c>
      <c r="X62" s="470">
        <f t="shared" si="60"/>
        <v>64384.5917866666</v>
      </c>
      <c r="Y62" s="476"/>
      <c r="Z62" s="470">
        <f t="shared" si="61"/>
        <v>64384.5917866666</v>
      </c>
      <c r="AA62" s="473">
        <v>41338.9510986667</v>
      </c>
      <c r="AB62" s="473">
        <f t="shared" si="62"/>
        <v>23045.6406879999</v>
      </c>
      <c r="AC62" s="473"/>
      <c r="AD62" s="473"/>
      <c r="AE62" s="473"/>
    </row>
    <row r="63" ht="18" spans="1:31">
      <c r="A63" s="467">
        <v>56</v>
      </c>
      <c r="B63" s="11" t="s">
        <v>172</v>
      </c>
      <c r="C63" s="470">
        <v>475703.833333333</v>
      </c>
      <c r="D63" s="469">
        <v>12</v>
      </c>
      <c r="E63" s="470">
        <f t="shared" si="47"/>
        <v>5708446</v>
      </c>
      <c r="F63" s="470"/>
      <c r="G63" s="474">
        <v>351075.68</v>
      </c>
      <c r="H63" s="476"/>
      <c r="I63" s="470">
        <f t="shared" si="48"/>
        <v>5357370.32</v>
      </c>
      <c r="J63" s="470">
        <v>200000</v>
      </c>
      <c r="K63" s="470">
        <v>0.2</v>
      </c>
      <c r="L63" s="470">
        <f t="shared" si="49"/>
        <v>1071474.064</v>
      </c>
      <c r="M63" s="470">
        <f t="shared" si="50"/>
        <v>1271474.064</v>
      </c>
      <c r="N63" s="470">
        <f t="shared" si="51"/>
        <v>1622549.744</v>
      </c>
      <c r="O63" s="470">
        <f t="shared" si="52"/>
        <v>4085896.256</v>
      </c>
      <c r="P63" s="470">
        <f t="shared" si="53"/>
        <v>21000</v>
      </c>
      <c r="Q63" s="470">
        <f t="shared" si="54"/>
        <v>33000</v>
      </c>
      <c r="R63" s="470">
        <f t="shared" si="55"/>
        <v>75000</v>
      </c>
      <c r="S63" s="470">
        <f t="shared" si="56"/>
        <v>95000</v>
      </c>
      <c r="T63" s="470">
        <f t="shared" si="57"/>
        <v>336000</v>
      </c>
      <c r="U63" s="470">
        <f t="shared" si="58"/>
        <v>212615.101439999</v>
      </c>
      <c r="V63" s="470">
        <f t="shared" si="59"/>
        <v>772615.101439999</v>
      </c>
      <c r="W63" s="471">
        <v>12</v>
      </c>
      <c r="X63" s="470">
        <f t="shared" si="60"/>
        <v>64384.5917866666</v>
      </c>
      <c r="Y63" s="476"/>
      <c r="Z63" s="470">
        <f t="shared" si="61"/>
        <v>64384.5917866666</v>
      </c>
      <c r="AA63" s="473">
        <v>41338.9510986667</v>
      </c>
      <c r="AB63" s="473">
        <f t="shared" si="62"/>
        <v>23045.6406879999</v>
      </c>
      <c r="AC63" s="473"/>
      <c r="AD63" s="473"/>
      <c r="AE63" s="473"/>
    </row>
    <row r="64" ht="18" spans="1:31">
      <c r="A64" s="467">
        <v>57</v>
      </c>
      <c r="B64" s="11" t="s">
        <v>174</v>
      </c>
      <c r="C64" s="470">
        <v>475703.833333333</v>
      </c>
      <c r="D64" s="469">
        <v>12</v>
      </c>
      <c r="E64" s="470">
        <f t="shared" si="47"/>
        <v>5708446</v>
      </c>
      <c r="F64" s="470"/>
      <c r="G64" s="474">
        <v>351075.68</v>
      </c>
      <c r="H64" s="476"/>
      <c r="I64" s="470">
        <f t="shared" si="48"/>
        <v>5357370.32</v>
      </c>
      <c r="J64" s="470">
        <v>200000</v>
      </c>
      <c r="K64" s="470">
        <v>0.2</v>
      </c>
      <c r="L64" s="470">
        <f t="shared" si="49"/>
        <v>1071474.064</v>
      </c>
      <c r="M64" s="470">
        <f t="shared" si="50"/>
        <v>1271474.064</v>
      </c>
      <c r="N64" s="470">
        <f t="shared" si="51"/>
        <v>1622549.744</v>
      </c>
      <c r="O64" s="470">
        <f t="shared" si="52"/>
        <v>4085896.256</v>
      </c>
      <c r="P64" s="470">
        <f t="shared" si="53"/>
        <v>21000</v>
      </c>
      <c r="Q64" s="470">
        <f t="shared" si="54"/>
        <v>33000</v>
      </c>
      <c r="R64" s="470">
        <f t="shared" si="55"/>
        <v>75000</v>
      </c>
      <c r="S64" s="470">
        <f t="shared" si="56"/>
        <v>95000</v>
      </c>
      <c r="T64" s="470">
        <f t="shared" si="57"/>
        <v>336000</v>
      </c>
      <c r="U64" s="470">
        <f t="shared" si="58"/>
        <v>212615.101439999</v>
      </c>
      <c r="V64" s="470">
        <f t="shared" si="59"/>
        <v>772615.101439999</v>
      </c>
      <c r="W64" s="471">
        <v>12</v>
      </c>
      <c r="X64" s="470">
        <f t="shared" si="60"/>
        <v>64384.5917866666</v>
      </c>
      <c r="Y64" s="476"/>
      <c r="Z64" s="470">
        <f t="shared" si="61"/>
        <v>64384.5917866666</v>
      </c>
      <c r="AA64" s="473">
        <v>41338.9510986667</v>
      </c>
      <c r="AB64" s="473">
        <f t="shared" si="62"/>
        <v>23045.6406879999</v>
      </c>
      <c r="AC64" s="473"/>
      <c r="AD64" s="473"/>
      <c r="AE64" s="473"/>
    </row>
    <row r="65" ht="18" spans="1:31">
      <c r="A65" s="467">
        <v>58</v>
      </c>
      <c r="B65" s="11" t="s">
        <v>175</v>
      </c>
      <c r="C65" s="470">
        <v>487895.166666667</v>
      </c>
      <c r="D65" s="469">
        <v>12</v>
      </c>
      <c r="E65" s="470">
        <f t="shared" si="47"/>
        <v>5854742</v>
      </c>
      <c r="F65" s="470"/>
      <c r="G65" s="474">
        <v>362779.36</v>
      </c>
      <c r="H65" s="476"/>
      <c r="I65" s="470">
        <f t="shared" si="48"/>
        <v>5491962.64</v>
      </c>
      <c r="J65" s="470">
        <v>200000</v>
      </c>
      <c r="K65" s="470">
        <v>0.2</v>
      </c>
      <c r="L65" s="470">
        <f t="shared" si="49"/>
        <v>1098392.528</v>
      </c>
      <c r="M65" s="470">
        <f t="shared" si="50"/>
        <v>1298392.528</v>
      </c>
      <c r="N65" s="470">
        <f t="shared" si="51"/>
        <v>1661171.888</v>
      </c>
      <c r="O65" s="470">
        <f t="shared" si="52"/>
        <v>4193570.112</v>
      </c>
      <c r="P65" s="470">
        <f t="shared" si="53"/>
        <v>21000</v>
      </c>
      <c r="Q65" s="470">
        <f t="shared" si="54"/>
        <v>33000</v>
      </c>
      <c r="R65" s="470">
        <f t="shared" si="55"/>
        <v>75000</v>
      </c>
      <c r="S65" s="470">
        <f t="shared" si="56"/>
        <v>95000</v>
      </c>
      <c r="T65" s="470">
        <f t="shared" si="57"/>
        <v>336000</v>
      </c>
      <c r="U65" s="470">
        <f t="shared" si="58"/>
        <v>238456.826880001</v>
      </c>
      <c r="V65" s="470">
        <f t="shared" si="59"/>
        <v>798456.826880001</v>
      </c>
      <c r="W65" s="471">
        <v>12</v>
      </c>
      <c r="X65" s="470">
        <f t="shared" si="60"/>
        <v>66538.0689066667</v>
      </c>
      <c r="Y65" s="476"/>
      <c r="Z65" s="470">
        <f t="shared" si="61"/>
        <v>66538.0689066667</v>
      </c>
      <c r="AA65" s="473">
        <v>43368.8824146667</v>
      </c>
      <c r="AB65" s="473">
        <f t="shared" si="62"/>
        <v>23169.186492</v>
      </c>
      <c r="AC65" s="473"/>
      <c r="AD65" s="473"/>
      <c r="AE65" s="473"/>
    </row>
    <row r="66" ht="18" spans="1:31">
      <c r="A66" s="467">
        <v>59</v>
      </c>
      <c r="B66" s="11" t="s">
        <v>179</v>
      </c>
      <c r="C66" s="470">
        <v>400965.583333333</v>
      </c>
      <c r="D66" s="469">
        <v>12</v>
      </c>
      <c r="E66" s="470">
        <f t="shared" si="47"/>
        <v>4811587</v>
      </c>
      <c r="F66" s="470"/>
      <c r="G66" s="478">
        <v>288926.96</v>
      </c>
      <c r="H66" s="476"/>
      <c r="I66" s="470">
        <f t="shared" si="48"/>
        <v>4522660.04</v>
      </c>
      <c r="J66" s="470">
        <v>200000</v>
      </c>
      <c r="K66" s="470">
        <v>0.2</v>
      </c>
      <c r="L66" s="470">
        <f t="shared" si="49"/>
        <v>904532.007999999</v>
      </c>
      <c r="M66" s="470">
        <f t="shared" si="50"/>
        <v>1104532.008</v>
      </c>
      <c r="N66" s="470">
        <f t="shared" si="51"/>
        <v>1393458.968</v>
      </c>
      <c r="O66" s="470">
        <f t="shared" si="52"/>
        <v>3418128.032</v>
      </c>
      <c r="P66" s="470">
        <f t="shared" si="53"/>
        <v>21000</v>
      </c>
      <c r="Q66" s="470">
        <f t="shared" si="54"/>
        <v>33000</v>
      </c>
      <c r="R66" s="470">
        <f t="shared" si="55"/>
        <v>75000</v>
      </c>
      <c r="S66" s="470">
        <f t="shared" si="56"/>
        <v>95000</v>
      </c>
      <c r="T66" s="470">
        <f t="shared" si="57"/>
        <v>336000</v>
      </c>
      <c r="U66" s="470">
        <f t="shared" si="58"/>
        <v>52350.7276799992</v>
      </c>
      <c r="V66" s="470">
        <f t="shared" si="59"/>
        <v>612350.727679999</v>
      </c>
      <c r="W66" s="471">
        <v>12</v>
      </c>
      <c r="X66" s="470">
        <f t="shared" si="60"/>
        <v>51029.2273066666</v>
      </c>
      <c r="Y66" s="476"/>
      <c r="Z66" s="470">
        <f t="shared" si="61"/>
        <v>51029.2273066666</v>
      </c>
      <c r="AA66" s="473">
        <v>33825.9865626667</v>
      </c>
      <c r="AB66" s="473">
        <f t="shared" si="62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473"/>
      <c r="AB68" s="473"/>
      <c r="AC68" s="473"/>
      <c r="AD68" s="473"/>
      <c r="AE68" s="473"/>
    </row>
    <row r="69" ht="17.5" spans="1:31">
      <c r="A69" s="467"/>
      <c r="B69" s="20" t="s">
        <v>183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473"/>
      <c r="AB69" s="473"/>
      <c r="AC69" s="473"/>
      <c r="AD69" s="473"/>
      <c r="AE69" s="473"/>
    </row>
    <row r="70" ht="18" spans="1:31">
      <c r="A70" s="467"/>
      <c r="B70" s="11" t="s">
        <v>184</v>
      </c>
      <c r="C70" s="470">
        <v>1635720</v>
      </c>
      <c r="D70" s="469">
        <v>12</v>
      </c>
      <c r="E70" s="470">
        <f t="shared" ref="E70:E76" si="63">C70*D70</f>
        <v>19628640</v>
      </c>
      <c r="F70" s="470"/>
      <c r="G70" s="474">
        <v>1378291.2</v>
      </c>
      <c r="H70" s="476"/>
      <c r="I70" s="470">
        <f t="shared" ref="I70:I76" si="64">E70-F70-G70-H70</f>
        <v>18250348.8</v>
      </c>
      <c r="J70" s="470">
        <v>200000</v>
      </c>
      <c r="K70" s="470">
        <v>0.2</v>
      </c>
      <c r="L70" s="470">
        <f t="shared" ref="L70:L76" si="65">I70*K70</f>
        <v>3650069.76</v>
      </c>
      <c r="M70" s="470">
        <f t="shared" ref="M70:M76" si="66">J70+L70</f>
        <v>3850069.76</v>
      </c>
      <c r="N70" s="470">
        <f t="shared" ref="N70:N76" si="67">F70+G70+H70+M70</f>
        <v>5228360.96</v>
      </c>
      <c r="O70" s="470">
        <f t="shared" ref="O70:O76" si="68">E70-N70</f>
        <v>14400279.04</v>
      </c>
      <c r="P70" s="470">
        <f t="shared" ref="P70:P76" si="69">IF(O70&lt;300000,0.07*O70,21000)</f>
        <v>21000</v>
      </c>
      <c r="Q70" s="470">
        <f t="shared" ref="Q70:Q76" si="70">IF((O70-300000)&lt;0,0,IF((O70-300000)&lt;300000,0.11*(O70-300000),33000))</f>
        <v>33000</v>
      </c>
      <c r="R70" s="470">
        <f t="shared" ref="R70:R76" si="71">IF((O70-600000)&lt;0,0,IF((O70-600000)&lt;500000,0.15*(O70-600000),75000))</f>
        <v>75000</v>
      </c>
      <c r="S70" s="470">
        <f t="shared" ref="S70:S76" si="72">IF((O70-1100000)&lt;0,0,IF((O70-1100000)&lt;500000,0.19*(O70-1100000),95000))</f>
        <v>95000</v>
      </c>
      <c r="T70" s="470">
        <f t="shared" ref="T70:T76" si="73">IF((O70-1600000)&lt;0,0,IF((O70-1600000)&lt;1600000,0.21*(O70-1600000),336000))</f>
        <v>336000</v>
      </c>
      <c r="U70" s="470">
        <f t="shared" ref="U70:U73" si="74">24%*(O70-3200000)</f>
        <v>2688066.9696</v>
      </c>
      <c r="V70" s="470">
        <f t="shared" ref="V70:V76" si="75">P70+Q70+R70+S70+T70+U70</f>
        <v>3248066.9696</v>
      </c>
      <c r="W70" s="471">
        <v>12</v>
      </c>
      <c r="X70" s="470">
        <f t="shared" ref="X70:X76" si="76">V70/W70</f>
        <v>270672.247466667</v>
      </c>
      <c r="Y70" s="476"/>
      <c r="Z70" s="470">
        <f t="shared" ref="Z70:Z76" si="77">X70</f>
        <v>270672.247466667</v>
      </c>
      <c r="AA70" s="473">
        <v>180306.806858667</v>
      </c>
      <c r="AB70" s="473">
        <f t="shared" ref="AB70:AB76" si="78"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923</v>
      </c>
      <c r="C71" s="470">
        <v>761396.833333333</v>
      </c>
      <c r="D71" s="469">
        <v>12</v>
      </c>
      <c r="E71" s="470">
        <f t="shared" si="63"/>
        <v>9136762</v>
      </c>
      <c r="F71" s="470"/>
      <c r="G71" s="474">
        <v>0</v>
      </c>
      <c r="H71" s="476"/>
      <c r="I71" s="470">
        <f t="shared" si="64"/>
        <v>9136762</v>
      </c>
      <c r="J71" s="470">
        <v>200000</v>
      </c>
      <c r="K71" s="470">
        <v>0.2</v>
      </c>
      <c r="L71" s="470">
        <f t="shared" si="65"/>
        <v>1827352.4</v>
      </c>
      <c r="M71" s="470">
        <f t="shared" si="66"/>
        <v>2027352.4</v>
      </c>
      <c r="N71" s="470">
        <f t="shared" si="67"/>
        <v>2027352.4</v>
      </c>
      <c r="O71" s="470">
        <f t="shared" si="68"/>
        <v>7109409.6</v>
      </c>
      <c r="P71" s="470">
        <f t="shared" si="69"/>
        <v>21000</v>
      </c>
      <c r="Q71" s="470">
        <f t="shared" si="70"/>
        <v>33000</v>
      </c>
      <c r="R71" s="470">
        <f t="shared" si="71"/>
        <v>75000</v>
      </c>
      <c r="S71" s="470">
        <f t="shared" si="72"/>
        <v>95000</v>
      </c>
      <c r="T71" s="470">
        <f t="shared" si="73"/>
        <v>336000</v>
      </c>
      <c r="U71" s="470">
        <f t="shared" si="74"/>
        <v>938258.303999999</v>
      </c>
      <c r="V71" s="470">
        <f t="shared" si="75"/>
        <v>1498258.304</v>
      </c>
      <c r="W71" s="471">
        <v>12</v>
      </c>
      <c r="X71" s="470">
        <f t="shared" si="76"/>
        <v>124854.858666667</v>
      </c>
      <c r="Y71" s="476"/>
      <c r="Z71" s="470">
        <f t="shared" si="77"/>
        <v>124854.858666667</v>
      </c>
      <c r="AA71" s="473">
        <v>77764.9802666667</v>
      </c>
      <c r="AB71" s="473">
        <f t="shared" si="78"/>
        <v>47089.8783999999</v>
      </c>
      <c r="AC71" s="473"/>
      <c r="AD71" s="473"/>
      <c r="AE71" s="473"/>
    </row>
    <row r="72" ht="36" spans="1:31">
      <c r="A72" s="467">
        <v>63</v>
      </c>
      <c r="B72" s="18" t="s">
        <v>186</v>
      </c>
      <c r="C72" s="470">
        <f>700675.583333333+80000</f>
        <v>780675.583333333</v>
      </c>
      <c r="D72" s="469">
        <v>12</v>
      </c>
      <c r="E72" s="470">
        <f t="shared" si="63"/>
        <v>9368107</v>
      </c>
      <c r="F72" s="470"/>
      <c r="G72" s="474">
        <v>0</v>
      </c>
      <c r="H72" s="476"/>
      <c r="I72" s="470">
        <f t="shared" si="64"/>
        <v>9368107</v>
      </c>
      <c r="J72" s="470">
        <v>200000</v>
      </c>
      <c r="K72" s="470">
        <v>0.2</v>
      </c>
      <c r="L72" s="470">
        <f t="shared" si="65"/>
        <v>1873621.4</v>
      </c>
      <c r="M72" s="470">
        <f t="shared" si="66"/>
        <v>2073621.4</v>
      </c>
      <c r="N72" s="470">
        <f t="shared" si="67"/>
        <v>2073621.4</v>
      </c>
      <c r="O72" s="470">
        <f t="shared" si="68"/>
        <v>7294485.6</v>
      </c>
      <c r="P72" s="470">
        <f t="shared" si="69"/>
        <v>21000</v>
      </c>
      <c r="Q72" s="470">
        <f t="shared" si="70"/>
        <v>33000</v>
      </c>
      <c r="R72" s="470">
        <f t="shared" si="71"/>
        <v>75000</v>
      </c>
      <c r="S72" s="470">
        <f t="shared" si="72"/>
        <v>95000</v>
      </c>
      <c r="T72" s="470">
        <f t="shared" si="73"/>
        <v>336000</v>
      </c>
      <c r="U72" s="470">
        <f t="shared" si="74"/>
        <v>982676.543999999</v>
      </c>
      <c r="V72" s="470">
        <f t="shared" si="75"/>
        <v>1542676.544</v>
      </c>
      <c r="W72" s="471">
        <v>12</v>
      </c>
      <c r="X72" s="470">
        <f t="shared" si="76"/>
        <v>128556.378666667</v>
      </c>
      <c r="Y72" s="476"/>
      <c r="Z72" s="470">
        <f t="shared" si="77"/>
        <v>128556.378666667</v>
      </c>
      <c r="AA72" s="473">
        <v>64596.9391466667</v>
      </c>
      <c r="AB72" s="473">
        <f t="shared" si="78"/>
        <v>63959.4395199999</v>
      </c>
      <c r="AC72" s="473"/>
      <c r="AD72" s="473"/>
      <c r="AE72" s="473"/>
    </row>
    <row r="73" ht="18" spans="1:31">
      <c r="A73" s="467">
        <v>64</v>
      </c>
      <c r="B73" s="11" t="s">
        <v>190</v>
      </c>
      <c r="C73" s="470">
        <v>596622.25</v>
      </c>
      <c r="D73" s="469">
        <v>12</v>
      </c>
      <c r="E73" s="470">
        <f t="shared" si="63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64"/>
        <v>6713089.845</v>
      </c>
      <c r="J73" s="470">
        <v>200000</v>
      </c>
      <c r="K73" s="470">
        <v>0.2</v>
      </c>
      <c r="L73" s="470">
        <f t="shared" si="65"/>
        <v>1342617.969</v>
      </c>
      <c r="M73" s="470">
        <f t="shared" si="66"/>
        <v>1542617.969</v>
      </c>
      <c r="N73" s="470">
        <f t="shared" si="67"/>
        <v>1988995.124</v>
      </c>
      <c r="O73" s="470">
        <f t="shared" si="68"/>
        <v>5170471.876</v>
      </c>
      <c r="P73" s="470">
        <f t="shared" si="69"/>
        <v>21000</v>
      </c>
      <c r="Q73" s="470">
        <f t="shared" si="70"/>
        <v>33000</v>
      </c>
      <c r="R73" s="470">
        <f t="shared" si="71"/>
        <v>75000</v>
      </c>
      <c r="S73" s="470">
        <f t="shared" si="72"/>
        <v>95000</v>
      </c>
      <c r="T73" s="470">
        <f t="shared" si="73"/>
        <v>336000</v>
      </c>
      <c r="U73" s="470">
        <f t="shared" si="74"/>
        <v>472913.25024</v>
      </c>
      <c r="V73" s="470">
        <f t="shared" si="75"/>
        <v>1032913.25024</v>
      </c>
      <c r="W73" s="471">
        <v>12</v>
      </c>
      <c r="X73" s="470">
        <f t="shared" si="76"/>
        <v>86076.1041866667</v>
      </c>
      <c r="Y73" s="476"/>
      <c r="Z73" s="470">
        <f t="shared" si="77"/>
        <v>86076.1041866667</v>
      </c>
      <c r="AA73" s="473">
        <v>56350.5861866667</v>
      </c>
      <c r="AB73" s="473">
        <f t="shared" si="78"/>
        <v>29725.518</v>
      </c>
      <c r="AC73" s="473"/>
      <c r="AD73" s="473"/>
      <c r="AE73" s="473"/>
    </row>
    <row r="74" ht="18" spans="1:31">
      <c r="A74" s="467">
        <v>65</v>
      </c>
      <c r="B74" s="11" t="s">
        <v>197</v>
      </c>
      <c r="C74" s="470">
        <v>408901.5</v>
      </c>
      <c r="D74" s="469">
        <v>12</v>
      </c>
      <c r="E74" s="470">
        <f t="shared" si="63"/>
        <v>4906818</v>
      </c>
      <c r="F74" s="470"/>
      <c r="G74" s="474">
        <v>296545.44</v>
      </c>
      <c r="H74" s="476"/>
      <c r="I74" s="470">
        <f t="shared" si="64"/>
        <v>4610272.56</v>
      </c>
      <c r="J74" s="470">
        <v>200000</v>
      </c>
      <c r="K74" s="470">
        <v>0.2</v>
      </c>
      <c r="L74" s="470">
        <f t="shared" si="65"/>
        <v>922054.512</v>
      </c>
      <c r="M74" s="470">
        <f t="shared" si="66"/>
        <v>1122054.512</v>
      </c>
      <c r="N74" s="470">
        <f t="shared" si="67"/>
        <v>1418599.952</v>
      </c>
      <c r="O74" s="470">
        <f t="shared" si="68"/>
        <v>3488218.048</v>
      </c>
      <c r="P74" s="470">
        <f t="shared" si="69"/>
        <v>21000</v>
      </c>
      <c r="Q74" s="470">
        <f t="shared" si="70"/>
        <v>33000</v>
      </c>
      <c r="R74" s="470">
        <f t="shared" si="71"/>
        <v>75000</v>
      </c>
      <c r="S74" s="470">
        <f t="shared" si="72"/>
        <v>95000</v>
      </c>
      <c r="T74" s="470">
        <f t="shared" si="73"/>
        <v>336000</v>
      </c>
      <c r="U74" s="470">
        <f>0.24*(O74-3200000)</f>
        <v>69172.33152</v>
      </c>
      <c r="V74" s="470">
        <f t="shared" si="75"/>
        <v>629172.33152</v>
      </c>
      <c r="W74" s="471">
        <v>12</v>
      </c>
      <c r="X74" s="470">
        <f t="shared" si="76"/>
        <v>52431.0276266667</v>
      </c>
      <c r="Y74" s="476"/>
      <c r="Z74" s="470">
        <f t="shared" si="77"/>
        <v>52431.0276266667</v>
      </c>
      <c r="AA74" s="473">
        <v>17507.5489666667</v>
      </c>
      <c r="AB74" s="473">
        <f t="shared" si="78"/>
        <v>34923.47866</v>
      </c>
      <c r="AC74" s="473"/>
      <c r="AD74" s="473"/>
      <c r="AE74" s="473"/>
    </row>
    <row r="75" ht="24.75" customHeight="1" spans="1:31">
      <c r="A75" s="467"/>
      <c r="B75" s="11" t="s">
        <v>201</v>
      </c>
      <c r="C75" s="470">
        <v>363165.333333333</v>
      </c>
      <c r="D75" s="469">
        <v>12</v>
      </c>
      <c r="E75" s="470">
        <f t="shared" si="63"/>
        <v>4357984</v>
      </c>
      <c r="F75" s="470"/>
      <c r="G75" s="474">
        <v>252638.72</v>
      </c>
      <c r="H75" s="476"/>
      <c r="I75" s="470">
        <f t="shared" si="64"/>
        <v>4105345.28</v>
      </c>
      <c r="J75" s="470">
        <v>200000</v>
      </c>
      <c r="K75" s="470">
        <v>0.2</v>
      </c>
      <c r="L75" s="470">
        <f t="shared" si="65"/>
        <v>821069.055999999</v>
      </c>
      <c r="M75" s="470">
        <f t="shared" si="66"/>
        <v>1021069.056</v>
      </c>
      <c r="N75" s="470">
        <f t="shared" si="67"/>
        <v>1273707.776</v>
      </c>
      <c r="O75" s="470">
        <f t="shared" si="68"/>
        <v>3084276.224</v>
      </c>
      <c r="P75" s="470">
        <f t="shared" si="69"/>
        <v>21000</v>
      </c>
      <c r="Q75" s="470">
        <f t="shared" si="70"/>
        <v>33000</v>
      </c>
      <c r="R75" s="470">
        <f t="shared" si="71"/>
        <v>75000</v>
      </c>
      <c r="S75" s="470">
        <f t="shared" si="72"/>
        <v>95000</v>
      </c>
      <c r="T75" s="470">
        <f t="shared" si="73"/>
        <v>311698.007039999</v>
      </c>
      <c r="U75" s="470"/>
      <c r="V75" s="470">
        <f t="shared" si="75"/>
        <v>535698.007039999</v>
      </c>
      <c r="W75" s="471">
        <v>12</v>
      </c>
      <c r="X75" s="470">
        <f t="shared" si="76"/>
        <v>44641.5005866666</v>
      </c>
      <c r="Y75" s="476"/>
      <c r="Z75" s="470">
        <f t="shared" si="77"/>
        <v>44641.5005866666</v>
      </c>
      <c r="AA75" s="473">
        <v>29058.4826046667</v>
      </c>
      <c r="AB75" s="473">
        <f t="shared" si="78"/>
        <v>15583.0179819999</v>
      </c>
      <c r="AC75" s="473"/>
      <c r="AD75" s="473"/>
      <c r="AE75" s="473"/>
    </row>
    <row r="76" ht="18" spans="1:31">
      <c r="A76" s="467"/>
      <c r="B76" s="11" t="s">
        <v>203</v>
      </c>
      <c r="C76" s="470">
        <v>324459.75</v>
      </c>
      <c r="D76" s="469">
        <v>12</v>
      </c>
      <c r="E76" s="470">
        <f t="shared" si="63"/>
        <v>3893517</v>
      </c>
      <c r="F76" s="470"/>
      <c r="G76" s="474">
        <v>215481.36</v>
      </c>
      <c r="H76" s="476"/>
      <c r="I76" s="470">
        <f t="shared" si="64"/>
        <v>3678035.64</v>
      </c>
      <c r="J76" s="470">
        <v>200000</v>
      </c>
      <c r="K76" s="470">
        <v>0.2</v>
      </c>
      <c r="L76" s="470">
        <f t="shared" si="65"/>
        <v>735607.128</v>
      </c>
      <c r="M76" s="470">
        <f t="shared" si="66"/>
        <v>935607.128</v>
      </c>
      <c r="N76" s="470">
        <f t="shared" si="67"/>
        <v>1151088.488</v>
      </c>
      <c r="O76" s="470">
        <f t="shared" si="68"/>
        <v>2742428.512</v>
      </c>
      <c r="P76" s="470">
        <f t="shared" si="69"/>
        <v>21000</v>
      </c>
      <c r="Q76" s="470">
        <f t="shared" si="70"/>
        <v>33000</v>
      </c>
      <c r="R76" s="470">
        <f t="shared" si="71"/>
        <v>75000</v>
      </c>
      <c r="S76" s="470">
        <f t="shared" si="72"/>
        <v>95000</v>
      </c>
      <c r="T76" s="470">
        <f t="shared" si="73"/>
        <v>239909.98752</v>
      </c>
      <c r="U76" s="470"/>
      <c r="V76" s="470">
        <f t="shared" si="75"/>
        <v>463909.98752</v>
      </c>
      <c r="W76" s="471">
        <v>12</v>
      </c>
      <c r="X76" s="470">
        <f t="shared" si="76"/>
        <v>38659.1656266667</v>
      </c>
      <c r="Y76" s="476"/>
      <c r="Z76" s="470">
        <f t="shared" si="77"/>
        <v>38659.1656266667</v>
      </c>
      <c r="AA76" s="473">
        <v>24751.1704626667</v>
      </c>
      <c r="AB76" s="473">
        <f t="shared" si="78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205</v>
      </c>
      <c r="C79" s="470"/>
      <c r="AB79" s="296" t="s">
        <v>1010</v>
      </c>
      <c r="AC79" s="473"/>
      <c r="AD79" s="473"/>
      <c r="AE79" s="473"/>
    </row>
    <row r="80" ht="18" spans="1:31">
      <c r="A80" s="467">
        <v>68</v>
      </c>
      <c r="B80" s="11" t="s">
        <v>208</v>
      </c>
      <c r="C80" s="470">
        <v>1096034</v>
      </c>
      <c r="D80" s="469">
        <v>12</v>
      </c>
      <c r="E80" s="470">
        <f t="shared" ref="E80:E89" si="79">C80*D80</f>
        <v>13152408</v>
      </c>
      <c r="F80" s="470"/>
      <c r="G80" s="474">
        <v>709635.44</v>
      </c>
      <c r="H80" s="476"/>
      <c r="I80" s="470">
        <f t="shared" ref="I80:I89" si="80">E80-F80-G80-H80</f>
        <v>12442772.56</v>
      </c>
      <c r="J80" s="470">
        <v>200000</v>
      </c>
      <c r="K80" s="470">
        <v>0.2</v>
      </c>
      <c r="L80" s="470">
        <f t="shared" ref="L80:L89" si="81">I80*K80</f>
        <v>2488554.512</v>
      </c>
      <c r="M80" s="470">
        <f t="shared" ref="M80:M89" si="82">J80+L80</f>
        <v>2688554.512</v>
      </c>
      <c r="N80" s="470">
        <f t="shared" ref="N80:N89" si="83">F80+G80+H80+M80</f>
        <v>3398189.952</v>
      </c>
      <c r="O80" s="470">
        <f t="shared" ref="O80:O89" si="84">E80-N80</f>
        <v>9754218.048</v>
      </c>
      <c r="P80" s="470">
        <f t="shared" ref="P80:P89" si="85">IF(O80&lt;300000,0.07*O80,21000)</f>
        <v>21000</v>
      </c>
      <c r="Q80" s="470">
        <f t="shared" ref="Q80:Q89" si="86">IF((O80-300000)&lt;0,0,IF((O80-300000)&lt;300000,0.11*(O80-300000),33000))</f>
        <v>33000</v>
      </c>
      <c r="R80" s="470">
        <f t="shared" ref="R80:R89" si="87">IF((O80-600000)&lt;0,0,IF((O80-600000)&lt;500000,0.15*(O80-600000),75000))</f>
        <v>75000</v>
      </c>
      <c r="S80" s="470">
        <f t="shared" ref="S80:S89" si="88">IF((O80-1100000)&lt;0,0,IF((O80-1100000)&lt;500000,0.19*(O80-1100000),95000))</f>
        <v>95000</v>
      </c>
      <c r="T80" s="470">
        <f t="shared" ref="T80:T89" si="89">IF((O80-1600000)&lt;0,0,IF((O80-1600000)&lt;1600000,0.21*(O80-1600000),336000))</f>
        <v>336000</v>
      </c>
      <c r="U80" s="470">
        <f t="shared" ref="U80:U88" si="90">24%*(O80-3200000)</f>
        <v>1573012.33152</v>
      </c>
      <c r="V80" s="470">
        <f t="shared" ref="V80:V89" si="91">P80+Q80+R80+S80+T80+U80</f>
        <v>2133012.33152</v>
      </c>
      <c r="W80" s="471">
        <v>12</v>
      </c>
      <c r="X80" s="470">
        <f t="shared" ref="X80:X89" si="92">V80/W80</f>
        <v>177751.027626667</v>
      </c>
      <c r="Y80" s="476"/>
      <c r="Z80" s="470">
        <f t="shared" ref="Z80:Z89" si="93">X80</f>
        <v>177751.027626667</v>
      </c>
      <c r="AA80" s="470">
        <v>99156.9391466667</v>
      </c>
      <c r="AB80" s="473">
        <f t="shared" ref="AB80:AB89" si="94">Z80-AA80</f>
        <v>78594.08848</v>
      </c>
      <c r="AC80" s="473" t="s">
        <v>208</v>
      </c>
      <c r="AD80" s="473"/>
      <c r="AE80" s="473"/>
    </row>
    <row r="81" ht="18" spans="1:31">
      <c r="A81" s="467">
        <v>69</v>
      </c>
      <c r="B81" s="11" t="s">
        <v>206</v>
      </c>
      <c r="C81" s="616">
        <v>1552042.66666667</v>
      </c>
      <c r="D81" s="469">
        <v>12</v>
      </c>
      <c r="E81" s="470">
        <f t="shared" si="79"/>
        <v>18624512</v>
      </c>
      <c r="F81" s="470">
        <f>18254.975*12</f>
        <v>219059.7</v>
      </c>
      <c r="G81" s="474">
        <f>114857.6*12</f>
        <v>1378291.2</v>
      </c>
      <c r="H81" s="476"/>
      <c r="I81" s="470">
        <f t="shared" si="80"/>
        <v>17027161.1</v>
      </c>
      <c r="J81" s="470">
        <v>200000</v>
      </c>
      <c r="K81" s="470">
        <v>0.2</v>
      </c>
      <c r="L81" s="470">
        <f t="shared" si="81"/>
        <v>3405432.22</v>
      </c>
      <c r="M81" s="470">
        <f t="shared" si="82"/>
        <v>3605432.22</v>
      </c>
      <c r="N81" s="470">
        <f t="shared" si="83"/>
        <v>5202783.12</v>
      </c>
      <c r="O81" s="470">
        <f t="shared" si="84"/>
        <v>13421728.88</v>
      </c>
      <c r="P81" s="470">
        <f t="shared" si="85"/>
        <v>21000</v>
      </c>
      <c r="Q81" s="470">
        <f t="shared" si="86"/>
        <v>33000</v>
      </c>
      <c r="R81" s="470">
        <f t="shared" si="87"/>
        <v>75000</v>
      </c>
      <c r="S81" s="470">
        <f t="shared" si="88"/>
        <v>95000</v>
      </c>
      <c r="T81" s="470">
        <f t="shared" si="89"/>
        <v>336000</v>
      </c>
      <c r="U81" s="470">
        <f t="shared" si="90"/>
        <v>2453214.9312</v>
      </c>
      <c r="V81" s="470">
        <f t="shared" si="91"/>
        <v>3013214.9312</v>
      </c>
      <c r="W81" s="471">
        <v>12</v>
      </c>
      <c r="X81" s="470">
        <f t="shared" si="92"/>
        <v>251101.244266667</v>
      </c>
      <c r="Y81" s="476"/>
      <c r="Z81" s="470">
        <f t="shared" si="93"/>
        <v>251101.244266667</v>
      </c>
      <c r="AA81" s="470">
        <v>98996.1031466667</v>
      </c>
      <c r="AB81" s="473">
        <f t="shared" si="94"/>
        <v>152105.14112</v>
      </c>
      <c r="AC81" s="473" t="s">
        <v>206</v>
      </c>
      <c r="AD81" s="473"/>
      <c r="AE81" s="473"/>
    </row>
    <row r="82" ht="36" spans="1:31">
      <c r="A82" s="467">
        <v>70</v>
      </c>
      <c r="B82" s="11" t="s">
        <v>479</v>
      </c>
      <c r="C82" s="470">
        <v>587895.166666667</v>
      </c>
      <c r="D82" s="469">
        <v>12</v>
      </c>
      <c r="E82" s="470">
        <f t="shared" si="79"/>
        <v>7054742</v>
      </c>
      <c r="F82" s="470"/>
      <c r="G82" s="474">
        <v>558833.36</v>
      </c>
      <c r="H82" s="476"/>
      <c r="I82" s="470">
        <f t="shared" si="80"/>
        <v>6495908.64</v>
      </c>
      <c r="J82" s="470">
        <v>200000</v>
      </c>
      <c r="K82" s="470">
        <v>0.2</v>
      </c>
      <c r="L82" s="470">
        <f t="shared" si="81"/>
        <v>1299181.728</v>
      </c>
      <c r="M82" s="470">
        <f t="shared" si="82"/>
        <v>1499181.728</v>
      </c>
      <c r="N82" s="470">
        <f t="shared" si="83"/>
        <v>2058015.088</v>
      </c>
      <c r="O82" s="470">
        <f t="shared" si="84"/>
        <v>4996726.912</v>
      </c>
      <c r="P82" s="470">
        <f t="shared" si="85"/>
        <v>21000</v>
      </c>
      <c r="Q82" s="470">
        <f t="shared" si="86"/>
        <v>33000</v>
      </c>
      <c r="R82" s="470">
        <f t="shared" si="87"/>
        <v>75000</v>
      </c>
      <c r="S82" s="470">
        <f t="shared" si="88"/>
        <v>95000</v>
      </c>
      <c r="T82" s="470">
        <f t="shared" si="89"/>
        <v>336000</v>
      </c>
      <c r="U82" s="470">
        <f t="shared" si="90"/>
        <v>431214.458880001</v>
      </c>
      <c r="V82" s="470">
        <f t="shared" si="91"/>
        <v>991214.458880001</v>
      </c>
      <c r="W82" s="471">
        <v>12</v>
      </c>
      <c r="X82" s="470">
        <f t="shared" si="92"/>
        <v>82601.2049066667</v>
      </c>
      <c r="Y82" s="476"/>
      <c r="Z82" s="470">
        <f t="shared" si="93"/>
        <v>82601.2049066667</v>
      </c>
      <c r="AA82" s="470">
        <v>79956.9391466667</v>
      </c>
      <c r="AB82" s="473">
        <f t="shared" si="94"/>
        <v>2644.26576000001</v>
      </c>
      <c r="AC82" s="473" t="s">
        <v>479</v>
      </c>
      <c r="AD82" s="473"/>
      <c r="AE82" s="473"/>
    </row>
    <row r="83" ht="18" spans="1:31">
      <c r="A83" s="467">
        <v>71</v>
      </c>
      <c r="B83" s="11" t="s">
        <v>211</v>
      </c>
      <c r="C83" s="470">
        <v>582746.5</v>
      </c>
      <c r="D83" s="469">
        <v>12</v>
      </c>
      <c r="E83" s="470">
        <f t="shared" si="79"/>
        <v>6992958</v>
      </c>
      <c r="F83" s="470"/>
      <c r="G83" s="474">
        <v>424132.72</v>
      </c>
      <c r="H83" s="476"/>
      <c r="I83" s="470">
        <f t="shared" si="80"/>
        <v>6568825.28</v>
      </c>
      <c r="J83" s="470">
        <v>200000</v>
      </c>
      <c r="K83" s="470">
        <v>0.2</v>
      </c>
      <c r="L83" s="470">
        <f t="shared" si="81"/>
        <v>1313765.056</v>
      </c>
      <c r="M83" s="470">
        <f t="shared" si="82"/>
        <v>1513765.056</v>
      </c>
      <c r="N83" s="470">
        <f t="shared" si="83"/>
        <v>1937897.776</v>
      </c>
      <c r="O83" s="470">
        <f t="shared" si="84"/>
        <v>5055060.224</v>
      </c>
      <c r="P83" s="470">
        <f t="shared" si="85"/>
        <v>21000</v>
      </c>
      <c r="Q83" s="470">
        <f t="shared" si="86"/>
        <v>33000</v>
      </c>
      <c r="R83" s="470">
        <f t="shared" si="87"/>
        <v>75000</v>
      </c>
      <c r="S83" s="470">
        <f t="shared" si="88"/>
        <v>95000</v>
      </c>
      <c r="T83" s="470">
        <f t="shared" si="89"/>
        <v>336000</v>
      </c>
      <c r="U83" s="470">
        <f t="shared" si="90"/>
        <v>445214.45376</v>
      </c>
      <c r="V83" s="470">
        <f t="shared" si="91"/>
        <v>1005214.45376</v>
      </c>
      <c r="W83" s="471">
        <v>12</v>
      </c>
      <c r="X83" s="470">
        <f t="shared" si="92"/>
        <v>83767.8711466667</v>
      </c>
      <c r="Y83" s="476"/>
      <c r="Z83" s="470">
        <f t="shared" si="93"/>
        <v>83767.8711466667</v>
      </c>
      <c r="AA83" s="470">
        <v>75574.6772906667</v>
      </c>
      <c r="AB83" s="473">
        <f t="shared" si="94"/>
        <v>8193.19385599995</v>
      </c>
      <c r="AC83" s="473" t="s">
        <v>211</v>
      </c>
      <c r="AD83" s="473"/>
      <c r="AE83" s="473"/>
    </row>
    <row r="84" ht="18" spans="1:31">
      <c r="A84" s="467">
        <v>72</v>
      </c>
      <c r="B84" s="11" t="s">
        <v>212</v>
      </c>
      <c r="C84" s="470">
        <v>548915.916666667</v>
      </c>
      <c r="D84" s="469">
        <v>12</v>
      </c>
      <c r="E84" s="470">
        <f t="shared" si="79"/>
        <v>6586991</v>
      </c>
      <c r="F84" s="470"/>
      <c r="G84" s="474">
        <v>411759.28</v>
      </c>
      <c r="H84" s="476"/>
      <c r="I84" s="470">
        <f t="shared" si="80"/>
        <v>6175231.72</v>
      </c>
      <c r="J84" s="470">
        <v>200000</v>
      </c>
      <c r="K84" s="470">
        <v>0.2</v>
      </c>
      <c r="L84" s="470">
        <f t="shared" si="81"/>
        <v>1235046.344</v>
      </c>
      <c r="M84" s="470">
        <f t="shared" si="82"/>
        <v>1435046.344</v>
      </c>
      <c r="N84" s="470">
        <f t="shared" si="83"/>
        <v>1846805.624</v>
      </c>
      <c r="O84" s="470">
        <f t="shared" si="84"/>
        <v>4740185.376</v>
      </c>
      <c r="P84" s="470">
        <f t="shared" si="85"/>
        <v>21000</v>
      </c>
      <c r="Q84" s="470">
        <f t="shared" si="86"/>
        <v>33000</v>
      </c>
      <c r="R84" s="470">
        <f t="shared" si="87"/>
        <v>75000</v>
      </c>
      <c r="S84" s="470">
        <f t="shared" si="88"/>
        <v>95000</v>
      </c>
      <c r="T84" s="470">
        <f t="shared" si="89"/>
        <v>336000</v>
      </c>
      <c r="U84" s="470">
        <f t="shared" si="90"/>
        <v>369644.490240001</v>
      </c>
      <c r="V84" s="470">
        <f t="shared" si="91"/>
        <v>929644.490240001</v>
      </c>
      <c r="W84" s="471">
        <v>12</v>
      </c>
      <c r="X84" s="470">
        <f t="shared" si="92"/>
        <v>77470.3741866667</v>
      </c>
      <c r="Y84" s="476"/>
      <c r="Z84" s="470">
        <f t="shared" si="93"/>
        <v>77470.3741866667</v>
      </c>
      <c r="AA84" s="470">
        <v>50985.9775466667</v>
      </c>
      <c r="AB84" s="473">
        <f t="shared" si="94"/>
        <v>26484.39664</v>
      </c>
      <c r="AC84" s="473" t="s">
        <v>212</v>
      </c>
      <c r="AD84" s="473"/>
      <c r="AE84" s="473"/>
    </row>
    <row r="85" ht="36" spans="1:31">
      <c r="A85" s="467">
        <v>73</v>
      </c>
      <c r="B85" s="11" t="s">
        <v>213</v>
      </c>
      <c r="C85" s="470">
        <v>568870.75</v>
      </c>
      <c r="D85" s="469">
        <v>12</v>
      </c>
      <c r="E85" s="470">
        <f t="shared" si="79"/>
        <v>6826449</v>
      </c>
      <c r="F85" s="470"/>
      <c r="G85" s="474">
        <v>411715.92</v>
      </c>
      <c r="H85" s="476"/>
      <c r="I85" s="470">
        <f t="shared" si="80"/>
        <v>6414733.08</v>
      </c>
      <c r="J85" s="470">
        <v>200000</v>
      </c>
      <c r="K85" s="470">
        <v>0.2</v>
      </c>
      <c r="L85" s="470">
        <f t="shared" si="81"/>
        <v>1282946.616</v>
      </c>
      <c r="M85" s="470">
        <f t="shared" si="82"/>
        <v>1482946.616</v>
      </c>
      <c r="N85" s="470">
        <f t="shared" si="83"/>
        <v>1894662.536</v>
      </c>
      <c r="O85" s="470">
        <f t="shared" si="84"/>
        <v>4931786.464</v>
      </c>
      <c r="P85" s="470">
        <f t="shared" si="85"/>
        <v>21000</v>
      </c>
      <c r="Q85" s="470">
        <f t="shared" si="86"/>
        <v>33000</v>
      </c>
      <c r="R85" s="470">
        <f t="shared" si="87"/>
        <v>75000</v>
      </c>
      <c r="S85" s="470">
        <f t="shared" si="88"/>
        <v>95000</v>
      </c>
      <c r="T85" s="470">
        <f t="shared" si="89"/>
        <v>336000</v>
      </c>
      <c r="U85" s="470">
        <f t="shared" si="90"/>
        <v>415628.75136</v>
      </c>
      <c r="V85" s="470">
        <f t="shared" si="91"/>
        <v>975628.75136</v>
      </c>
      <c r="W85" s="471">
        <v>12</v>
      </c>
      <c r="X85" s="470">
        <f t="shared" si="92"/>
        <v>81302.3959466667</v>
      </c>
      <c r="Y85" s="476"/>
      <c r="Z85" s="470">
        <f t="shared" si="93"/>
        <v>81302.3959466667</v>
      </c>
      <c r="AA85" s="470">
        <v>49548.7761866667</v>
      </c>
      <c r="AB85" s="473">
        <f t="shared" si="94"/>
        <v>31753.61976</v>
      </c>
      <c r="AC85" s="473" t="s">
        <v>213</v>
      </c>
      <c r="AD85" s="473"/>
      <c r="AE85" s="473"/>
    </row>
    <row r="86" ht="18" spans="1:31">
      <c r="A86" s="467">
        <v>74</v>
      </c>
      <c r="B86" s="11" t="s">
        <v>215</v>
      </c>
      <c r="C86" s="470">
        <v>475703.833333333</v>
      </c>
      <c r="D86" s="469">
        <v>12</v>
      </c>
      <c r="E86" s="470">
        <f t="shared" si="79"/>
        <v>5708446</v>
      </c>
      <c r="F86" s="470"/>
      <c r="G86" s="479">
        <f>29256.3066666667*12</f>
        <v>351075.68</v>
      </c>
      <c r="H86" s="476"/>
      <c r="I86" s="470">
        <f t="shared" si="80"/>
        <v>5357370.32</v>
      </c>
      <c r="J86" s="470">
        <v>200000</v>
      </c>
      <c r="K86" s="470">
        <v>0.2</v>
      </c>
      <c r="L86" s="470">
        <f t="shared" si="81"/>
        <v>1071474.064</v>
      </c>
      <c r="M86" s="470">
        <f t="shared" si="82"/>
        <v>1271474.064</v>
      </c>
      <c r="N86" s="470">
        <f t="shared" si="83"/>
        <v>1622549.744</v>
      </c>
      <c r="O86" s="470">
        <f t="shared" si="84"/>
        <v>4085896.256</v>
      </c>
      <c r="P86" s="470">
        <f t="shared" si="85"/>
        <v>21000</v>
      </c>
      <c r="Q86" s="470">
        <f t="shared" si="86"/>
        <v>33000</v>
      </c>
      <c r="R86" s="470">
        <f t="shared" si="87"/>
        <v>75000</v>
      </c>
      <c r="S86" s="470">
        <f t="shared" si="88"/>
        <v>95000</v>
      </c>
      <c r="T86" s="470">
        <f t="shared" si="89"/>
        <v>336000</v>
      </c>
      <c r="U86" s="470">
        <f t="shared" si="90"/>
        <v>212615.101439999</v>
      </c>
      <c r="V86" s="470">
        <f t="shared" si="91"/>
        <v>772615.101439999</v>
      </c>
      <c r="W86" s="471">
        <v>12</v>
      </c>
      <c r="X86" s="470">
        <f t="shared" si="92"/>
        <v>64384.5917866666</v>
      </c>
      <c r="Y86" s="476"/>
      <c r="Z86" s="470">
        <f t="shared" si="93"/>
        <v>64384.5917866666</v>
      </c>
      <c r="AA86" s="470">
        <v>53384.0535626667</v>
      </c>
      <c r="AB86" s="473">
        <f t="shared" si="94"/>
        <v>11000.5382239999</v>
      </c>
      <c r="AC86" s="473" t="s">
        <v>215</v>
      </c>
      <c r="AD86" s="473"/>
      <c r="AE86" s="473"/>
    </row>
    <row r="87" ht="24" customHeight="1" spans="1:31">
      <c r="A87" s="467">
        <v>75</v>
      </c>
      <c r="B87" s="11" t="s">
        <v>216</v>
      </c>
      <c r="C87" s="470">
        <v>510248.916666667</v>
      </c>
      <c r="D87" s="469">
        <v>12</v>
      </c>
      <c r="E87" s="470">
        <f t="shared" si="79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80"/>
        <v>5741425.543</v>
      </c>
      <c r="J87" s="470">
        <v>200000</v>
      </c>
      <c r="K87" s="470">
        <v>0.2</v>
      </c>
      <c r="L87" s="470">
        <f t="shared" si="81"/>
        <v>1148285.1086</v>
      </c>
      <c r="M87" s="470">
        <f t="shared" si="82"/>
        <v>1348285.1086</v>
      </c>
      <c r="N87" s="470">
        <f t="shared" si="83"/>
        <v>1729846.5656</v>
      </c>
      <c r="O87" s="470">
        <f t="shared" si="84"/>
        <v>4393140.4344</v>
      </c>
      <c r="P87" s="470">
        <f t="shared" si="85"/>
        <v>21000</v>
      </c>
      <c r="Q87" s="470">
        <f t="shared" si="86"/>
        <v>33000</v>
      </c>
      <c r="R87" s="470">
        <f t="shared" si="87"/>
        <v>75000</v>
      </c>
      <c r="S87" s="470">
        <f t="shared" si="88"/>
        <v>95000</v>
      </c>
      <c r="T87" s="470">
        <f t="shared" si="89"/>
        <v>336000</v>
      </c>
      <c r="U87" s="470">
        <f t="shared" si="90"/>
        <v>286353.704256001</v>
      </c>
      <c r="V87" s="470">
        <f t="shared" si="91"/>
        <v>846353.704256001</v>
      </c>
      <c r="W87" s="471">
        <v>12</v>
      </c>
      <c r="X87" s="470">
        <f t="shared" si="92"/>
        <v>70529.4753546667</v>
      </c>
      <c r="Y87" s="476"/>
      <c r="Z87" s="470">
        <f t="shared" si="93"/>
        <v>70529.4753546667</v>
      </c>
      <c r="AA87" s="470">
        <v>41242.0361406667</v>
      </c>
      <c r="AB87" s="473">
        <f t="shared" si="94"/>
        <v>29287.439214</v>
      </c>
      <c r="AC87" s="473" t="s">
        <v>216</v>
      </c>
      <c r="AD87" s="473"/>
      <c r="AE87" s="473"/>
    </row>
    <row r="88" ht="18" spans="1:31">
      <c r="A88" s="467">
        <v>76</v>
      </c>
      <c r="B88" s="11" t="s">
        <v>220</v>
      </c>
      <c r="C88" s="470">
        <v>400965.583333333</v>
      </c>
      <c r="D88" s="469">
        <v>12</v>
      </c>
      <c r="E88" s="470">
        <f t="shared" si="79"/>
        <v>4811587</v>
      </c>
      <c r="F88" s="470"/>
      <c r="G88" s="474">
        <v>288926.96</v>
      </c>
      <c r="H88" s="476"/>
      <c r="I88" s="470">
        <f t="shared" si="80"/>
        <v>4522660.04</v>
      </c>
      <c r="J88" s="470">
        <v>200000</v>
      </c>
      <c r="K88" s="470">
        <v>0.2</v>
      </c>
      <c r="L88" s="470">
        <f t="shared" si="81"/>
        <v>904532.007999999</v>
      </c>
      <c r="M88" s="470">
        <f t="shared" si="82"/>
        <v>1104532.008</v>
      </c>
      <c r="N88" s="470">
        <f t="shared" si="83"/>
        <v>1393458.968</v>
      </c>
      <c r="O88" s="470">
        <f t="shared" si="84"/>
        <v>3418128.032</v>
      </c>
      <c r="P88" s="470">
        <f t="shared" si="85"/>
        <v>21000</v>
      </c>
      <c r="Q88" s="470">
        <f t="shared" si="86"/>
        <v>33000</v>
      </c>
      <c r="R88" s="470">
        <f t="shared" si="87"/>
        <v>75000</v>
      </c>
      <c r="S88" s="470">
        <f t="shared" si="88"/>
        <v>95000</v>
      </c>
      <c r="T88" s="470">
        <f t="shared" si="89"/>
        <v>336000</v>
      </c>
      <c r="U88" s="470">
        <f t="shared" si="90"/>
        <v>52350.7276799992</v>
      </c>
      <c r="V88" s="470">
        <f t="shared" si="91"/>
        <v>612350.727679999</v>
      </c>
      <c r="W88" s="471">
        <v>12</v>
      </c>
      <c r="X88" s="470">
        <f t="shared" si="92"/>
        <v>51029.2273066666</v>
      </c>
      <c r="Y88" s="476"/>
      <c r="Z88" s="470">
        <f t="shared" si="93"/>
        <v>51029.2273066666</v>
      </c>
      <c r="AA88" s="470">
        <v>45414.4562526667</v>
      </c>
      <c r="AB88" s="473">
        <f t="shared" si="94"/>
        <v>5614.7710539999</v>
      </c>
      <c r="AC88" s="473" t="s">
        <v>220</v>
      </c>
      <c r="AD88" s="473"/>
      <c r="AE88" s="473"/>
    </row>
    <row r="89" ht="18" spans="1:31">
      <c r="A89" s="467"/>
      <c r="B89" s="11" t="s">
        <v>224</v>
      </c>
      <c r="C89" s="470">
        <v>330631.916666667</v>
      </c>
      <c r="D89" s="469">
        <v>12</v>
      </c>
      <c r="E89" s="470">
        <f t="shared" si="79"/>
        <v>3967583</v>
      </c>
      <c r="F89" s="470"/>
      <c r="G89" s="474">
        <v>221406.64</v>
      </c>
      <c r="H89" s="476"/>
      <c r="I89" s="470">
        <f t="shared" si="80"/>
        <v>3746176.36</v>
      </c>
      <c r="J89" s="470">
        <v>200000</v>
      </c>
      <c r="K89" s="470">
        <v>0.2</v>
      </c>
      <c r="L89" s="470">
        <f t="shared" si="81"/>
        <v>749235.272000001</v>
      </c>
      <c r="M89" s="470">
        <f t="shared" si="82"/>
        <v>949235.272000001</v>
      </c>
      <c r="N89" s="470">
        <f t="shared" si="83"/>
        <v>1170641.912</v>
      </c>
      <c r="O89" s="470">
        <f t="shared" si="84"/>
        <v>2796941.088</v>
      </c>
      <c r="P89" s="470">
        <f t="shared" si="85"/>
        <v>21000</v>
      </c>
      <c r="Q89" s="470">
        <f t="shared" si="86"/>
        <v>33000</v>
      </c>
      <c r="R89" s="470">
        <f t="shared" si="87"/>
        <v>75000</v>
      </c>
      <c r="S89" s="470">
        <f t="shared" si="88"/>
        <v>95000</v>
      </c>
      <c r="T89" s="470">
        <f t="shared" si="89"/>
        <v>251357.628480001</v>
      </c>
      <c r="U89" s="470"/>
      <c r="V89" s="470">
        <f t="shared" si="91"/>
        <v>475357.628480001</v>
      </c>
      <c r="W89" s="471">
        <v>12</v>
      </c>
      <c r="X89" s="470">
        <f t="shared" si="92"/>
        <v>39613.1357066667</v>
      </c>
      <c r="Y89" s="476"/>
      <c r="Z89" s="470">
        <f t="shared" si="93"/>
        <v>39613.1357066667</v>
      </c>
      <c r="AA89" s="470">
        <v>33825.9865626667</v>
      </c>
      <c r="AB89" s="473">
        <f t="shared" si="94"/>
        <v>5787.14914400001</v>
      </c>
      <c r="AC89" s="473" t="s">
        <v>224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226</v>
      </c>
      <c r="C92" s="470"/>
      <c r="AC92" s="473"/>
      <c r="AD92" s="473"/>
      <c r="AE92" s="473"/>
    </row>
    <row r="93" ht="18" spans="1:31">
      <c r="A93" s="467">
        <v>79</v>
      </c>
      <c r="B93" s="14" t="s">
        <v>227</v>
      </c>
      <c r="C93" s="470">
        <v>1452042.67</v>
      </c>
      <c r="D93" s="469">
        <v>12</v>
      </c>
      <c r="E93" s="470">
        <f t="shared" ref="E93:E96" si="95">C93*D93</f>
        <v>17424512.04</v>
      </c>
      <c r="F93" s="470">
        <f>'[6]JANUARY 2024'!$V$98*12</f>
        <v>12795.951</v>
      </c>
      <c r="G93" s="474">
        <f>(0.08*1352042.67)*12</f>
        <v>1297960.9632</v>
      </c>
      <c r="H93" s="476"/>
      <c r="I93" s="470">
        <f t="shared" ref="I93:I96" si="96">E93-F93-G93-H93</f>
        <v>16113755.1258</v>
      </c>
      <c r="J93" s="470">
        <v>200000</v>
      </c>
      <c r="K93" s="470">
        <v>0.2</v>
      </c>
      <c r="L93" s="470">
        <f t="shared" ref="L93:L96" si="97">I93*K93</f>
        <v>3222751.02516</v>
      </c>
      <c r="M93" s="470">
        <f t="shared" ref="M93:M96" si="98">J93+L93</f>
        <v>3422751.02516</v>
      </c>
      <c r="N93" s="470">
        <f t="shared" ref="N93:N96" si="99">F93+G93+H93+M93</f>
        <v>4733507.93936</v>
      </c>
      <c r="O93" s="470">
        <f t="shared" ref="O93:O96" si="100">E93-N93</f>
        <v>12691004.10064</v>
      </c>
      <c r="P93" s="470">
        <f t="shared" ref="P93:P96" si="101">IF(O93&lt;300000,0.07*O93,21000)</f>
        <v>21000</v>
      </c>
      <c r="Q93" s="470">
        <f t="shared" ref="Q93:Q96" si="102">IF((O93-300000)&lt;0,0,IF((O93-300000)&lt;300000,0.11*(O93-300000),33000))</f>
        <v>33000</v>
      </c>
      <c r="R93" s="470">
        <f t="shared" ref="R93:R96" si="103">IF((O93-600000)&lt;0,0,IF((O93-600000)&lt;500000,0.15*(O93-600000),75000))</f>
        <v>75000</v>
      </c>
      <c r="S93" s="470">
        <f t="shared" ref="S93:S96" si="104">IF((O93-1100000)&lt;0,0,IF((O93-1100000)&lt;500000,0.19*(O93-1100000),95000))</f>
        <v>95000</v>
      </c>
      <c r="T93" s="470">
        <f t="shared" ref="T93:T96" si="105">IF((O93-1600000)&lt;0,0,IF((O93-1600000)&lt;1600000,0.21*(O93-1600000),336000))</f>
        <v>336000</v>
      </c>
      <c r="U93" s="470">
        <f t="shared" ref="U93:U95" si="106">24%*(O93-3200000)</f>
        <v>2277840.9841536</v>
      </c>
      <c r="V93" s="470">
        <f t="shared" ref="V93:V96" si="107">P93+Q93+R93+S93+T93+U93</f>
        <v>2837840.9841536</v>
      </c>
      <c r="W93" s="471">
        <v>12</v>
      </c>
      <c r="X93" s="470">
        <f t="shared" ref="X93:X96" si="108">V93/W93</f>
        <v>236486.748679467</v>
      </c>
      <c r="Y93" s="476"/>
      <c r="Z93" s="470">
        <f t="shared" ref="Z93:Z96" si="109">X93</f>
        <v>236486.748679467</v>
      </c>
      <c r="AA93" s="473">
        <v>82423.2162026667</v>
      </c>
      <c r="AB93" s="473">
        <f t="shared" ref="AB93:AB96" si="110">Z93-AA93</f>
        <v>154063.5324768</v>
      </c>
      <c r="AC93" s="473" t="s">
        <v>227</v>
      </c>
      <c r="AD93" s="473"/>
      <c r="AE93" s="473"/>
    </row>
    <row r="94" ht="18" spans="1:31">
      <c r="A94" s="467">
        <v>80</v>
      </c>
      <c r="B94" s="11" t="s">
        <v>229</v>
      </c>
      <c r="C94" s="470">
        <v>526622.25</v>
      </c>
      <c r="D94" s="469">
        <v>12</v>
      </c>
      <c r="E94" s="470">
        <f t="shared" si="95"/>
        <v>6319467</v>
      </c>
      <c r="F94" s="470"/>
      <c r="G94" s="474">
        <v>438357.36</v>
      </c>
      <c r="H94" s="476"/>
      <c r="I94" s="470">
        <f t="shared" si="96"/>
        <v>5881109.64</v>
      </c>
      <c r="J94" s="470">
        <v>200000</v>
      </c>
      <c r="K94" s="470">
        <v>0.2</v>
      </c>
      <c r="L94" s="470">
        <f t="shared" si="97"/>
        <v>1176221.928</v>
      </c>
      <c r="M94" s="470">
        <f t="shared" si="98"/>
        <v>1376221.928</v>
      </c>
      <c r="N94" s="470">
        <f t="shared" si="99"/>
        <v>1814579.288</v>
      </c>
      <c r="O94" s="470">
        <f t="shared" si="100"/>
        <v>4504887.712</v>
      </c>
      <c r="P94" s="470">
        <f t="shared" si="101"/>
        <v>21000</v>
      </c>
      <c r="Q94" s="470">
        <f t="shared" si="102"/>
        <v>33000</v>
      </c>
      <c r="R94" s="470">
        <f t="shared" si="103"/>
        <v>75000</v>
      </c>
      <c r="S94" s="470">
        <f t="shared" si="104"/>
        <v>95000</v>
      </c>
      <c r="T94" s="470">
        <f t="shared" si="105"/>
        <v>336000</v>
      </c>
      <c r="U94" s="470">
        <f t="shared" si="106"/>
        <v>313173.05088</v>
      </c>
      <c r="V94" s="470">
        <f t="shared" si="107"/>
        <v>873173.05088</v>
      </c>
      <c r="W94" s="471">
        <v>12</v>
      </c>
      <c r="X94" s="470">
        <f t="shared" si="108"/>
        <v>72764.4209066667</v>
      </c>
      <c r="Y94" s="476"/>
      <c r="Z94" s="470">
        <f t="shared" si="109"/>
        <v>72764.4209066667</v>
      </c>
      <c r="AA94" s="473">
        <v>82627.9514186667</v>
      </c>
      <c r="AB94" s="473">
        <f t="shared" si="110"/>
        <v>-9863.53051200004</v>
      </c>
      <c r="AC94" s="473" t="s">
        <v>229</v>
      </c>
      <c r="AD94" s="473"/>
      <c r="AE94" s="473"/>
    </row>
    <row r="95" ht="18" spans="1:31">
      <c r="A95" s="467">
        <v>81</v>
      </c>
      <c r="B95" s="11" t="s">
        <v>235</v>
      </c>
      <c r="C95" s="470">
        <v>437895.166666667</v>
      </c>
      <c r="D95" s="469">
        <v>12</v>
      </c>
      <c r="E95" s="470">
        <f t="shared" si="95"/>
        <v>5254742</v>
      </c>
      <c r="F95" s="470"/>
      <c r="G95" s="474">
        <v>362779.36</v>
      </c>
      <c r="H95" s="476"/>
      <c r="I95" s="470">
        <f t="shared" si="96"/>
        <v>4891962.64</v>
      </c>
      <c r="J95" s="470">
        <v>200000</v>
      </c>
      <c r="K95" s="470">
        <v>0.2</v>
      </c>
      <c r="L95" s="470">
        <f t="shared" si="97"/>
        <v>978392.528000001</v>
      </c>
      <c r="M95" s="470">
        <f t="shared" si="98"/>
        <v>1178392.528</v>
      </c>
      <c r="N95" s="470">
        <f t="shared" si="99"/>
        <v>1541171.888</v>
      </c>
      <c r="O95" s="470">
        <f t="shared" si="100"/>
        <v>3713570.112</v>
      </c>
      <c r="P95" s="470">
        <f t="shared" si="101"/>
        <v>21000</v>
      </c>
      <c r="Q95" s="470">
        <f t="shared" si="102"/>
        <v>33000</v>
      </c>
      <c r="R95" s="470">
        <f t="shared" si="103"/>
        <v>75000</v>
      </c>
      <c r="S95" s="470">
        <f t="shared" si="104"/>
        <v>95000</v>
      </c>
      <c r="T95" s="470">
        <f t="shared" si="105"/>
        <v>336000</v>
      </c>
      <c r="U95" s="470">
        <f t="shared" si="106"/>
        <v>123256.826880001</v>
      </c>
      <c r="V95" s="470">
        <f t="shared" si="107"/>
        <v>683256.826880001</v>
      </c>
      <c r="W95" s="471">
        <v>12</v>
      </c>
      <c r="X95" s="470">
        <f t="shared" si="108"/>
        <v>56938.0689066667</v>
      </c>
      <c r="Y95" s="476"/>
      <c r="Z95" s="470">
        <f t="shared" si="109"/>
        <v>56938.0689066667</v>
      </c>
      <c r="AA95" s="473">
        <v>43492.3733766667</v>
      </c>
      <c r="AB95" s="473">
        <f t="shared" si="110"/>
        <v>13445.69553</v>
      </c>
      <c r="AC95" s="473" t="s">
        <v>235</v>
      </c>
      <c r="AD95" s="473"/>
      <c r="AE95" s="473"/>
    </row>
    <row r="96" ht="18" spans="1:31">
      <c r="A96" s="467"/>
      <c r="B96" s="11" t="s">
        <v>236</v>
      </c>
      <c r="C96" s="470">
        <v>360965.583333333</v>
      </c>
      <c r="D96" s="469">
        <v>12</v>
      </c>
      <c r="E96" s="470">
        <f t="shared" si="95"/>
        <v>4331587</v>
      </c>
      <c r="F96" s="470"/>
      <c r="G96" s="474">
        <v>288926.96</v>
      </c>
      <c r="H96" s="476"/>
      <c r="I96" s="470">
        <f t="shared" si="96"/>
        <v>4042660.04</v>
      </c>
      <c r="J96" s="470">
        <v>200000</v>
      </c>
      <c r="K96" s="470">
        <v>0.2</v>
      </c>
      <c r="L96" s="470">
        <f t="shared" si="97"/>
        <v>808532.007999999</v>
      </c>
      <c r="M96" s="470">
        <f t="shared" si="98"/>
        <v>1008532.008</v>
      </c>
      <c r="N96" s="470">
        <f t="shared" si="99"/>
        <v>1297458.968</v>
      </c>
      <c r="O96" s="470">
        <f t="shared" si="100"/>
        <v>3034128.032</v>
      </c>
      <c r="P96" s="470">
        <f t="shared" si="101"/>
        <v>21000</v>
      </c>
      <c r="Q96" s="470">
        <f t="shared" si="102"/>
        <v>33000</v>
      </c>
      <c r="R96" s="470">
        <f t="shared" si="103"/>
        <v>75000</v>
      </c>
      <c r="S96" s="470">
        <f t="shared" si="104"/>
        <v>95000</v>
      </c>
      <c r="T96" s="470">
        <f t="shared" si="105"/>
        <v>301166.886719999</v>
      </c>
      <c r="U96" s="470"/>
      <c r="V96" s="470">
        <f t="shared" si="107"/>
        <v>525166.886719999</v>
      </c>
      <c r="W96" s="471">
        <v>12</v>
      </c>
      <c r="X96" s="470">
        <f t="shared" si="108"/>
        <v>43763.9072266666</v>
      </c>
      <c r="Y96" s="476"/>
      <c r="Z96" s="470">
        <f t="shared" si="109"/>
        <v>43763.9072266666</v>
      </c>
      <c r="AA96" s="473">
        <v>34968.8824146667</v>
      </c>
      <c r="AB96" s="473">
        <f t="shared" si="110"/>
        <v>8795.02481199991</v>
      </c>
      <c r="AC96" s="473" t="s">
        <v>236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AC98" s="473"/>
      <c r="AD98" s="473"/>
      <c r="AE98" s="473"/>
    </row>
    <row r="99" ht="35" spans="1:31">
      <c r="A99" s="467">
        <v>84</v>
      </c>
      <c r="B99" s="20" t="s">
        <v>239</v>
      </c>
      <c r="C99" s="470"/>
      <c r="G99" s="296">
        <v>0</v>
      </c>
      <c r="AB99" s="296" t="s">
        <v>883</v>
      </c>
      <c r="AC99" s="473"/>
      <c r="AD99" s="473"/>
      <c r="AE99" s="473"/>
    </row>
    <row r="100" ht="18" spans="1:31">
      <c r="A100" s="467">
        <v>85</v>
      </c>
      <c r="B100" s="11" t="s">
        <v>652</v>
      </c>
      <c r="C100" s="470">
        <v>1635720</v>
      </c>
      <c r="D100" s="469">
        <v>12</v>
      </c>
      <c r="E100" s="470">
        <f t="shared" ref="E100:E106" si="111">C100*D100</f>
        <v>19628640</v>
      </c>
      <c r="F100" s="470"/>
      <c r="G100" s="474">
        <v>1378291.2</v>
      </c>
      <c r="H100" s="476"/>
      <c r="I100" s="470">
        <f t="shared" ref="I100:I105" si="112">E100-F100-G100-H100</f>
        <v>18250348.8</v>
      </c>
      <c r="J100" s="470">
        <v>200000</v>
      </c>
      <c r="K100" s="470">
        <v>0.2</v>
      </c>
      <c r="L100" s="470">
        <f t="shared" ref="L100:L106" si="113">I100*K100</f>
        <v>3650069.76</v>
      </c>
      <c r="M100" s="470">
        <f t="shared" ref="M100:M106" si="114">J100+L100</f>
        <v>3850069.76</v>
      </c>
      <c r="N100" s="470">
        <f t="shared" ref="N100:N105" si="115">F100+G100+H100+M100</f>
        <v>5228360.96</v>
      </c>
      <c r="O100" s="470">
        <f t="shared" ref="O100:O106" si="116">E100-N100</f>
        <v>14400279.04</v>
      </c>
      <c r="P100" s="470">
        <f t="shared" ref="P100:P106" si="117">IF(O100&lt;300000,0.07*O100,21000)</f>
        <v>21000</v>
      </c>
      <c r="Q100" s="470">
        <f t="shared" ref="Q100:Q106" si="118">IF((O100-300000)&lt;0,0,IF((O100-300000)&lt;300000,0.11*(O100-300000),33000))</f>
        <v>33000</v>
      </c>
      <c r="R100" s="470">
        <f t="shared" ref="R100:R106" si="119">IF((O100-600000)&lt;0,0,IF((O100-600000)&lt;500000,0.15*(O100-600000),75000))</f>
        <v>75000</v>
      </c>
      <c r="S100" s="470">
        <f t="shared" ref="S100:S106" si="120">IF((O100-1100000)&lt;0,0,IF((O100-1100000)&lt;500000,0.19*(O100-1100000),95000))</f>
        <v>95000</v>
      </c>
      <c r="T100" s="470">
        <f t="shared" ref="T100:T106" si="121">IF((O100-1600000)&lt;0,0,IF((O100-1600000)&lt;1600000,0.21*(O100-1600000),336000))</f>
        <v>336000</v>
      </c>
      <c r="U100" s="470">
        <f t="shared" ref="U100:U102" si="122">24%*(O100-3200000)</f>
        <v>2688066.9696</v>
      </c>
      <c r="V100" s="470">
        <f t="shared" ref="V100:V106" si="123">P100+Q100+R100+S100+T100+U100</f>
        <v>3248066.9696</v>
      </c>
      <c r="W100" s="471">
        <v>12</v>
      </c>
      <c r="X100" s="470">
        <f t="shared" ref="X100:X106" si="124">V100/W100</f>
        <v>270672.247466667</v>
      </c>
      <c r="Y100" s="476"/>
      <c r="Z100" s="470">
        <f t="shared" ref="Z100:Z106" si="125">X100</f>
        <v>270672.247466667</v>
      </c>
      <c r="AA100" s="473">
        <v>180306.806858667</v>
      </c>
      <c r="AB100" s="473">
        <f t="shared" ref="AB100:AB106" si="126">Z100-AA100</f>
        <v>90365.4406079996</v>
      </c>
      <c r="AC100" s="473" t="s">
        <v>652</v>
      </c>
      <c r="AD100" s="473"/>
      <c r="AE100" s="473"/>
    </row>
    <row r="101" ht="18" spans="1:31">
      <c r="A101" s="467">
        <v>86</v>
      </c>
      <c r="B101" s="11" t="s">
        <v>242</v>
      </c>
      <c r="C101" s="470">
        <v>942373.166666667</v>
      </c>
      <c r="D101" s="469">
        <v>12</v>
      </c>
      <c r="E101" s="470">
        <f t="shared" si="111"/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112"/>
        <v>10563803.809</v>
      </c>
      <c r="J101" s="470">
        <v>200000</v>
      </c>
      <c r="K101" s="470">
        <v>0.2</v>
      </c>
      <c r="L101" s="470">
        <f t="shared" si="113"/>
        <v>2112760.7618</v>
      </c>
      <c r="M101" s="470">
        <f t="shared" si="114"/>
        <v>2312760.7618</v>
      </c>
      <c r="N101" s="470">
        <f t="shared" si="115"/>
        <v>3057434.9528</v>
      </c>
      <c r="O101" s="470">
        <f t="shared" si="116"/>
        <v>8251043.0472</v>
      </c>
      <c r="P101" s="470">
        <f t="shared" si="117"/>
        <v>21000</v>
      </c>
      <c r="Q101" s="470">
        <f t="shared" si="118"/>
        <v>33000</v>
      </c>
      <c r="R101" s="470">
        <f t="shared" si="119"/>
        <v>75000</v>
      </c>
      <c r="S101" s="470">
        <f t="shared" si="120"/>
        <v>95000</v>
      </c>
      <c r="T101" s="470">
        <f t="shared" si="121"/>
        <v>336000</v>
      </c>
      <c r="U101" s="470">
        <f t="shared" si="122"/>
        <v>1212250.331328</v>
      </c>
      <c r="V101" s="470">
        <f t="shared" si="123"/>
        <v>1772250.331328</v>
      </c>
      <c r="W101" s="471">
        <v>12</v>
      </c>
      <c r="X101" s="470">
        <f t="shared" si="124"/>
        <v>147687.527610667</v>
      </c>
      <c r="Y101" s="476"/>
      <c r="Z101" s="470">
        <f t="shared" si="125"/>
        <v>147687.527610667</v>
      </c>
      <c r="AA101" s="473">
        <v>99703.2162026667</v>
      </c>
      <c r="AB101" s="473">
        <f t="shared" si="126"/>
        <v>47984.311408</v>
      </c>
      <c r="AC101" s="473" t="s">
        <v>242</v>
      </c>
      <c r="AD101" s="473"/>
      <c r="AE101" s="473"/>
    </row>
    <row r="102" ht="18" spans="1:31">
      <c r="A102" s="467">
        <v>87</v>
      </c>
      <c r="B102" s="11" t="s">
        <v>244</v>
      </c>
      <c r="C102" s="470">
        <v>700086.5</v>
      </c>
      <c r="D102" s="469">
        <v>12</v>
      </c>
      <c r="E102" s="470">
        <f t="shared" si="111"/>
        <v>8401038</v>
      </c>
      <c r="F102" s="470">
        <f>'[6]JANUARY 2024'!$V$107*12</f>
        <v>7901.79</v>
      </c>
      <c r="G102" s="474">
        <v>424132.72</v>
      </c>
      <c r="H102" s="476"/>
      <c r="I102" s="470">
        <f t="shared" si="112"/>
        <v>7969003.49</v>
      </c>
      <c r="J102" s="470">
        <v>200000</v>
      </c>
      <c r="K102" s="470">
        <v>0.2</v>
      </c>
      <c r="L102" s="470">
        <f t="shared" si="113"/>
        <v>1593800.698</v>
      </c>
      <c r="M102" s="470">
        <f t="shared" si="114"/>
        <v>1793800.698</v>
      </c>
      <c r="N102" s="470">
        <f t="shared" si="115"/>
        <v>2225835.208</v>
      </c>
      <c r="O102" s="470">
        <f t="shared" si="116"/>
        <v>6175202.792</v>
      </c>
      <c r="P102" s="470">
        <f t="shared" si="117"/>
        <v>21000</v>
      </c>
      <c r="Q102" s="470">
        <f t="shared" si="118"/>
        <v>33000</v>
      </c>
      <c r="R102" s="470">
        <f t="shared" si="119"/>
        <v>75000</v>
      </c>
      <c r="S102" s="470">
        <f t="shared" si="120"/>
        <v>95000</v>
      </c>
      <c r="T102" s="470">
        <f t="shared" si="121"/>
        <v>336000</v>
      </c>
      <c r="U102" s="470">
        <f t="shared" si="122"/>
        <v>714048.67008</v>
      </c>
      <c r="V102" s="470">
        <f t="shared" si="123"/>
        <v>1274048.67008</v>
      </c>
      <c r="W102" s="471">
        <v>12</v>
      </c>
      <c r="X102" s="470">
        <f t="shared" si="124"/>
        <v>106170.722506667</v>
      </c>
      <c r="Y102" s="476"/>
      <c r="Z102" s="470">
        <f t="shared" si="125"/>
        <v>106170.722506667</v>
      </c>
      <c r="AA102" s="473">
        <v>180180.378218667</v>
      </c>
      <c r="AB102" s="473">
        <f t="shared" si="126"/>
        <v>-74009.6557120003</v>
      </c>
      <c r="AC102" s="473" t="s">
        <v>244</v>
      </c>
      <c r="AD102" s="473"/>
      <c r="AE102" s="473"/>
    </row>
    <row r="103" ht="18" spans="1:31">
      <c r="A103" s="467">
        <v>88</v>
      </c>
      <c r="B103" s="11" t="s">
        <v>246</v>
      </c>
      <c r="C103" s="470">
        <v>601625.033321667</v>
      </c>
      <c r="D103" s="469">
        <v>12</v>
      </c>
      <c r="E103" s="470">
        <f t="shared" si="111"/>
        <v>7219500.39986</v>
      </c>
      <c r="F103" s="470"/>
      <c r="G103" s="474">
        <v>424132.72</v>
      </c>
      <c r="H103" s="476"/>
      <c r="I103" s="470">
        <f t="shared" si="112"/>
        <v>6795367.67986</v>
      </c>
      <c r="J103" s="470">
        <v>200000</v>
      </c>
      <c r="K103" s="470">
        <v>0.2</v>
      </c>
      <c r="L103" s="470">
        <f t="shared" si="113"/>
        <v>1359073.535972</v>
      </c>
      <c r="M103" s="470">
        <f t="shared" si="114"/>
        <v>1559073.535972</v>
      </c>
      <c r="N103" s="470">
        <f t="shared" si="115"/>
        <v>1983206.255972</v>
      </c>
      <c r="O103" s="470">
        <f t="shared" si="116"/>
        <v>5236294.143888</v>
      </c>
      <c r="P103" s="470">
        <f t="shared" si="117"/>
        <v>21000</v>
      </c>
      <c r="Q103" s="470">
        <f t="shared" si="118"/>
        <v>33000</v>
      </c>
      <c r="R103" s="470">
        <f t="shared" si="119"/>
        <v>75000</v>
      </c>
      <c r="S103" s="470">
        <f t="shared" si="120"/>
        <v>95000</v>
      </c>
      <c r="T103" s="470">
        <f t="shared" si="121"/>
        <v>336000</v>
      </c>
      <c r="U103" s="470">
        <f>0.24*(O103-3200000)</f>
        <v>488710.594533121</v>
      </c>
      <c r="V103" s="470">
        <f t="shared" si="123"/>
        <v>1048710.59453312</v>
      </c>
      <c r="W103" s="471">
        <v>12</v>
      </c>
      <c r="X103" s="470">
        <f t="shared" si="124"/>
        <v>87392.5495444267</v>
      </c>
      <c r="Y103" s="476"/>
      <c r="Z103" s="470">
        <f t="shared" si="125"/>
        <v>87392.5495444267</v>
      </c>
      <c r="AA103" s="473">
        <v>99907.9514186667</v>
      </c>
      <c r="AB103" s="473">
        <f t="shared" si="126"/>
        <v>-12515.40187424</v>
      </c>
      <c r="AC103" s="473" t="s">
        <v>246</v>
      </c>
      <c r="AD103" s="473"/>
      <c r="AE103" s="473"/>
    </row>
    <row r="104" ht="18" spans="1:31">
      <c r="A104" s="467">
        <v>89</v>
      </c>
      <c r="B104" s="11" t="s">
        <v>249</v>
      </c>
      <c r="C104" s="470">
        <v>374481.864146667</v>
      </c>
      <c r="D104" s="469">
        <v>12</v>
      </c>
      <c r="E104" s="470">
        <f t="shared" si="111"/>
        <v>4493782.36976</v>
      </c>
      <c r="F104" s="470"/>
      <c r="G104" s="474">
        <v>239182.48</v>
      </c>
      <c r="H104" s="476"/>
      <c r="I104" s="470">
        <f t="shared" si="112"/>
        <v>4254599.88976</v>
      </c>
      <c r="J104" s="470">
        <v>200000</v>
      </c>
      <c r="K104" s="470">
        <v>0.2</v>
      </c>
      <c r="L104" s="470">
        <f t="shared" si="113"/>
        <v>850919.977952001</v>
      </c>
      <c r="M104" s="470">
        <f t="shared" si="114"/>
        <v>1050919.977952</v>
      </c>
      <c r="N104" s="470">
        <f t="shared" si="115"/>
        <v>1290102.457952</v>
      </c>
      <c r="O104" s="470">
        <f t="shared" si="116"/>
        <v>3203679.911808</v>
      </c>
      <c r="P104" s="470">
        <f t="shared" si="117"/>
        <v>21000</v>
      </c>
      <c r="Q104" s="470">
        <f t="shared" si="118"/>
        <v>33000</v>
      </c>
      <c r="R104" s="470">
        <f t="shared" si="119"/>
        <v>75000</v>
      </c>
      <c r="S104" s="470">
        <f t="shared" si="120"/>
        <v>95000</v>
      </c>
      <c r="T104" s="470">
        <f t="shared" si="121"/>
        <v>336000</v>
      </c>
      <c r="U104" s="470">
        <f>0.24*(O104-3200000)</f>
        <v>883.178833920769</v>
      </c>
      <c r="V104" s="470">
        <f t="shared" si="123"/>
        <v>560883.178833921</v>
      </c>
      <c r="W104" s="471">
        <v>12</v>
      </c>
      <c r="X104" s="470">
        <f t="shared" si="124"/>
        <v>46740.2649028267</v>
      </c>
      <c r="Y104" s="476"/>
      <c r="Z104" s="470">
        <f t="shared" si="125"/>
        <v>46740.2649028267</v>
      </c>
      <c r="AA104" s="473">
        <v>58941.1017434667</v>
      </c>
      <c r="AB104" s="473">
        <f t="shared" si="126"/>
        <v>-12200.83684064</v>
      </c>
      <c r="AC104" s="473" t="s">
        <v>249</v>
      </c>
      <c r="AD104" s="473"/>
      <c r="AE104" s="473"/>
    </row>
    <row r="105" ht="36" spans="1:31">
      <c r="A105" s="467"/>
      <c r="B105" s="18" t="s">
        <v>252</v>
      </c>
      <c r="C105" s="470">
        <v>588275.17122</v>
      </c>
      <c r="D105" s="469">
        <v>12</v>
      </c>
      <c r="E105" s="470">
        <f t="shared" si="111"/>
        <v>7059302.05464</v>
      </c>
      <c r="F105" s="470"/>
      <c r="G105" s="474">
        <v>233257.2</v>
      </c>
      <c r="H105" s="476"/>
      <c r="I105" s="470">
        <f t="shared" si="112"/>
        <v>6826044.85464</v>
      </c>
      <c r="J105" s="470">
        <v>200000</v>
      </c>
      <c r="K105" s="470">
        <v>0.2</v>
      </c>
      <c r="L105" s="470">
        <f t="shared" si="113"/>
        <v>1365208.970928</v>
      </c>
      <c r="M105" s="470">
        <f t="shared" si="114"/>
        <v>1565208.970928</v>
      </c>
      <c r="N105" s="470">
        <f t="shared" si="115"/>
        <v>1798466.170928</v>
      </c>
      <c r="O105" s="470">
        <f t="shared" si="116"/>
        <v>5260835.883712</v>
      </c>
      <c r="P105" s="470">
        <f t="shared" si="117"/>
        <v>21000</v>
      </c>
      <c r="Q105" s="470">
        <f t="shared" si="118"/>
        <v>33000</v>
      </c>
      <c r="R105" s="470">
        <f t="shared" si="119"/>
        <v>75000</v>
      </c>
      <c r="S105" s="470">
        <f t="shared" si="120"/>
        <v>95000</v>
      </c>
      <c r="T105" s="470">
        <f t="shared" si="121"/>
        <v>336000</v>
      </c>
      <c r="U105" s="470">
        <f>0.24*(O105-3200000)</f>
        <v>494600.61209088</v>
      </c>
      <c r="V105" s="470">
        <f t="shared" si="123"/>
        <v>1054600.61209088</v>
      </c>
      <c r="W105" s="471">
        <v>12</v>
      </c>
      <c r="X105" s="470">
        <f t="shared" si="124"/>
        <v>87883.3843409066</v>
      </c>
      <c r="Y105" s="476"/>
      <c r="Z105" s="470">
        <f t="shared" si="125"/>
        <v>87883.3843409066</v>
      </c>
      <c r="AA105" s="473">
        <v>58631.4399444267</v>
      </c>
      <c r="AB105" s="473">
        <f t="shared" si="126"/>
        <v>29251.94439648</v>
      </c>
      <c r="AC105" s="473" t="s">
        <v>252</v>
      </c>
      <c r="AD105" s="473"/>
      <c r="AE105" s="473"/>
    </row>
    <row r="106" ht="18" spans="1:31">
      <c r="A106" s="467"/>
      <c r="B106" s="18" t="s">
        <v>253</v>
      </c>
      <c r="C106" s="470">
        <v>355198.112111667</v>
      </c>
      <c r="D106" s="469">
        <v>12</v>
      </c>
      <c r="E106" s="470">
        <f t="shared" si="11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113"/>
        <v>808194.141068001</v>
      </c>
      <c r="M106" s="470">
        <f t="shared" si="114"/>
        <v>1008194.141068</v>
      </c>
      <c r="N106" s="470">
        <f>F107+G106+H106+M106</f>
        <v>1229600.781068</v>
      </c>
      <c r="O106" s="470">
        <f t="shared" si="116"/>
        <v>3032776.564272</v>
      </c>
      <c r="P106" s="470">
        <f t="shared" si="117"/>
        <v>21000</v>
      </c>
      <c r="Q106" s="470">
        <f t="shared" si="118"/>
        <v>33000</v>
      </c>
      <c r="R106" s="470">
        <f t="shared" si="119"/>
        <v>75000</v>
      </c>
      <c r="S106" s="470">
        <f t="shared" si="120"/>
        <v>95000</v>
      </c>
      <c r="T106" s="470">
        <f t="shared" si="121"/>
        <v>300883.078497121</v>
      </c>
      <c r="U106" s="470"/>
      <c r="V106" s="470">
        <f t="shared" si="123"/>
        <v>524883.078497121</v>
      </c>
      <c r="W106" s="471">
        <v>12</v>
      </c>
      <c r="X106" s="470">
        <f t="shared" si="124"/>
        <v>43740.2565414267</v>
      </c>
      <c r="Y106" s="476"/>
      <c r="Z106" s="470">
        <f t="shared" si="125"/>
        <v>43740.2565414267</v>
      </c>
      <c r="AA106" s="473">
        <v>31871.3352033067</v>
      </c>
      <c r="AB106" s="473">
        <f t="shared" si="126"/>
        <v>11868.92133812</v>
      </c>
      <c r="AC106" s="473" t="s">
        <v>253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AC108" s="473"/>
      <c r="AD108" s="473"/>
      <c r="AE108" s="473"/>
    </row>
    <row r="109" ht="35" spans="1:31">
      <c r="A109" s="467">
        <v>91</v>
      </c>
      <c r="B109" s="20" t="s">
        <v>257</v>
      </c>
      <c r="C109" s="470"/>
      <c r="G109" s="474"/>
      <c r="U109" s="47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888080.266666667</v>
      </c>
      <c r="D110" s="469">
        <v>12</v>
      </c>
      <c r="E110" s="470">
        <f t="shared" ref="E110:E112" si="127">C110*D110</f>
        <v>10656963.2</v>
      </c>
      <c r="F110" s="470">
        <f>'[6]JANUARY 2024'!$V$115*12</f>
        <v>9678.96</v>
      </c>
      <c r="G110" s="474">
        <v>577340.96</v>
      </c>
      <c r="H110" s="476"/>
      <c r="I110" s="470">
        <f t="shared" ref="I110:I112" si="128">E110-F110-G110-H110</f>
        <v>10069943.28</v>
      </c>
      <c r="J110" s="470">
        <v>200000</v>
      </c>
      <c r="K110" s="470">
        <v>0.2</v>
      </c>
      <c r="L110" s="470">
        <f t="shared" ref="L110:L112" si="129">I110*K110</f>
        <v>2013988.656</v>
      </c>
      <c r="M110" s="470">
        <f t="shared" ref="M110:M112" si="130">J110+L110</f>
        <v>2213988.656</v>
      </c>
      <c r="N110" s="470">
        <f t="shared" ref="N110:N112" si="131">F110+G110+H110+M110</f>
        <v>2801008.576</v>
      </c>
      <c r="O110" s="470">
        <f t="shared" ref="O110:O112" si="132">E110-N110</f>
        <v>7855954.624</v>
      </c>
      <c r="P110" s="470">
        <f t="shared" ref="P110:P112" si="133">IF(O110&lt;300000,0.07*O110,21000)</f>
        <v>21000</v>
      </c>
      <c r="Q110" s="470">
        <f t="shared" ref="Q110:Q112" si="134">IF((O110-300000)&lt;0,0,IF((O110-300000)&lt;300000,0.11*(O110-300000),33000))</f>
        <v>33000</v>
      </c>
      <c r="R110" s="470">
        <f t="shared" ref="R110:R112" si="135">IF((O110-600000)&lt;0,0,IF((O110-600000)&lt;500000,0.15*(O110-600000),75000))</f>
        <v>75000</v>
      </c>
      <c r="S110" s="470">
        <f t="shared" ref="S110:S112" si="136">IF((O110-1100000)&lt;0,0,IF((O110-1100000)&lt;500000,0.19*(O110-1100000),95000))</f>
        <v>95000</v>
      </c>
      <c r="T110" s="470">
        <f t="shared" ref="T110:T112" si="137">IF((O110-1600000)&lt;0,0,IF((O110-1600000)&lt;1600000,0.21*(O110-1600000),336000))</f>
        <v>336000</v>
      </c>
      <c r="U110" s="470">
        <f t="shared" ref="U110:U112" si="138">0.24*(O110-3200000)</f>
        <v>1117429.10976</v>
      </c>
      <c r="V110" s="470">
        <f t="shared" ref="V110:V112" si="139">P110+Q110+R110+S110+T110+U110</f>
        <v>1677429.10976</v>
      </c>
      <c r="W110" s="471">
        <v>12</v>
      </c>
      <c r="X110" s="470">
        <f t="shared" ref="X110:X112" si="140">V110/W110</f>
        <v>139785.759146667</v>
      </c>
      <c r="Y110" s="476"/>
      <c r="Z110" s="470">
        <f t="shared" ref="Z110:Z112" si="141">X110</f>
        <v>139785.759146667</v>
      </c>
      <c r="AA110" s="473">
        <v>77610.1169066667</v>
      </c>
      <c r="AB110" s="473">
        <f t="shared" ref="AB110:AB112" si="142">Z110-AA110</f>
        <v>62175.64224</v>
      </c>
      <c r="AC110" s="473"/>
      <c r="AD110" s="473"/>
      <c r="AE110" s="473"/>
    </row>
    <row r="111" ht="18" spans="1:31">
      <c r="A111" s="467">
        <v>93</v>
      </c>
      <c r="B111" s="11" t="s">
        <v>259</v>
      </c>
      <c r="C111" s="470">
        <v>487895.166666667</v>
      </c>
      <c r="D111" s="469">
        <v>12</v>
      </c>
      <c r="E111" s="470">
        <f t="shared" si="127"/>
        <v>5854742</v>
      </c>
      <c r="F111" s="470"/>
      <c r="G111" s="474">
        <v>362779.36</v>
      </c>
      <c r="H111" s="476"/>
      <c r="I111" s="470">
        <f t="shared" si="128"/>
        <v>5491962.64</v>
      </c>
      <c r="J111" s="470">
        <v>200000</v>
      </c>
      <c r="K111" s="470">
        <v>0.2</v>
      </c>
      <c r="L111" s="470">
        <f t="shared" si="129"/>
        <v>1098392.528</v>
      </c>
      <c r="M111" s="470">
        <f t="shared" si="130"/>
        <v>1298392.528</v>
      </c>
      <c r="N111" s="470">
        <f t="shared" si="131"/>
        <v>1661171.888</v>
      </c>
      <c r="O111" s="470">
        <f t="shared" si="132"/>
        <v>4193570.112</v>
      </c>
      <c r="P111" s="470">
        <f t="shared" si="133"/>
        <v>21000</v>
      </c>
      <c r="Q111" s="470">
        <f t="shared" si="134"/>
        <v>33000</v>
      </c>
      <c r="R111" s="470">
        <f t="shared" si="135"/>
        <v>75000</v>
      </c>
      <c r="S111" s="470">
        <f t="shared" si="136"/>
        <v>95000</v>
      </c>
      <c r="T111" s="470">
        <f t="shared" si="137"/>
        <v>336000</v>
      </c>
      <c r="U111" s="470">
        <f t="shared" si="138"/>
        <v>238456.826880001</v>
      </c>
      <c r="V111" s="470">
        <f t="shared" si="139"/>
        <v>798456.826880001</v>
      </c>
      <c r="W111" s="471">
        <v>12</v>
      </c>
      <c r="X111" s="470">
        <f t="shared" si="140"/>
        <v>66538.0689066667</v>
      </c>
      <c r="Y111" s="476"/>
      <c r="Z111" s="470">
        <f t="shared" si="141"/>
        <v>66538.0689066667</v>
      </c>
      <c r="AA111" s="473">
        <v>43368.8824146667</v>
      </c>
      <c r="AB111" s="473">
        <f t="shared" si="142"/>
        <v>23169.186492</v>
      </c>
      <c r="AC111" s="473"/>
      <c r="AD111" s="473"/>
      <c r="AE111" s="473"/>
    </row>
    <row r="112" ht="18" spans="1:31">
      <c r="A112" s="467">
        <v>94</v>
      </c>
      <c r="B112" s="11" t="s">
        <v>193</v>
      </c>
      <c r="C112" s="479">
        <v>450086.5</v>
      </c>
      <c r="D112" s="469">
        <v>12</v>
      </c>
      <c r="E112" s="470">
        <f t="shared" si="127"/>
        <v>5401038</v>
      </c>
      <c r="F112" s="470">
        <f>'[6]JANUARY 2024'!$V$117*12</f>
        <v>6919.455</v>
      </c>
      <c r="G112" s="474">
        <v>374483.04</v>
      </c>
      <c r="H112" s="476"/>
      <c r="I112" s="470">
        <f t="shared" si="128"/>
        <v>5019635.505</v>
      </c>
      <c r="J112" s="470">
        <v>200000</v>
      </c>
      <c r="K112" s="470">
        <v>0.2</v>
      </c>
      <c r="L112" s="470">
        <f t="shared" si="129"/>
        <v>1003927.101</v>
      </c>
      <c r="M112" s="470">
        <f t="shared" si="130"/>
        <v>1203927.101</v>
      </c>
      <c r="N112" s="470">
        <f t="shared" si="131"/>
        <v>1585329.596</v>
      </c>
      <c r="O112" s="470">
        <f t="shared" si="132"/>
        <v>3815708.404</v>
      </c>
      <c r="P112" s="470">
        <f t="shared" si="133"/>
        <v>21000</v>
      </c>
      <c r="Q112" s="470">
        <f t="shared" si="134"/>
        <v>33000</v>
      </c>
      <c r="R112" s="470">
        <f t="shared" si="135"/>
        <v>75000</v>
      </c>
      <c r="S112" s="470">
        <f t="shared" si="136"/>
        <v>95000</v>
      </c>
      <c r="T112" s="470">
        <f t="shared" si="137"/>
        <v>336000</v>
      </c>
      <c r="U112" s="470">
        <f t="shared" si="138"/>
        <v>147770.01696</v>
      </c>
      <c r="V112" s="470">
        <f t="shared" si="139"/>
        <v>707770.01696</v>
      </c>
      <c r="W112" s="471">
        <v>12</v>
      </c>
      <c r="X112" s="470">
        <f t="shared" si="140"/>
        <v>58980.8347466667</v>
      </c>
      <c r="Y112" s="476"/>
      <c r="Z112" s="470">
        <f t="shared" si="141"/>
        <v>58980.8347466667</v>
      </c>
      <c r="AA112" s="473">
        <v>35221.9540866667</v>
      </c>
      <c r="AB112" s="473">
        <f t="shared" si="142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AC114" s="473"/>
      <c r="AD114" s="473"/>
      <c r="AE114" s="473"/>
    </row>
    <row r="115" ht="17.5" spans="1:31">
      <c r="A115" s="467">
        <v>97</v>
      </c>
      <c r="B115" s="20" t="s">
        <v>278</v>
      </c>
      <c r="C115" s="470"/>
      <c r="U115" s="482"/>
      <c r="AC115" s="473"/>
      <c r="AD115" s="473"/>
      <c r="AE115" s="473"/>
    </row>
    <row r="116" ht="18" spans="1:31">
      <c r="A116" s="467">
        <v>98</v>
      </c>
      <c r="B116" s="11" t="s">
        <v>279</v>
      </c>
      <c r="C116" s="470">
        <v>1635720</v>
      </c>
      <c r="D116" s="469">
        <v>12</v>
      </c>
      <c r="E116" s="470">
        <f t="shared" ref="E116:E125" si="143"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44">E116-F116-G116-H116</f>
        <v>18225826.794</v>
      </c>
      <c r="J116" s="470">
        <v>200000</v>
      </c>
      <c r="K116" s="470">
        <v>0.2</v>
      </c>
      <c r="L116" s="470">
        <f t="shared" ref="L116:L125" si="145">I116*K116</f>
        <v>3645165.3588</v>
      </c>
      <c r="M116" s="470">
        <f t="shared" ref="M116:M125" si="146">J116+L116</f>
        <v>3845165.3588</v>
      </c>
      <c r="N116" s="470">
        <f t="shared" ref="N116:N125" si="147">F116+G116+H116+M116</f>
        <v>5247978.5648</v>
      </c>
      <c r="O116" s="470">
        <f t="shared" ref="O116:O125" si="148">E116-N116</f>
        <v>14380661.4352</v>
      </c>
      <c r="P116" s="470">
        <f t="shared" ref="P116:P125" si="149">IF(O116&lt;300000,0.07*O116,21000)</f>
        <v>21000</v>
      </c>
      <c r="Q116" s="470">
        <f t="shared" ref="Q116:Q125" si="150">IF((O116-300000)&lt;0,0,IF((O116-300000)&lt;300000,0.11*(O116-300000),33000))</f>
        <v>33000</v>
      </c>
      <c r="R116" s="470">
        <f t="shared" ref="R116:R125" si="151">IF((O116-600000)&lt;0,0,IF((O116-600000)&lt;500000,0.15*(O116-600000),75000))</f>
        <v>75000</v>
      </c>
      <c r="S116" s="470">
        <f t="shared" ref="S116:S125" si="152">IF((O116-1100000)&lt;0,0,IF((O116-1100000)&lt;500000,0.19*(O116-1100000),95000))</f>
        <v>95000</v>
      </c>
      <c r="T116" s="470">
        <f t="shared" ref="T116:T125" si="153">IF((O116-1600000)&lt;0,0,IF((O116-1600000)&lt;1600000,0.21*(O116-1600000),336000))</f>
        <v>336000</v>
      </c>
      <c r="U116" s="470">
        <f t="shared" ref="U116:U122" si="154">0.24*(O116-3200000)</f>
        <v>2683358.744448</v>
      </c>
      <c r="V116" s="470">
        <f t="shared" ref="V116:V125" si="155">P116+Q116+R116+S116+T116+U116</f>
        <v>3243358.744448</v>
      </c>
      <c r="W116" s="471">
        <v>12</v>
      </c>
      <c r="X116" s="470">
        <f t="shared" ref="X116:X125" si="156">V116/W116</f>
        <v>270279.895370667</v>
      </c>
      <c r="Y116" s="476"/>
      <c r="Z116" s="470">
        <f t="shared" ref="Z116:Z125" si="157">X116</f>
        <v>270279.895370667</v>
      </c>
      <c r="AA116" s="473">
        <v>179914.454762667</v>
      </c>
      <c r="AB116" s="473">
        <f t="shared" ref="AB116:AB125" si="158"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281</v>
      </c>
      <c r="C117" s="470">
        <v>929203.583333333</v>
      </c>
      <c r="D117" s="469">
        <v>12</v>
      </c>
      <c r="E117" s="470">
        <f t="shared" si="143"/>
        <v>11150443</v>
      </c>
      <c r="F117" s="470">
        <f>9980.56666666667*12</f>
        <v>119766.8</v>
      </c>
      <c r="G117" s="474">
        <v>709635.44</v>
      </c>
      <c r="H117" s="476"/>
      <c r="I117" s="470">
        <f t="shared" si="144"/>
        <v>10321040.76</v>
      </c>
      <c r="J117" s="470">
        <v>200000</v>
      </c>
      <c r="K117" s="470">
        <v>0.2</v>
      </c>
      <c r="L117" s="470">
        <f t="shared" si="145"/>
        <v>2064208.152</v>
      </c>
      <c r="M117" s="470">
        <f t="shared" si="146"/>
        <v>2264208.152</v>
      </c>
      <c r="N117" s="470">
        <f t="shared" si="147"/>
        <v>3093610.392</v>
      </c>
      <c r="O117" s="470">
        <f t="shared" si="148"/>
        <v>8056832.608</v>
      </c>
      <c r="P117" s="470">
        <f t="shared" si="149"/>
        <v>21000</v>
      </c>
      <c r="Q117" s="470">
        <f t="shared" si="150"/>
        <v>33000</v>
      </c>
      <c r="R117" s="470">
        <f t="shared" si="151"/>
        <v>75000</v>
      </c>
      <c r="S117" s="470">
        <f t="shared" si="152"/>
        <v>95000</v>
      </c>
      <c r="T117" s="470">
        <f t="shared" si="153"/>
        <v>336000</v>
      </c>
      <c r="U117" s="470">
        <f t="shared" si="154"/>
        <v>1165639.82592</v>
      </c>
      <c r="V117" s="470">
        <f t="shared" si="155"/>
        <v>1725639.82592</v>
      </c>
      <c r="W117" s="471">
        <v>12</v>
      </c>
      <c r="X117" s="470">
        <f t="shared" si="156"/>
        <v>143803.318826667</v>
      </c>
      <c r="Y117" s="476"/>
      <c r="Z117" s="470">
        <f t="shared" si="157"/>
        <v>143803.318826667</v>
      </c>
      <c r="AA117" s="473">
        <v>98995.9569386667</v>
      </c>
      <c r="AB117" s="473">
        <f t="shared" si="158"/>
        <v>44807.3618879999</v>
      </c>
      <c r="AC117" s="473"/>
      <c r="AD117" s="473"/>
      <c r="AE117" s="473"/>
    </row>
    <row r="118" ht="18" spans="1:31">
      <c r="A118" s="467"/>
      <c r="B118" s="14" t="s">
        <v>283</v>
      </c>
      <c r="C118" s="470">
        <v>936034</v>
      </c>
      <c r="D118" s="469">
        <v>12</v>
      </c>
      <c r="E118" s="470">
        <f t="shared" si="143"/>
        <v>11232408</v>
      </c>
      <c r="F118" s="470">
        <f>9678.96*12</f>
        <v>116147.52</v>
      </c>
      <c r="G118" s="474">
        <v>709636.44</v>
      </c>
      <c r="H118" s="476"/>
      <c r="I118" s="470">
        <f t="shared" si="144"/>
        <v>10406624.04</v>
      </c>
      <c r="J118" s="470">
        <v>200000</v>
      </c>
      <c r="K118" s="470">
        <v>0.2</v>
      </c>
      <c r="L118" s="470">
        <f t="shared" si="145"/>
        <v>2081324.808</v>
      </c>
      <c r="M118" s="470">
        <f t="shared" si="146"/>
        <v>2281324.808</v>
      </c>
      <c r="N118" s="470">
        <f t="shared" si="147"/>
        <v>3107108.768</v>
      </c>
      <c r="O118" s="470">
        <f t="shared" si="148"/>
        <v>8125299.232</v>
      </c>
      <c r="P118" s="470">
        <f t="shared" si="149"/>
        <v>21000</v>
      </c>
      <c r="Q118" s="470">
        <f t="shared" si="150"/>
        <v>33000</v>
      </c>
      <c r="R118" s="470">
        <f t="shared" si="151"/>
        <v>75000</v>
      </c>
      <c r="S118" s="470">
        <f t="shared" si="152"/>
        <v>95000</v>
      </c>
      <c r="T118" s="470">
        <f t="shared" si="153"/>
        <v>336000</v>
      </c>
      <c r="U118" s="470">
        <f t="shared" si="154"/>
        <v>1182071.81568</v>
      </c>
      <c r="V118" s="470">
        <f t="shared" si="155"/>
        <v>1742071.81568</v>
      </c>
      <c r="W118" s="471">
        <v>12</v>
      </c>
      <c r="X118" s="470">
        <f t="shared" si="156"/>
        <v>145172.651306667</v>
      </c>
      <c r="Y118" s="476"/>
      <c r="Z118" s="470">
        <f t="shared" si="157"/>
        <v>145172.651306667</v>
      </c>
      <c r="AA118" s="473">
        <v>89396.1031466666</v>
      </c>
      <c r="AB118" s="473">
        <f t="shared" si="158"/>
        <v>55776.5481600001</v>
      </c>
      <c r="AC118" s="473"/>
      <c r="AD118" s="473"/>
      <c r="AE118" s="473"/>
    </row>
    <row r="119" ht="18" spans="1:31">
      <c r="A119" s="467"/>
      <c r="B119" s="14" t="s">
        <v>930</v>
      </c>
      <c r="C119" s="470">
        <v>662118.083333333</v>
      </c>
      <c r="D119" s="469">
        <v>12</v>
      </c>
      <c r="E119" s="470">
        <f t="shared" si="143"/>
        <v>7945417</v>
      </c>
      <c r="F119" s="470"/>
      <c r="G119" s="474">
        <v>0</v>
      </c>
      <c r="H119" s="476"/>
      <c r="I119" s="470">
        <f t="shared" si="144"/>
        <v>7945417</v>
      </c>
      <c r="J119" s="470">
        <v>200000</v>
      </c>
      <c r="K119" s="470">
        <v>0.2</v>
      </c>
      <c r="L119" s="470">
        <f t="shared" si="145"/>
        <v>1589083.4</v>
      </c>
      <c r="M119" s="470">
        <f t="shared" si="146"/>
        <v>1789083.4</v>
      </c>
      <c r="N119" s="470">
        <f t="shared" si="147"/>
        <v>1789083.4</v>
      </c>
      <c r="O119" s="470">
        <f t="shared" si="148"/>
        <v>6156333.6</v>
      </c>
      <c r="P119" s="470">
        <f t="shared" si="149"/>
        <v>21000</v>
      </c>
      <c r="Q119" s="470">
        <f t="shared" si="150"/>
        <v>33000</v>
      </c>
      <c r="R119" s="470">
        <f t="shared" si="151"/>
        <v>75000</v>
      </c>
      <c r="S119" s="470">
        <f t="shared" si="152"/>
        <v>95000</v>
      </c>
      <c r="T119" s="470">
        <f t="shared" si="153"/>
        <v>336000</v>
      </c>
      <c r="U119" s="470">
        <f t="shared" si="154"/>
        <v>709520.063999999</v>
      </c>
      <c r="V119" s="470">
        <f t="shared" si="155"/>
        <v>1269520.064</v>
      </c>
      <c r="W119" s="471">
        <v>12</v>
      </c>
      <c r="X119" s="470">
        <f t="shared" si="156"/>
        <v>105793.338666667</v>
      </c>
      <c r="Y119" s="476"/>
      <c r="Z119" s="470">
        <f t="shared" si="157"/>
        <v>105793.338666667</v>
      </c>
      <c r="AA119" s="473">
        <v>60214.6772906667</v>
      </c>
      <c r="AB119" s="473">
        <f t="shared" si="158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286</v>
      </c>
      <c r="C120" s="470">
        <v>540498</v>
      </c>
      <c r="D120" s="469">
        <v>12</v>
      </c>
      <c r="E120" s="470">
        <f t="shared" si="143"/>
        <v>6485976</v>
      </c>
      <c r="F120" s="470"/>
      <c r="G120" s="474">
        <v>451678.08</v>
      </c>
      <c r="H120" s="476"/>
      <c r="I120" s="470">
        <f t="shared" si="144"/>
        <v>6034297.92</v>
      </c>
      <c r="J120" s="470">
        <v>200000</v>
      </c>
      <c r="K120" s="470">
        <v>0.2</v>
      </c>
      <c r="L120" s="470">
        <f t="shared" si="145"/>
        <v>1206859.584</v>
      </c>
      <c r="M120" s="470">
        <f t="shared" si="146"/>
        <v>1406859.584</v>
      </c>
      <c r="N120" s="470">
        <f t="shared" si="147"/>
        <v>1858537.664</v>
      </c>
      <c r="O120" s="470">
        <f t="shared" si="148"/>
        <v>4627438.336</v>
      </c>
      <c r="P120" s="470">
        <f t="shared" si="149"/>
        <v>21000</v>
      </c>
      <c r="Q120" s="470">
        <f t="shared" si="150"/>
        <v>33000</v>
      </c>
      <c r="R120" s="470">
        <f t="shared" si="151"/>
        <v>75000</v>
      </c>
      <c r="S120" s="470">
        <f t="shared" si="152"/>
        <v>95000</v>
      </c>
      <c r="T120" s="470">
        <f t="shared" si="153"/>
        <v>336000</v>
      </c>
      <c r="U120" s="470">
        <f t="shared" si="154"/>
        <v>342585.20064</v>
      </c>
      <c r="V120" s="470">
        <f t="shared" si="155"/>
        <v>902585.20064</v>
      </c>
      <c r="W120" s="471">
        <v>12</v>
      </c>
      <c r="X120" s="470">
        <f t="shared" si="156"/>
        <v>75215.4333866667</v>
      </c>
      <c r="Y120" s="476"/>
      <c r="Z120" s="470">
        <f t="shared" si="157"/>
        <v>75215.4333866667</v>
      </c>
      <c r="AA120" s="473">
        <v>44846.6165886667</v>
      </c>
      <c r="AB120" s="473">
        <f t="shared" si="158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287</v>
      </c>
      <c r="C121" s="470">
        <v>512746.5</v>
      </c>
      <c r="D121" s="469">
        <v>12</v>
      </c>
      <c r="E121" s="470">
        <f t="shared" si="143"/>
        <v>6152958</v>
      </c>
      <c r="F121" s="479">
        <f>646.3525*12</f>
        <v>7756.23</v>
      </c>
      <c r="G121" s="474">
        <v>425036.64</v>
      </c>
      <c r="H121" s="476"/>
      <c r="I121" s="470">
        <f t="shared" si="144"/>
        <v>5720165.13</v>
      </c>
      <c r="J121" s="470">
        <v>200000</v>
      </c>
      <c r="K121" s="470">
        <v>0.2</v>
      </c>
      <c r="L121" s="470">
        <f t="shared" si="145"/>
        <v>1144033.026</v>
      </c>
      <c r="M121" s="470">
        <f t="shared" si="146"/>
        <v>1344033.026</v>
      </c>
      <c r="N121" s="470">
        <f t="shared" si="147"/>
        <v>1776825.896</v>
      </c>
      <c r="O121" s="470">
        <f t="shared" si="148"/>
        <v>4376132.104</v>
      </c>
      <c r="P121" s="470">
        <f t="shared" si="149"/>
        <v>21000</v>
      </c>
      <c r="Q121" s="470">
        <f t="shared" si="150"/>
        <v>33000</v>
      </c>
      <c r="R121" s="470">
        <f t="shared" si="151"/>
        <v>75000</v>
      </c>
      <c r="S121" s="470">
        <f t="shared" si="152"/>
        <v>95000</v>
      </c>
      <c r="T121" s="470">
        <f t="shared" si="153"/>
        <v>336000</v>
      </c>
      <c r="U121" s="470">
        <f t="shared" si="154"/>
        <v>282271.70496</v>
      </c>
      <c r="V121" s="470">
        <f t="shared" si="155"/>
        <v>842271.70496</v>
      </c>
      <c r="W121" s="471">
        <v>12</v>
      </c>
      <c r="X121" s="470">
        <f t="shared" si="156"/>
        <v>70189.3087466667</v>
      </c>
      <c r="Y121" s="476"/>
      <c r="Z121" s="470">
        <f t="shared" si="157"/>
        <v>70189.3087466667</v>
      </c>
      <c r="AA121" s="473">
        <v>42029.5891866667</v>
      </c>
      <c r="AB121" s="473">
        <f t="shared" si="158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289</v>
      </c>
      <c r="C122" s="470">
        <v>526622.25</v>
      </c>
      <c r="D122" s="469">
        <v>12</v>
      </c>
      <c r="E122" s="470">
        <f t="shared" si="143"/>
        <v>6319467</v>
      </c>
      <c r="F122" s="479">
        <f>668.31625*12</f>
        <v>8019.795</v>
      </c>
      <c r="G122" s="474">
        <v>438357.36</v>
      </c>
      <c r="H122" s="476"/>
      <c r="I122" s="470">
        <f t="shared" si="144"/>
        <v>5873089.845</v>
      </c>
      <c r="J122" s="470">
        <v>200000</v>
      </c>
      <c r="K122" s="470">
        <v>0.2</v>
      </c>
      <c r="L122" s="470">
        <f t="shared" si="145"/>
        <v>1174617.969</v>
      </c>
      <c r="M122" s="470">
        <f t="shared" si="146"/>
        <v>1374617.969</v>
      </c>
      <c r="N122" s="470">
        <f t="shared" si="147"/>
        <v>1820995.124</v>
      </c>
      <c r="O122" s="470">
        <f t="shared" si="148"/>
        <v>4498471.876</v>
      </c>
      <c r="P122" s="470">
        <f t="shared" si="149"/>
        <v>21000</v>
      </c>
      <c r="Q122" s="470">
        <f t="shared" si="150"/>
        <v>33000</v>
      </c>
      <c r="R122" s="470">
        <f t="shared" si="151"/>
        <v>75000</v>
      </c>
      <c r="S122" s="470">
        <f t="shared" si="152"/>
        <v>95000</v>
      </c>
      <c r="T122" s="470">
        <f t="shared" si="153"/>
        <v>336000</v>
      </c>
      <c r="U122" s="470">
        <f t="shared" si="154"/>
        <v>311633.25024</v>
      </c>
      <c r="V122" s="470">
        <f t="shared" si="155"/>
        <v>871633.25024</v>
      </c>
      <c r="W122" s="471">
        <v>12</v>
      </c>
      <c r="X122" s="470">
        <f t="shared" si="156"/>
        <v>72636.1041866667</v>
      </c>
      <c r="Y122" s="476"/>
      <c r="Z122" s="470">
        <f t="shared" si="157"/>
        <v>72636.1041866667</v>
      </c>
      <c r="AA122" s="473">
        <v>43380.0962466667</v>
      </c>
      <c r="AB122" s="473">
        <f t="shared" si="158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292</v>
      </c>
      <c r="C123" s="470">
        <v>330481.666666667</v>
      </c>
      <c r="D123" s="469">
        <v>12</v>
      </c>
      <c r="E123" s="470">
        <f t="shared" si="143"/>
        <v>3965780</v>
      </c>
      <c r="F123" s="470"/>
      <c r="G123" s="474">
        <v>259662.4</v>
      </c>
      <c r="H123" s="476"/>
      <c r="I123" s="470">
        <f t="shared" si="144"/>
        <v>3706117.6</v>
      </c>
      <c r="J123" s="470">
        <v>200000</v>
      </c>
      <c r="K123" s="470">
        <v>0.2</v>
      </c>
      <c r="L123" s="470">
        <f t="shared" si="145"/>
        <v>741223.520000001</v>
      </c>
      <c r="M123" s="470">
        <f t="shared" si="146"/>
        <v>941223.520000001</v>
      </c>
      <c r="N123" s="470">
        <f t="shared" si="147"/>
        <v>1200885.92</v>
      </c>
      <c r="O123" s="470">
        <f t="shared" si="148"/>
        <v>2764894.08</v>
      </c>
      <c r="P123" s="470">
        <f t="shared" si="149"/>
        <v>21000</v>
      </c>
      <c r="Q123" s="470">
        <f t="shared" si="150"/>
        <v>33000</v>
      </c>
      <c r="R123" s="470">
        <f t="shared" si="151"/>
        <v>75000</v>
      </c>
      <c r="S123" s="470">
        <f t="shared" si="152"/>
        <v>95000</v>
      </c>
      <c r="T123" s="470">
        <f t="shared" si="153"/>
        <v>244627.756800001</v>
      </c>
      <c r="U123" s="470"/>
      <c r="V123" s="470">
        <f t="shared" si="155"/>
        <v>468627.756800001</v>
      </c>
      <c r="W123" s="471">
        <v>12</v>
      </c>
      <c r="X123" s="470">
        <f t="shared" si="156"/>
        <v>39052.3130666667</v>
      </c>
      <c r="Y123" s="476"/>
      <c r="Z123" s="470">
        <f t="shared" si="157"/>
        <v>39052.3130666667</v>
      </c>
      <c r="AA123" s="473">
        <v>23036.0123466667</v>
      </c>
      <c r="AB123" s="473">
        <f t="shared" si="158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294</v>
      </c>
      <c r="C124" s="470">
        <v>274459.75</v>
      </c>
      <c r="D124" s="469">
        <v>12</v>
      </c>
      <c r="E124" s="470">
        <f t="shared" si="143"/>
        <v>3293517</v>
      </c>
      <c r="F124" s="470"/>
      <c r="G124" s="474">
        <v>215481.36</v>
      </c>
      <c r="H124" s="476"/>
      <c r="I124" s="470">
        <f t="shared" si="144"/>
        <v>3078035.64</v>
      </c>
      <c r="J124" s="470">
        <v>200000</v>
      </c>
      <c r="K124" s="470">
        <v>0.2</v>
      </c>
      <c r="L124" s="470">
        <f t="shared" si="145"/>
        <v>615607.128</v>
      </c>
      <c r="M124" s="470">
        <f t="shared" si="146"/>
        <v>815607.128</v>
      </c>
      <c r="N124" s="470">
        <f t="shared" si="147"/>
        <v>1031088.488</v>
      </c>
      <c r="O124" s="470">
        <f t="shared" si="148"/>
        <v>2262428.512</v>
      </c>
      <c r="P124" s="470">
        <f t="shared" si="149"/>
        <v>21000</v>
      </c>
      <c r="Q124" s="470">
        <f t="shared" si="150"/>
        <v>33000</v>
      </c>
      <c r="R124" s="470">
        <f t="shared" si="151"/>
        <v>75000</v>
      </c>
      <c r="S124" s="470">
        <f t="shared" si="152"/>
        <v>95000</v>
      </c>
      <c r="T124" s="470">
        <f t="shared" si="153"/>
        <v>139109.98752</v>
      </c>
      <c r="U124" s="470"/>
      <c r="V124" s="470">
        <f t="shared" si="155"/>
        <v>363109.98752</v>
      </c>
      <c r="W124" s="471">
        <v>12</v>
      </c>
      <c r="X124" s="470">
        <f t="shared" si="156"/>
        <v>30259.1656266667</v>
      </c>
      <c r="Y124" s="476"/>
      <c r="Z124" s="470">
        <f t="shared" si="157"/>
        <v>30259.1656266667</v>
      </c>
      <c r="AA124" s="473">
        <v>17042.7138666667</v>
      </c>
      <c r="AB124" s="473">
        <f t="shared" si="158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296</v>
      </c>
      <c r="C125" s="470">
        <v>274459.75</v>
      </c>
      <c r="D125" s="469">
        <v>12</v>
      </c>
      <c r="E125" s="470">
        <f t="shared" si="143"/>
        <v>3293517</v>
      </c>
      <c r="F125" s="470"/>
      <c r="G125" s="474">
        <v>215481.36</v>
      </c>
      <c r="H125" s="476"/>
      <c r="I125" s="470">
        <f t="shared" si="144"/>
        <v>3078035.64</v>
      </c>
      <c r="J125" s="470">
        <v>200000</v>
      </c>
      <c r="K125" s="470">
        <v>0.2</v>
      </c>
      <c r="L125" s="470">
        <f t="shared" si="145"/>
        <v>615607.128</v>
      </c>
      <c r="M125" s="470">
        <f t="shared" si="146"/>
        <v>815607.128</v>
      </c>
      <c r="N125" s="470">
        <f t="shared" si="147"/>
        <v>1031088.488</v>
      </c>
      <c r="O125" s="470">
        <f t="shared" si="148"/>
        <v>2262428.512</v>
      </c>
      <c r="P125" s="470">
        <f t="shared" si="149"/>
        <v>21000</v>
      </c>
      <c r="Q125" s="470">
        <f t="shared" si="150"/>
        <v>33000</v>
      </c>
      <c r="R125" s="470">
        <f t="shared" si="151"/>
        <v>75000</v>
      </c>
      <c r="S125" s="470">
        <f t="shared" si="152"/>
        <v>95000</v>
      </c>
      <c r="T125" s="470">
        <f t="shared" si="153"/>
        <v>139109.98752</v>
      </c>
      <c r="U125" s="470"/>
      <c r="V125" s="470">
        <f t="shared" si="155"/>
        <v>363109.98752</v>
      </c>
      <c r="W125" s="471">
        <v>12</v>
      </c>
      <c r="X125" s="470">
        <f t="shared" si="156"/>
        <v>30259.1656266667</v>
      </c>
      <c r="Y125" s="476"/>
      <c r="Z125" s="470">
        <f t="shared" si="157"/>
        <v>30259.1656266667</v>
      </c>
      <c r="AA125" s="473">
        <v>17042.7138666667</v>
      </c>
      <c r="AB125" s="473">
        <f t="shared" si="158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AC127" s="473"/>
      <c r="AD127" s="473"/>
      <c r="AE127" s="473"/>
    </row>
    <row r="128" ht="17.5" spans="1:31">
      <c r="A128" s="467">
        <v>111</v>
      </c>
      <c r="B128" s="20" t="s">
        <v>299</v>
      </c>
      <c r="C128" s="470"/>
      <c r="U128" s="482"/>
      <c r="AC128" s="473"/>
      <c r="AD128" s="473"/>
      <c r="AE128" s="473"/>
    </row>
    <row r="129" ht="18" spans="1:31">
      <c r="A129" s="467">
        <v>112</v>
      </c>
      <c r="B129" s="11" t="s">
        <v>931</v>
      </c>
      <c r="C129" s="470">
        <v>1535720</v>
      </c>
      <c r="D129" s="469">
        <v>12</v>
      </c>
      <c r="E129" s="470">
        <f t="shared" ref="E129:E187" si="159">C129*D129</f>
        <v>18428640</v>
      </c>
      <c r="F129" s="470"/>
      <c r="G129" s="474">
        <v>1378291.2</v>
      </c>
      <c r="H129" s="476"/>
      <c r="I129" s="470">
        <f t="shared" ref="I129:I187" si="160">E129-F129-G129-H129</f>
        <v>17050348.8</v>
      </c>
      <c r="J129" s="470">
        <v>200000</v>
      </c>
      <c r="K129" s="470">
        <v>0.2</v>
      </c>
      <c r="L129" s="470">
        <f t="shared" ref="L129:L187" si="161">I129*K129</f>
        <v>3410069.76</v>
      </c>
      <c r="M129" s="470">
        <f t="shared" ref="M129:M187" si="162">J129+L129</f>
        <v>3610069.76</v>
      </c>
      <c r="N129" s="470">
        <f t="shared" ref="N129:N187" si="163">F129+G129+H129+M129</f>
        <v>4988360.96</v>
      </c>
      <c r="O129" s="470">
        <f t="shared" ref="O129:O187" si="164">E129-N129</f>
        <v>13440279.04</v>
      </c>
      <c r="P129" s="470">
        <f t="shared" ref="P129:P187" si="165">IF(O129&lt;300000,0.07*O129,21000)</f>
        <v>21000</v>
      </c>
      <c r="Q129" s="470">
        <f t="shared" ref="Q129:Q187" si="166">IF((O129-300000)&lt;0,0,IF((O129-300000)&lt;300000,0.11*(O129-300000),33000))</f>
        <v>33000</v>
      </c>
      <c r="R129" s="470">
        <f t="shared" ref="R129:R187" si="167">IF((O129-600000)&lt;0,0,IF((O129-600000)&lt;500000,0.15*(O129-600000),75000))</f>
        <v>75000</v>
      </c>
      <c r="S129" s="470">
        <f t="shared" ref="S129:S187" si="168">IF((O129-1100000)&lt;0,0,IF((O129-1100000)&lt;500000,0.19*(O129-1100000),95000))</f>
        <v>95000</v>
      </c>
      <c r="T129" s="470">
        <f t="shared" ref="T129:T187" si="169">IF((O129-1600000)&lt;0,0,IF((O129-1600000)&lt;1600000,0.21*(O129-1600000),336000))</f>
        <v>336000</v>
      </c>
      <c r="U129" s="470">
        <f t="shared" ref="U129:U141" si="170">0.24*(O129-3200000)</f>
        <v>2457666.9696</v>
      </c>
      <c r="V129" s="470">
        <f t="shared" ref="V129:V187" si="171">P129+Q129+R129+S129+T129+U129</f>
        <v>3017666.9696</v>
      </c>
      <c r="W129" s="471">
        <v>12</v>
      </c>
      <c r="X129" s="470">
        <f t="shared" ref="X129:X187" si="172">V129/W129</f>
        <v>251472.247466667</v>
      </c>
      <c r="Y129" s="476"/>
      <c r="Z129" s="470">
        <f t="shared" ref="Z129:Z187" si="173">X129</f>
        <v>251472.247466667</v>
      </c>
      <c r="AA129" s="473">
        <v>161106.806858667</v>
      </c>
      <c r="AB129" s="473">
        <f t="shared" ref="AB129:AB187" si="174"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933</v>
      </c>
      <c r="C130" s="470">
        <v>852373.166666667</v>
      </c>
      <c r="D130" s="469">
        <v>12</v>
      </c>
      <c r="E130" s="470">
        <f t="shared" si="159"/>
        <v>10228478</v>
      </c>
      <c r="F130" s="470"/>
      <c r="G130" s="474">
        <v>0</v>
      </c>
      <c r="H130" s="476"/>
      <c r="I130" s="470">
        <f t="shared" si="160"/>
        <v>10228478</v>
      </c>
      <c r="J130" s="470">
        <v>200000</v>
      </c>
      <c r="K130" s="470">
        <v>0.2</v>
      </c>
      <c r="L130" s="470">
        <f t="shared" si="161"/>
        <v>2045695.6</v>
      </c>
      <c r="M130" s="470">
        <f t="shared" si="162"/>
        <v>2245695.6</v>
      </c>
      <c r="N130" s="470">
        <f t="shared" si="163"/>
        <v>2245695.6</v>
      </c>
      <c r="O130" s="470">
        <f t="shared" si="164"/>
        <v>7982782.4</v>
      </c>
      <c r="P130" s="470">
        <f t="shared" si="165"/>
        <v>21000</v>
      </c>
      <c r="Q130" s="470">
        <f t="shared" si="166"/>
        <v>33000</v>
      </c>
      <c r="R130" s="470">
        <f t="shared" si="167"/>
        <v>75000</v>
      </c>
      <c r="S130" s="470">
        <f t="shared" si="168"/>
        <v>95000</v>
      </c>
      <c r="T130" s="470">
        <f t="shared" si="169"/>
        <v>336000</v>
      </c>
      <c r="U130" s="470">
        <f t="shared" si="170"/>
        <v>1147867.776</v>
      </c>
      <c r="V130" s="470">
        <f t="shared" si="171"/>
        <v>1707867.776</v>
      </c>
      <c r="W130" s="471">
        <v>12</v>
      </c>
      <c r="X130" s="470">
        <f t="shared" si="172"/>
        <v>142322.314666667</v>
      </c>
      <c r="Y130" s="476"/>
      <c r="Z130" s="470">
        <f t="shared" si="173"/>
        <v>142322.314666667</v>
      </c>
      <c r="AA130" s="473">
        <v>82627.9514186667</v>
      </c>
      <c r="AB130" s="473">
        <f t="shared" si="174"/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302</v>
      </c>
      <c r="C131" s="470">
        <v>902373.166666667</v>
      </c>
      <c r="D131" s="469">
        <v>12</v>
      </c>
      <c r="E131" s="470">
        <f t="shared" si="159"/>
        <v>10828478</v>
      </c>
      <c r="F131" s="470">
        <f>1066.32925*12</f>
        <v>12795.951</v>
      </c>
      <c r="G131" s="474">
        <v>731878.24</v>
      </c>
      <c r="H131" s="476"/>
      <c r="I131" s="470">
        <f t="shared" si="160"/>
        <v>10083803.809</v>
      </c>
      <c r="J131" s="470">
        <v>200000</v>
      </c>
      <c r="K131" s="470">
        <v>0.2</v>
      </c>
      <c r="L131" s="470">
        <f t="shared" si="161"/>
        <v>2016760.7618</v>
      </c>
      <c r="M131" s="470">
        <f t="shared" si="162"/>
        <v>2216760.7618</v>
      </c>
      <c r="N131" s="470">
        <f t="shared" si="163"/>
        <v>2961434.9528</v>
      </c>
      <c r="O131" s="470">
        <f t="shared" si="164"/>
        <v>7867043.0472</v>
      </c>
      <c r="P131" s="470">
        <f t="shared" si="165"/>
        <v>21000</v>
      </c>
      <c r="Q131" s="470">
        <f t="shared" si="166"/>
        <v>33000</v>
      </c>
      <c r="R131" s="470">
        <f t="shared" si="167"/>
        <v>75000</v>
      </c>
      <c r="S131" s="470">
        <f t="shared" si="168"/>
        <v>95000</v>
      </c>
      <c r="T131" s="470">
        <f t="shared" si="169"/>
        <v>336000</v>
      </c>
      <c r="U131" s="470">
        <f t="shared" si="170"/>
        <v>1120090.331328</v>
      </c>
      <c r="V131" s="470">
        <f t="shared" si="171"/>
        <v>1680090.331328</v>
      </c>
      <c r="W131" s="471">
        <v>12</v>
      </c>
      <c r="X131" s="470">
        <f t="shared" si="172"/>
        <v>140007.527610667</v>
      </c>
      <c r="Y131" s="476"/>
      <c r="Z131" s="470">
        <f t="shared" si="173"/>
        <v>140007.527610667</v>
      </c>
      <c r="AA131" s="473">
        <v>92023.2162026667</v>
      </c>
      <c r="AB131" s="473">
        <f t="shared" si="174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305</v>
      </c>
      <c r="C132" s="470">
        <v>554373.75</v>
      </c>
      <c r="D132" s="469">
        <v>12</v>
      </c>
      <c r="E132" s="470">
        <f t="shared" si="159"/>
        <v>6652485</v>
      </c>
      <c r="F132" s="470">
        <f t="shared" ref="F132:F134" si="175">712.24525*12</f>
        <v>8546.943</v>
      </c>
      <c r="G132" s="474">
        <v>464998.8</v>
      </c>
      <c r="H132" s="476"/>
      <c r="I132" s="470">
        <f t="shared" si="160"/>
        <v>6178939.257</v>
      </c>
      <c r="J132" s="470">
        <v>200000</v>
      </c>
      <c r="K132" s="470">
        <v>0.2</v>
      </c>
      <c r="L132" s="470">
        <f t="shared" si="161"/>
        <v>1235787.8514</v>
      </c>
      <c r="M132" s="470">
        <f t="shared" si="162"/>
        <v>1435787.8514</v>
      </c>
      <c r="N132" s="470">
        <f t="shared" si="163"/>
        <v>1909333.5944</v>
      </c>
      <c r="O132" s="470">
        <f t="shared" si="164"/>
        <v>4743151.4056</v>
      </c>
      <c r="P132" s="470">
        <f t="shared" si="165"/>
        <v>21000</v>
      </c>
      <c r="Q132" s="470">
        <f t="shared" si="166"/>
        <v>33000</v>
      </c>
      <c r="R132" s="470">
        <f t="shared" si="167"/>
        <v>75000</v>
      </c>
      <c r="S132" s="470">
        <f t="shared" si="168"/>
        <v>95000</v>
      </c>
      <c r="T132" s="470">
        <f t="shared" si="169"/>
        <v>336000</v>
      </c>
      <c r="U132" s="470">
        <f t="shared" si="170"/>
        <v>370356.337344</v>
      </c>
      <c r="V132" s="470">
        <f t="shared" si="171"/>
        <v>930356.337344</v>
      </c>
      <c r="W132" s="471">
        <v>12</v>
      </c>
      <c r="X132" s="470">
        <f t="shared" si="172"/>
        <v>77529.6947786667</v>
      </c>
      <c r="Y132" s="476"/>
      <c r="Z132" s="470">
        <f t="shared" si="173"/>
        <v>77529.6947786667</v>
      </c>
      <c r="AA132" s="473">
        <v>46081.2025986667</v>
      </c>
      <c r="AB132" s="473">
        <f t="shared" si="174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307</v>
      </c>
      <c r="C133" s="470">
        <v>554373.75</v>
      </c>
      <c r="D133" s="469">
        <v>12</v>
      </c>
      <c r="E133" s="470">
        <f t="shared" si="159"/>
        <v>6652485</v>
      </c>
      <c r="F133" s="470">
        <f t="shared" si="175"/>
        <v>8546.943</v>
      </c>
      <c r="G133" s="474">
        <v>464998.8</v>
      </c>
      <c r="H133" s="476"/>
      <c r="I133" s="470">
        <f t="shared" si="160"/>
        <v>6178939.257</v>
      </c>
      <c r="J133" s="470">
        <v>200000</v>
      </c>
      <c r="K133" s="470">
        <v>0.2</v>
      </c>
      <c r="L133" s="470">
        <f t="shared" si="161"/>
        <v>1235787.8514</v>
      </c>
      <c r="M133" s="470">
        <f t="shared" si="162"/>
        <v>1435787.8514</v>
      </c>
      <c r="N133" s="470">
        <f t="shared" si="163"/>
        <v>1909333.5944</v>
      </c>
      <c r="O133" s="470">
        <f t="shared" si="164"/>
        <v>4743151.4056</v>
      </c>
      <c r="P133" s="470">
        <f t="shared" si="165"/>
        <v>21000</v>
      </c>
      <c r="Q133" s="470">
        <f t="shared" si="166"/>
        <v>33000</v>
      </c>
      <c r="R133" s="470">
        <f t="shared" si="167"/>
        <v>75000</v>
      </c>
      <c r="S133" s="470">
        <f t="shared" si="168"/>
        <v>95000</v>
      </c>
      <c r="T133" s="470">
        <f t="shared" si="169"/>
        <v>336000</v>
      </c>
      <c r="U133" s="470">
        <f t="shared" si="170"/>
        <v>370356.337344</v>
      </c>
      <c r="V133" s="470">
        <f t="shared" si="171"/>
        <v>930356.337344</v>
      </c>
      <c r="W133" s="471">
        <v>12</v>
      </c>
      <c r="X133" s="470">
        <f t="shared" si="172"/>
        <v>77529.6947786667</v>
      </c>
      <c r="Y133" s="476"/>
      <c r="Z133" s="470">
        <f t="shared" si="173"/>
        <v>77529.6947786667</v>
      </c>
      <c r="AA133" s="473">
        <v>46081.2025986667</v>
      </c>
      <c r="AB133" s="473">
        <f t="shared" si="174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309</v>
      </c>
      <c r="C134" s="470">
        <v>554373.75</v>
      </c>
      <c r="D134" s="469">
        <v>12</v>
      </c>
      <c r="E134" s="470">
        <f t="shared" si="159"/>
        <v>6652485</v>
      </c>
      <c r="F134" s="470">
        <f t="shared" si="175"/>
        <v>8546.943</v>
      </c>
      <c r="G134" s="474">
        <v>464998.8</v>
      </c>
      <c r="H134" s="476"/>
      <c r="I134" s="470">
        <f t="shared" si="160"/>
        <v>6178939.257</v>
      </c>
      <c r="J134" s="470">
        <v>200000</v>
      </c>
      <c r="K134" s="470">
        <v>0.2</v>
      </c>
      <c r="L134" s="470">
        <f t="shared" si="161"/>
        <v>1235787.8514</v>
      </c>
      <c r="M134" s="470">
        <f t="shared" si="162"/>
        <v>1435787.8514</v>
      </c>
      <c r="N134" s="470">
        <f t="shared" si="163"/>
        <v>1909333.5944</v>
      </c>
      <c r="O134" s="470">
        <f t="shared" si="164"/>
        <v>4743151.4056</v>
      </c>
      <c r="P134" s="470">
        <f t="shared" si="165"/>
        <v>21000</v>
      </c>
      <c r="Q134" s="470">
        <f t="shared" si="166"/>
        <v>33000</v>
      </c>
      <c r="R134" s="470">
        <f t="shared" si="167"/>
        <v>75000</v>
      </c>
      <c r="S134" s="470">
        <f t="shared" si="168"/>
        <v>95000</v>
      </c>
      <c r="T134" s="470">
        <f t="shared" si="169"/>
        <v>336000</v>
      </c>
      <c r="U134" s="470">
        <f t="shared" si="170"/>
        <v>370356.337344</v>
      </c>
      <c r="V134" s="470">
        <f t="shared" si="171"/>
        <v>930356.337344</v>
      </c>
      <c r="W134" s="471">
        <v>12</v>
      </c>
      <c r="X134" s="470">
        <f t="shared" si="172"/>
        <v>77529.6947786667</v>
      </c>
      <c r="Y134" s="476"/>
      <c r="Z134" s="470">
        <f t="shared" si="173"/>
        <v>77529.6947786667</v>
      </c>
      <c r="AA134" s="473">
        <v>46081.2025986667</v>
      </c>
      <c r="AB134" s="473">
        <f t="shared" si="174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231</v>
      </c>
      <c r="C135" s="470">
        <v>450086.5</v>
      </c>
      <c r="D135" s="469">
        <v>12</v>
      </c>
      <c r="E135" s="470">
        <f t="shared" si="159"/>
        <v>5401038</v>
      </c>
      <c r="F135" s="470">
        <f>576.62125*12</f>
        <v>6919.455</v>
      </c>
      <c r="G135" s="474">
        <v>374483.04</v>
      </c>
      <c r="H135" s="476"/>
      <c r="I135" s="470">
        <f t="shared" si="160"/>
        <v>5019635.505</v>
      </c>
      <c r="J135" s="470">
        <v>200000</v>
      </c>
      <c r="K135" s="470">
        <v>0.2</v>
      </c>
      <c r="L135" s="470">
        <f t="shared" si="161"/>
        <v>1003927.101</v>
      </c>
      <c r="M135" s="470">
        <f t="shared" si="162"/>
        <v>1203927.101</v>
      </c>
      <c r="N135" s="470">
        <f t="shared" si="163"/>
        <v>1585329.596</v>
      </c>
      <c r="O135" s="470">
        <f t="shared" si="164"/>
        <v>3815708.404</v>
      </c>
      <c r="P135" s="470">
        <f t="shared" si="165"/>
        <v>21000</v>
      </c>
      <c r="Q135" s="470">
        <f t="shared" si="166"/>
        <v>33000</v>
      </c>
      <c r="R135" s="470">
        <f t="shared" si="167"/>
        <v>75000</v>
      </c>
      <c r="S135" s="470">
        <f t="shared" si="168"/>
        <v>95000</v>
      </c>
      <c r="T135" s="470">
        <f t="shared" si="169"/>
        <v>336000</v>
      </c>
      <c r="U135" s="470">
        <f t="shared" si="170"/>
        <v>147770.01696</v>
      </c>
      <c r="V135" s="470">
        <f t="shared" si="171"/>
        <v>707770.01696</v>
      </c>
      <c r="W135" s="471">
        <v>12</v>
      </c>
      <c r="X135" s="470">
        <f t="shared" si="172"/>
        <v>58980.8347466667</v>
      </c>
      <c r="Y135" s="476"/>
      <c r="Z135" s="470">
        <f t="shared" si="173"/>
        <v>58980.8347466667</v>
      </c>
      <c r="AA135" s="473">
        <v>35221.9540866667</v>
      </c>
      <c r="AB135" s="473">
        <f t="shared" si="174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312</v>
      </c>
      <c r="C136" s="470">
        <v>450086.5</v>
      </c>
      <c r="D136" s="469">
        <v>12</v>
      </c>
      <c r="E136" s="470">
        <f t="shared" si="159"/>
        <v>5401038</v>
      </c>
      <c r="F136" s="470"/>
      <c r="G136" s="474">
        <v>374483.04</v>
      </c>
      <c r="H136" s="476"/>
      <c r="I136" s="470">
        <f t="shared" si="160"/>
        <v>5026554.96</v>
      </c>
      <c r="J136" s="470">
        <v>200000</v>
      </c>
      <c r="K136" s="470">
        <v>0.2</v>
      </c>
      <c r="L136" s="470">
        <f t="shared" si="161"/>
        <v>1005310.992</v>
      </c>
      <c r="M136" s="470">
        <f t="shared" si="162"/>
        <v>1205310.992</v>
      </c>
      <c r="N136" s="470">
        <f t="shared" si="163"/>
        <v>1579794.032</v>
      </c>
      <c r="O136" s="470">
        <f t="shared" si="164"/>
        <v>3821243.968</v>
      </c>
      <c r="P136" s="470">
        <f t="shared" si="165"/>
        <v>21000</v>
      </c>
      <c r="Q136" s="470">
        <f t="shared" si="166"/>
        <v>33000</v>
      </c>
      <c r="R136" s="470">
        <f t="shared" si="167"/>
        <v>75000</v>
      </c>
      <c r="S136" s="470">
        <f t="shared" si="168"/>
        <v>95000</v>
      </c>
      <c r="T136" s="470">
        <f t="shared" si="169"/>
        <v>336000</v>
      </c>
      <c r="U136" s="470">
        <f t="shared" si="170"/>
        <v>149098.55232</v>
      </c>
      <c r="V136" s="470">
        <f t="shared" si="171"/>
        <v>709098.55232</v>
      </c>
      <c r="W136" s="471">
        <v>12</v>
      </c>
      <c r="X136" s="470">
        <f t="shared" si="172"/>
        <v>59091.5460266667</v>
      </c>
      <c r="Y136" s="476"/>
      <c r="Z136" s="470">
        <f t="shared" si="173"/>
        <v>59091.5460266667</v>
      </c>
      <c r="AA136" s="473">
        <v>35318.8264566667</v>
      </c>
      <c r="AB136" s="473">
        <f t="shared" si="174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313</v>
      </c>
      <c r="C137" s="470">
        <v>510248.916666667</v>
      </c>
      <c r="D137" s="469">
        <v>12</v>
      </c>
      <c r="E137" s="470">
        <f t="shared" si="159"/>
        <v>6122987</v>
      </c>
      <c r="F137" s="470"/>
      <c r="G137" s="474">
        <v>374483.04</v>
      </c>
      <c r="H137" s="476"/>
      <c r="I137" s="470">
        <f t="shared" si="160"/>
        <v>5748503.96</v>
      </c>
      <c r="J137" s="470">
        <v>200000</v>
      </c>
      <c r="K137" s="470">
        <v>0.2</v>
      </c>
      <c r="L137" s="470">
        <f t="shared" si="161"/>
        <v>1149700.792</v>
      </c>
      <c r="M137" s="470">
        <f t="shared" si="162"/>
        <v>1349700.792</v>
      </c>
      <c r="N137" s="470">
        <f t="shared" si="163"/>
        <v>1724183.832</v>
      </c>
      <c r="O137" s="470">
        <f t="shared" si="164"/>
        <v>4398803.168</v>
      </c>
      <c r="P137" s="470">
        <f t="shared" si="165"/>
        <v>21000</v>
      </c>
      <c r="Q137" s="470">
        <f t="shared" si="166"/>
        <v>33000</v>
      </c>
      <c r="R137" s="470">
        <f t="shared" si="167"/>
        <v>75000</v>
      </c>
      <c r="S137" s="470">
        <f t="shared" si="168"/>
        <v>95000</v>
      </c>
      <c r="T137" s="470">
        <f t="shared" si="169"/>
        <v>336000</v>
      </c>
      <c r="U137" s="470">
        <f t="shared" si="170"/>
        <v>287712.760320001</v>
      </c>
      <c r="V137" s="470">
        <f t="shared" si="171"/>
        <v>847712.760320001</v>
      </c>
      <c r="W137" s="471">
        <v>12</v>
      </c>
      <c r="X137" s="470">
        <f t="shared" si="172"/>
        <v>70642.7300266667</v>
      </c>
      <c r="Y137" s="476"/>
      <c r="Z137" s="470">
        <f t="shared" si="173"/>
        <v>70642.7300266667</v>
      </c>
      <c r="AA137" s="473">
        <v>35318.8264566667</v>
      </c>
      <c r="AB137" s="473">
        <f t="shared" si="174"/>
        <v>35323.90357</v>
      </c>
      <c r="AC137" s="473"/>
      <c r="AD137" s="473"/>
      <c r="AE137" s="473"/>
    </row>
    <row r="138" ht="18" spans="1:31">
      <c r="A138" s="467">
        <v>121</v>
      </c>
      <c r="B138" s="11" t="s">
        <v>315</v>
      </c>
      <c r="C138" s="470">
        <v>437895.166666667</v>
      </c>
      <c r="D138" s="469">
        <v>12</v>
      </c>
      <c r="E138" s="470">
        <f t="shared" si="159"/>
        <v>5254742</v>
      </c>
      <c r="F138" s="470"/>
      <c r="G138" s="474">
        <v>362779.36</v>
      </c>
      <c r="H138" s="476"/>
      <c r="I138" s="470">
        <f t="shared" si="160"/>
        <v>4891962.64</v>
      </c>
      <c r="J138" s="470">
        <v>200000</v>
      </c>
      <c r="K138" s="470">
        <v>0.2</v>
      </c>
      <c r="L138" s="470">
        <f t="shared" si="161"/>
        <v>978392.528000001</v>
      </c>
      <c r="M138" s="470">
        <f t="shared" si="162"/>
        <v>1178392.528</v>
      </c>
      <c r="N138" s="470">
        <f t="shared" si="163"/>
        <v>1541171.888</v>
      </c>
      <c r="O138" s="470">
        <f t="shared" si="164"/>
        <v>3713570.112</v>
      </c>
      <c r="P138" s="470">
        <f t="shared" si="165"/>
        <v>21000</v>
      </c>
      <c r="Q138" s="470">
        <f t="shared" si="166"/>
        <v>33000</v>
      </c>
      <c r="R138" s="470">
        <f t="shared" si="167"/>
        <v>75000</v>
      </c>
      <c r="S138" s="470">
        <f t="shared" si="168"/>
        <v>95000</v>
      </c>
      <c r="T138" s="470">
        <f t="shared" si="169"/>
        <v>336000</v>
      </c>
      <c r="U138" s="470">
        <f t="shared" si="170"/>
        <v>123256.826880001</v>
      </c>
      <c r="V138" s="470">
        <f t="shared" si="171"/>
        <v>683256.826880001</v>
      </c>
      <c r="W138" s="471">
        <v>12</v>
      </c>
      <c r="X138" s="470">
        <f t="shared" si="172"/>
        <v>56938.0689066667</v>
      </c>
      <c r="Y138" s="476"/>
      <c r="Z138" s="470">
        <f t="shared" si="173"/>
        <v>56938.0689066667</v>
      </c>
      <c r="AA138" s="473">
        <v>34968.8824146667</v>
      </c>
      <c r="AB138" s="473">
        <f t="shared" si="174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317</v>
      </c>
      <c r="C139" s="470">
        <v>425703.833333333</v>
      </c>
      <c r="D139" s="469">
        <v>12</v>
      </c>
      <c r="E139" s="470">
        <f t="shared" si="159"/>
        <v>5108446</v>
      </c>
      <c r="F139" s="470">
        <f>538.022*12</f>
        <v>6456.264</v>
      </c>
      <c r="G139" s="474">
        <v>351075.68</v>
      </c>
      <c r="H139" s="476"/>
      <c r="I139" s="470">
        <f t="shared" si="160"/>
        <v>4750914.056</v>
      </c>
      <c r="J139" s="470">
        <v>200000</v>
      </c>
      <c r="K139" s="470">
        <v>0.2</v>
      </c>
      <c r="L139" s="470">
        <f t="shared" si="161"/>
        <v>950182.811199999</v>
      </c>
      <c r="M139" s="470">
        <f t="shared" si="162"/>
        <v>1150182.8112</v>
      </c>
      <c r="N139" s="470">
        <f t="shared" si="163"/>
        <v>1507714.7552</v>
      </c>
      <c r="O139" s="470">
        <f t="shared" si="164"/>
        <v>3600731.2448</v>
      </c>
      <c r="P139" s="470">
        <f t="shared" si="165"/>
        <v>21000</v>
      </c>
      <c r="Q139" s="470">
        <f t="shared" si="166"/>
        <v>33000</v>
      </c>
      <c r="R139" s="470">
        <f t="shared" si="167"/>
        <v>75000</v>
      </c>
      <c r="S139" s="470">
        <f t="shared" si="168"/>
        <v>95000</v>
      </c>
      <c r="T139" s="470">
        <f t="shared" si="169"/>
        <v>336000</v>
      </c>
      <c r="U139" s="470">
        <f t="shared" si="170"/>
        <v>96175.4987519992</v>
      </c>
      <c r="V139" s="470">
        <f t="shared" si="171"/>
        <v>656175.498751999</v>
      </c>
      <c r="W139" s="471">
        <v>12</v>
      </c>
      <c r="X139" s="470">
        <f t="shared" si="172"/>
        <v>54681.2915626666</v>
      </c>
      <c r="Y139" s="476"/>
      <c r="Z139" s="470">
        <f t="shared" si="173"/>
        <v>54681.2915626666</v>
      </c>
      <c r="AA139" s="473">
        <v>32848.5634026667</v>
      </c>
      <c r="AB139" s="473">
        <f t="shared" si="174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616">
        <v>591753.166666667</v>
      </c>
      <c r="D140" s="469">
        <v>12</v>
      </c>
      <c r="E140" s="470">
        <f t="shared" si="159"/>
        <v>7101038</v>
      </c>
      <c r="F140" s="470">
        <f>576.62125*12</f>
        <v>6919.455</v>
      </c>
      <c r="G140" s="474">
        <v>374483.04</v>
      </c>
      <c r="H140" s="476"/>
      <c r="I140" s="470">
        <f t="shared" si="160"/>
        <v>6719635.505</v>
      </c>
      <c r="J140" s="470">
        <v>200000</v>
      </c>
      <c r="K140" s="470">
        <v>0.2</v>
      </c>
      <c r="L140" s="470">
        <f t="shared" si="161"/>
        <v>1343927.101</v>
      </c>
      <c r="M140" s="470">
        <f t="shared" si="162"/>
        <v>1543927.101</v>
      </c>
      <c r="N140" s="470">
        <f t="shared" si="163"/>
        <v>1925329.596</v>
      </c>
      <c r="O140" s="470">
        <f t="shared" si="164"/>
        <v>5175708.404</v>
      </c>
      <c r="P140" s="470">
        <f t="shared" si="165"/>
        <v>21000</v>
      </c>
      <c r="Q140" s="470">
        <f t="shared" si="166"/>
        <v>33000</v>
      </c>
      <c r="R140" s="470">
        <f t="shared" si="167"/>
        <v>75000</v>
      </c>
      <c r="S140" s="470">
        <f t="shared" si="168"/>
        <v>95000</v>
      </c>
      <c r="T140" s="470">
        <f t="shared" si="169"/>
        <v>336000</v>
      </c>
      <c r="U140" s="470">
        <f t="shared" si="170"/>
        <v>474170.016960001</v>
      </c>
      <c r="V140" s="470">
        <f t="shared" si="171"/>
        <v>1034170.01696</v>
      </c>
      <c r="W140" s="471">
        <v>12</v>
      </c>
      <c r="X140" s="470">
        <f t="shared" si="172"/>
        <v>86180.8347466667</v>
      </c>
      <c r="Y140" s="476"/>
      <c r="Z140" s="470">
        <f t="shared" si="173"/>
        <v>86180.8347466667</v>
      </c>
      <c r="AA140" s="473">
        <v>35221.9540866667</v>
      </c>
      <c r="AB140" s="473">
        <f t="shared" si="174"/>
        <v>50958.88066</v>
      </c>
      <c r="AC140" s="473"/>
      <c r="AD140" s="473"/>
      <c r="AE140" s="473"/>
    </row>
    <row r="141" ht="18" spans="1:31">
      <c r="A141" s="467">
        <v>124</v>
      </c>
      <c r="B141" s="18" t="s">
        <v>319</v>
      </c>
      <c r="C141" s="470">
        <v>413512.5</v>
      </c>
      <c r="D141" s="469">
        <v>12</v>
      </c>
      <c r="E141" s="470">
        <f t="shared" si="159"/>
        <v>4962150</v>
      </c>
      <c r="F141" s="470">
        <v>0</v>
      </c>
      <c r="G141" s="474">
        <v>339372</v>
      </c>
      <c r="H141" s="476"/>
      <c r="I141" s="470">
        <f t="shared" si="160"/>
        <v>4622778</v>
      </c>
      <c r="J141" s="470">
        <v>200000</v>
      </c>
      <c r="K141" s="470">
        <v>0.2</v>
      </c>
      <c r="L141" s="470">
        <f t="shared" si="161"/>
        <v>924555.6</v>
      </c>
      <c r="M141" s="470">
        <f t="shared" si="162"/>
        <v>1124555.6</v>
      </c>
      <c r="N141" s="470">
        <f t="shared" si="163"/>
        <v>1463927.6</v>
      </c>
      <c r="O141" s="470">
        <f t="shared" si="164"/>
        <v>3498222.4</v>
      </c>
      <c r="P141" s="470">
        <f t="shared" si="165"/>
        <v>21000</v>
      </c>
      <c r="Q141" s="470">
        <f t="shared" si="166"/>
        <v>33000</v>
      </c>
      <c r="R141" s="470">
        <f t="shared" si="167"/>
        <v>75000</v>
      </c>
      <c r="S141" s="470">
        <f t="shared" si="168"/>
        <v>95000</v>
      </c>
      <c r="T141" s="470">
        <f t="shared" si="169"/>
        <v>336000</v>
      </c>
      <c r="U141" s="470">
        <f t="shared" si="170"/>
        <v>71573.376</v>
      </c>
      <c r="V141" s="470">
        <f t="shared" si="171"/>
        <v>631573.376</v>
      </c>
      <c r="W141" s="471">
        <v>12</v>
      </c>
      <c r="X141" s="470">
        <f t="shared" si="172"/>
        <v>52631.1146666667</v>
      </c>
      <c r="Y141" s="476"/>
      <c r="Z141" s="470">
        <f t="shared" si="173"/>
        <v>52631.1146666667</v>
      </c>
      <c r="AA141" s="473">
        <v>31749.1752666667</v>
      </c>
      <c r="AB141" s="473">
        <f t="shared" si="174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321</v>
      </c>
      <c r="C142" s="470">
        <v>368901.5</v>
      </c>
      <c r="D142" s="469">
        <v>12</v>
      </c>
      <c r="E142" s="470">
        <f t="shared" si="159"/>
        <v>4426818</v>
      </c>
      <c r="F142" s="470"/>
      <c r="G142" s="474">
        <v>296545.44</v>
      </c>
      <c r="H142" s="476"/>
      <c r="I142" s="470">
        <f t="shared" si="160"/>
        <v>4130272.56</v>
      </c>
      <c r="J142" s="470">
        <v>200000</v>
      </c>
      <c r="K142" s="470">
        <v>0.2</v>
      </c>
      <c r="L142" s="470">
        <f t="shared" si="161"/>
        <v>826054.512</v>
      </c>
      <c r="M142" s="470">
        <f t="shared" si="162"/>
        <v>1026054.512</v>
      </c>
      <c r="N142" s="470">
        <f t="shared" si="163"/>
        <v>1322599.952</v>
      </c>
      <c r="O142" s="470">
        <f t="shared" si="164"/>
        <v>3104218.048</v>
      </c>
      <c r="P142" s="470">
        <f t="shared" si="165"/>
        <v>21000</v>
      </c>
      <c r="Q142" s="470">
        <f t="shared" si="166"/>
        <v>33000</v>
      </c>
      <c r="R142" s="470">
        <f t="shared" si="167"/>
        <v>75000</v>
      </c>
      <c r="S142" s="470">
        <f t="shared" si="168"/>
        <v>95000</v>
      </c>
      <c r="T142" s="470">
        <f t="shared" si="169"/>
        <v>315885.79008</v>
      </c>
      <c r="U142" s="470"/>
      <c r="V142" s="470">
        <f t="shared" si="171"/>
        <v>539885.79008</v>
      </c>
      <c r="W142" s="471">
        <v>12</v>
      </c>
      <c r="X142" s="470">
        <f t="shared" si="172"/>
        <v>44990.4825066667</v>
      </c>
      <c r="Y142" s="476"/>
      <c r="Z142" s="470">
        <f t="shared" si="173"/>
        <v>44990.4825066667</v>
      </c>
      <c r="AA142" s="473">
        <v>27105.9865626667</v>
      </c>
      <c r="AB142" s="473">
        <f t="shared" si="174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322</v>
      </c>
      <c r="C143" s="470">
        <v>376837.416666667</v>
      </c>
      <c r="D143" s="469">
        <v>12</v>
      </c>
      <c r="E143" s="470">
        <f t="shared" si="159"/>
        <v>4522049</v>
      </c>
      <c r="F143" s="470">
        <f>469.4825*12</f>
        <v>5633.79</v>
      </c>
      <c r="G143" s="474">
        <v>304163.92</v>
      </c>
      <c r="H143" s="476"/>
      <c r="I143" s="470">
        <f t="shared" si="160"/>
        <v>4212251.29</v>
      </c>
      <c r="J143" s="470">
        <v>200000</v>
      </c>
      <c r="K143" s="470">
        <v>0.2</v>
      </c>
      <c r="L143" s="470">
        <f t="shared" si="161"/>
        <v>842450.258000001</v>
      </c>
      <c r="M143" s="470">
        <f t="shared" si="162"/>
        <v>1042450.258</v>
      </c>
      <c r="N143" s="470">
        <f t="shared" si="163"/>
        <v>1352247.968</v>
      </c>
      <c r="O143" s="470">
        <f t="shared" si="164"/>
        <v>3169801.032</v>
      </c>
      <c r="P143" s="470">
        <f t="shared" si="165"/>
        <v>21000</v>
      </c>
      <c r="Q143" s="470">
        <f t="shared" si="166"/>
        <v>33000</v>
      </c>
      <c r="R143" s="470">
        <f t="shared" si="167"/>
        <v>75000</v>
      </c>
      <c r="S143" s="470">
        <f t="shared" si="168"/>
        <v>95000</v>
      </c>
      <c r="T143" s="470">
        <f t="shared" si="169"/>
        <v>329658.216720001</v>
      </c>
      <c r="U143" s="470"/>
      <c r="V143" s="470">
        <f t="shared" si="171"/>
        <v>553658.216720001</v>
      </c>
      <c r="W143" s="471">
        <v>12</v>
      </c>
      <c r="X143" s="470">
        <f t="shared" si="172"/>
        <v>46138.1847266667</v>
      </c>
      <c r="Y143" s="476"/>
      <c r="Z143" s="470">
        <f t="shared" si="173"/>
        <v>46138.1847266667</v>
      </c>
      <c r="AA143" s="473">
        <v>27794.2066266667</v>
      </c>
      <c r="AB143" s="473">
        <f t="shared" si="174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324</v>
      </c>
      <c r="C144" s="470">
        <v>376837.416666667</v>
      </c>
      <c r="D144" s="469">
        <v>12</v>
      </c>
      <c r="E144" s="470">
        <f t="shared" si="159"/>
        <v>4522049</v>
      </c>
      <c r="F144" s="470"/>
      <c r="G144" s="474">
        <v>304163.92</v>
      </c>
      <c r="H144" s="476"/>
      <c r="I144" s="470">
        <f t="shared" si="160"/>
        <v>4217885.08</v>
      </c>
      <c r="J144" s="470">
        <v>200000</v>
      </c>
      <c r="K144" s="470">
        <v>0.2</v>
      </c>
      <c r="L144" s="470">
        <f t="shared" si="161"/>
        <v>843577.016000001</v>
      </c>
      <c r="M144" s="470">
        <f t="shared" si="162"/>
        <v>1043577.016</v>
      </c>
      <c r="N144" s="470">
        <f t="shared" si="163"/>
        <v>1347740.936</v>
      </c>
      <c r="O144" s="470">
        <f t="shared" si="164"/>
        <v>3174308.064</v>
      </c>
      <c r="P144" s="470">
        <f t="shared" si="165"/>
        <v>21000</v>
      </c>
      <c r="Q144" s="470">
        <f t="shared" si="166"/>
        <v>33000</v>
      </c>
      <c r="R144" s="470">
        <f t="shared" si="167"/>
        <v>75000</v>
      </c>
      <c r="S144" s="470">
        <f t="shared" si="168"/>
        <v>95000</v>
      </c>
      <c r="T144" s="470">
        <f t="shared" si="169"/>
        <v>330604.693440001</v>
      </c>
      <c r="U144" s="470"/>
      <c r="V144" s="470">
        <f t="shared" si="171"/>
        <v>554604.693440001</v>
      </c>
      <c r="W144" s="471">
        <v>12</v>
      </c>
      <c r="X144" s="470">
        <f t="shared" si="172"/>
        <v>46217.0577866667</v>
      </c>
      <c r="Y144" s="476"/>
      <c r="Z144" s="470">
        <f t="shared" si="173"/>
        <v>46217.0577866667</v>
      </c>
      <c r="AA144" s="473">
        <v>27873.0796866667</v>
      </c>
      <c r="AB144" s="473">
        <f t="shared" si="174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325</v>
      </c>
      <c r="C145" s="470">
        <v>360965.583333333</v>
      </c>
      <c r="D145" s="469">
        <v>12</v>
      </c>
      <c r="E145" s="470">
        <f t="shared" si="159"/>
        <v>4331587</v>
      </c>
      <c r="F145" s="470"/>
      <c r="G145" s="474">
        <v>288926.96</v>
      </c>
      <c r="H145" s="476"/>
      <c r="I145" s="470">
        <f t="shared" si="160"/>
        <v>4042660.04</v>
      </c>
      <c r="J145" s="470">
        <v>200000</v>
      </c>
      <c r="K145" s="470">
        <v>0.2</v>
      </c>
      <c r="L145" s="470">
        <f t="shared" si="161"/>
        <v>808532.007999999</v>
      </c>
      <c r="M145" s="470">
        <f t="shared" si="162"/>
        <v>1008532.008</v>
      </c>
      <c r="N145" s="470">
        <f t="shared" si="163"/>
        <v>1297458.968</v>
      </c>
      <c r="O145" s="470">
        <f t="shared" si="164"/>
        <v>3034128.032</v>
      </c>
      <c r="P145" s="470">
        <f t="shared" si="165"/>
        <v>21000</v>
      </c>
      <c r="Q145" s="470">
        <f t="shared" si="166"/>
        <v>33000</v>
      </c>
      <c r="R145" s="470">
        <f t="shared" si="167"/>
        <v>75000</v>
      </c>
      <c r="S145" s="470">
        <f t="shared" si="168"/>
        <v>95000</v>
      </c>
      <c r="T145" s="470">
        <f t="shared" si="169"/>
        <v>301166.886719999</v>
      </c>
      <c r="U145" s="470"/>
      <c r="V145" s="470">
        <f t="shared" si="171"/>
        <v>525166.886719999</v>
      </c>
      <c r="W145" s="471">
        <v>12</v>
      </c>
      <c r="X145" s="470">
        <f t="shared" si="172"/>
        <v>43763.9072266666</v>
      </c>
      <c r="Y145" s="476"/>
      <c r="Z145" s="470">
        <f t="shared" si="173"/>
        <v>43763.9072266666</v>
      </c>
      <c r="AA145" s="473">
        <v>27105.9865626667</v>
      </c>
      <c r="AB145" s="473">
        <f t="shared" si="174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327</v>
      </c>
      <c r="C146" s="470">
        <v>323165.333333333</v>
      </c>
      <c r="D146" s="469">
        <v>12</v>
      </c>
      <c r="E146" s="470">
        <f t="shared" si="159"/>
        <v>3877984</v>
      </c>
      <c r="F146" s="470"/>
      <c r="G146" s="474">
        <v>252638.72</v>
      </c>
      <c r="H146" s="476"/>
      <c r="I146" s="470">
        <f t="shared" si="160"/>
        <v>3625345.28</v>
      </c>
      <c r="J146" s="470">
        <v>200000</v>
      </c>
      <c r="K146" s="470">
        <v>0.2</v>
      </c>
      <c r="L146" s="470">
        <f t="shared" si="161"/>
        <v>725069.055999999</v>
      </c>
      <c r="M146" s="470">
        <f t="shared" si="162"/>
        <v>925069.055999999</v>
      </c>
      <c r="N146" s="470">
        <f t="shared" si="163"/>
        <v>1177707.776</v>
      </c>
      <c r="O146" s="470">
        <f t="shared" si="164"/>
        <v>2700276.224</v>
      </c>
      <c r="P146" s="470">
        <f t="shared" si="165"/>
        <v>21000</v>
      </c>
      <c r="Q146" s="470">
        <f t="shared" si="166"/>
        <v>33000</v>
      </c>
      <c r="R146" s="470">
        <f t="shared" si="167"/>
        <v>75000</v>
      </c>
      <c r="S146" s="470">
        <f t="shared" si="168"/>
        <v>95000</v>
      </c>
      <c r="T146" s="470">
        <f t="shared" si="169"/>
        <v>231058.007039999</v>
      </c>
      <c r="U146" s="470"/>
      <c r="V146" s="470">
        <f t="shared" si="171"/>
        <v>455058.007039999</v>
      </c>
      <c r="W146" s="471">
        <v>12</v>
      </c>
      <c r="X146" s="470">
        <f t="shared" si="172"/>
        <v>37921.5005866666</v>
      </c>
      <c r="Y146" s="476"/>
      <c r="Z146" s="470">
        <f t="shared" si="173"/>
        <v>37921.5005866666</v>
      </c>
      <c r="AA146" s="473">
        <v>22338.4826046667</v>
      </c>
      <c r="AB146" s="473">
        <f t="shared" si="174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329</v>
      </c>
      <c r="C147" s="470">
        <v>368901.5</v>
      </c>
      <c r="D147" s="469">
        <v>12</v>
      </c>
      <c r="E147" s="470">
        <f t="shared" si="159"/>
        <v>4426818</v>
      </c>
      <c r="F147" s="470"/>
      <c r="G147" s="474">
        <v>296545.44</v>
      </c>
      <c r="H147" s="476"/>
      <c r="I147" s="470">
        <f t="shared" si="160"/>
        <v>4130272.56</v>
      </c>
      <c r="J147" s="470">
        <v>200000</v>
      </c>
      <c r="K147" s="470">
        <v>0.2</v>
      </c>
      <c r="L147" s="470">
        <f t="shared" si="161"/>
        <v>826054.512</v>
      </c>
      <c r="M147" s="470">
        <f t="shared" si="162"/>
        <v>1026054.512</v>
      </c>
      <c r="N147" s="470">
        <f t="shared" si="163"/>
        <v>1322599.952</v>
      </c>
      <c r="O147" s="470">
        <f t="shared" si="164"/>
        <v>3104218.048</v>
      </c>
      <c r="P147" s="470">
        <f t="shared" si="165"/>
        <v>21000</v>
      </c>
      <c r="Q147" s="470">
        <f t="shared" si="166"/>
        <v>33000</v>
      </c>
      <c r="R147" s="470">
        <f t="shared" si="167"/>
        <v>75000</v>
      </c>
      <c r="S147" s="470">
        <f t="shared" si="168"/>
        <v>95000</v>
      </c>
      <c r="T147" s="470">
        <f t="shared" si="169"/>
        <v>315885.79008</v>
      </c>
      <c r="U147" s="470"/>
      <c r="V147" s="470">
        <f t="shared" si="171"/>
        <v>539885.79008</v>
      </c>
      <c r="W147" s="471">
        <v>12</v>
      </c>
      <c r="X147" s="470">
        <f t="shared" si="172"/>
        <v>44990.4825066667</v>
      </c>
      <c r="Y147" s="476"/>
      <c r="Z147" s="470">
        <f t="shared" si="173"/>
        <v>44990.4825066667</v>
      </c>
      <c r="AA147" s="473">
        <v>27105.9865626667</v>
      </c>
      <c r="AB147" s="473">
        <f t="shared" si="174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331</v>
      </c>
      <c r="C148" s="470">
        <v>330481.666666667</v>
      </c>
      <c r="D148" s="469">
        <v>12</v>
      </c>
      <c r="E148" s="470">
        <f t="shared" si="159"/>
        <v>3965780</v>
      </c>
      <c r="F148" s="470"/>
      <c r="G148" s="474">
        <v>259662.4</v>
      </c>
      <c r="H148" s="476"/>
      <c r="I148" s="470">
        <f t="shared" si="160"/>
        <v>3706117.6</v>
      </c>
      <c r="J148" s="470">
        <v>200000</v>
      </c>
      <c r="K148" s="470">
        <v>0.2</v>
      </c>
      <c r="L148" s="470">
        <f t="shared" si="161"/>
        <v>741223.520000001</v>
      </c>
      <c r="M148" s="470">
        <f t="shared" si="162"/>
        <v>941223.520000001</v>
      </c>
      <c r="N148" s="470">
        <f t="shared" si="163"/>
        <v>1200885.92</v>
      </c>
      <c r="O148" s="470">
        <f t="shared" si="164"/>
        <v>2764894.08</v>
      </c>
      <c r="P148" s="470">
        <f t="shared" si="165"/>
        <v>21000</v>
      </c>
      <c r="Q148" s="470">
        <f t="shared" si="166"/>
        <v>33000</v>
      </c>
      <c r="R148" s="470">
        <f t="shared" si="167"/>
        <v>75000</v>
      </c>
      <c r="S148" s="470">
        <f t="shared" si="168"/>
        <v>95000</v>
      </c>
      <c r="T148" s="470">
        <f t="shared" si="169"/>
        <v>244627.756800001</v>
      </c>
      <c r="U148" s="470"/>
      <c r="V148" s="470">
        <f t="shared" si="171"/>
        <v>468627.756800001</v>
      </c>
      <c r="W148" s="471">
        <v>12</v>
      </c>
      <c r="X148" s="470">
        <f t="shared" si="172"/>
        <v>39052.3130666667</v>
      </c>
      <c r="Y148" s="476"/>
      <c r="Z148" s="470">
        <f t="shared" si="173"/>
        <v>39052.3130666667</v>
      </c>
      <c r="AA148" s="473">
        <v>23036.0123466667</v>
      </c>
      <c r="AB148" s="473">
        <f t="shared" si="174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333</v>
      </c>
      <c r="C149" s="470">
        <v>368901.5</v>
      </c>
      <c r="D149" s="469">
        <v>12</v>
      </c>
      <c r="E149" s="470">
        <f t="shared" si="159"/>
        <v>4426818</v>
      </c>
      <c r="F149" s="470">
        <f>457.041*12</f>
        <v>5484.492</v>
      </c>
      <c r="G149" s="474">
        <v>296545.44</v>
      </c>
      <c r="H149" s="476"/>
      <c r="I149" s="470">
        <f t="shared" si="160"/>
        <v>4124788.068</v>
      </c>
      <c r="J149" s="470">
        <v>200000</v>
      </c>
      <c r="K149" s="470">
        <v>0.2</v>
      </c>
      <c r="L149" s="470">
        <f t="shared" si="161"/>
        <v>824957.6136</v>
      </c>
      <c r="M149" s="470">
        <f t="shared" si="162"/>
        <v>1024957.6136</v>
      </c>
      <c r="N149" s="470">
        <f t="shared" si="163"/>
        <v>1326987.5456</v>
      </c>
      <c r="O149" s="470">
        <f t="shared" si="164"/>
        <v>3099830.4544</v>
      </c>
      <c r="P149" s="470">
        <f t="shared" si="165"/>
        <v>21000</v>
      </c>
      <c r="Q149" s="470">
        <f t="shared" si="166"/>
        <v>33000</v>
      </c>
      <c r="R149" s="470">
        <f t="shared" si="167"/>
        <v>75000</v>
      </c>
      <c r="S149" s="470">
        <f t="shared" si="168"/>
        <v>95000</v>
      </c>
      <c r="T149" s="470">
        <f t="shared" si="169"/>
        <v>314964.395424</v>
      </c>
      <c r="U149" s="470"/>
      <c r="V149" s="470">
        <f t="shared" si="171"/>
        <v>538964.395424</v>
      </c>
      <c r="W149" s="471">
        <v>12</v>
      </c>
      <c r="X149" s="470">
        <f t="shared" si="172"/>
        <v>44913.6996186667</v>
      </c>
      <c r="Y149" s="476"/>
      <c r="Z149" s="470">
        <f t="shared" si="173"/>
        <v>44913.6996186667</v>
      </c>
      <c r="AA149" s="473">
        <v>27029.2036746667</v>
      </c>
      <c r="AB149" s="473">
        <f t="shared" si="174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334</v>
      </c>
      <c r="C150" s="470">
        <v>330481.666666667</v>
      </c>
      <c r="D150" s="469">
        <v>12</v>
      </c>
      <c r="E150" s="470">
        <f t="shared" si="159"/>
        <v>3965780</v>
      </c>
      <c r="F150" s="470"/>
      <c r="G150" s="474">
        <v>259662.4</v>
      </c>
      <c r="H150" s="476"/>
      <c r="I150" s="470">
        <f t="shared" si="160"/>
        <v>3706117.6</v>
      </c>
      <c r="J150" s="470">
        <v>200000</v>
      </c>
      <c r="K150" s="470">
        <v>0.2</v>
      </c>
      <c r="L150" s="470">
        <f t="shared" si="161"/>
        <v>741223.520000001</v>
      </c>
      <c r="M150" s="470">
        <f t="shared" si="162"/>
        <v>941223.520000001</v>
      </c>
      <c r="N150" s="470">
        <f t="shared" si="163"/>
        <v>1200885.92</v>
      </c>
      <c r="O150" s="470">
        <f t="shared" si="164"/>
        <v>2764894.08</v>
      </c>
      <c r="P150" s="470">
        <f t="shared" si="165"/>
        <v>21000</v>
      </c>
      <c r="Q150" s="470">
        <f t="shared" si="166"/>
        <v>33000</v>
      </c>
      <c r="R150" s="470">
        <f t="shared" si="167"/>
        <v>75000</v>
      </c>
      <c r="S150" s="470">
        <f t="shared" si="168"/>
        <v>95000</v>
      </c>
      <c r="T150" s="470">
        <f t="shared" si="169"/>
        <v>244627.756800001</v>
      </c>
      <c r="U150" s="470"/>
      <c r="V150" s="470">
        <f t="shared" si="171"/>
        <v>468627.756800001</v>
      </c>
      <c r="W150" s="471">
        <v>12</v>
      </c>
      <c r="X150" s="470">
        <f t="shared" si="172"/>
        <v>39052.3130666667</v>
      </c>
      <c r="Y150" s="476"/>
      <c r="Z150" s="470">
        <f t="shared" si="173"/>
        <v>39052.3130666667</v>
      </c>
      <c r="AA150" s="473">
        <v>22338.4826046667</v>
      </c>
      <c r="AB150" s="473">
        <f t="shared" si="174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336</v>
      </c>
      <c r="C151" s="470">
        <v>315849</v>
      </c>
      <c r="D151" s="469">
        <v>12</v>
      </c>
      <c r="E151" s="470">
        <f t="shared" si="159"/>
        <v>3790188</v>
      </c>
      <c r="F151" s="470"/>
      <c r="G151" s="474">
        <v>245615.04</v>
      </c>
      <c r="H151" s="476"/>
      <c r="I151" s="470">
        <f t="shared" si="160"/>
        <v>3544572.96</v>
      </c>
      <c r="J151" s="470">
        <v>200000</v>
      </c>
      <c r="K151" s="470">
        <v>0.2</v>
      </c>
      <c r="L151" s="470">
        <f t="shared" si="161"/>
        <v>708914.592</v>
      </c>
      <c r="M151" s="470">
        <f t="shared" si="162"/>
        <v>908914.592</v>
      </c>
      <c r="N151" s="470">
        <f t="shared" si="163"/>
        <v>1154529.632</v>
      </c>
      <c r="O151" s="470">
        <f t="shared" si="164"/>
        <v>2635658.368</v>
      </c>
      <c r="P151" s="470">
        <f t="shared" si="165"/>
        <v>21000</v>
      </c>
      <c r="Q151" s="470">
        <f t="shared" si="166"/>
        <v>33000</v>
      </c>
      <c r="R151" s="470">
        <f t="shared" si="167"/>
        <v>75000</v>
      </c>
      <c r="S151" s="470">
        <f t="shared" si="168"/>
        <v>95000</v>
      </c>
      <c r="T151" s="470">
        <f t="shared" si="169"/>
        <v>217488.25728</v>
      </c>
      <c r="U151" s="470"/>
      <c r="V151" s="470">
        <f t="shared" si="171"/>
        <v>441488.25728</v>
      </c>
      <c r="W151" s="471">
        <v>12</v>
      </c>
      <c r="X151" s="470">
        <f t="shared" si="172"/>
        <v>36790.6881066667</v>
      </c>
      <c r="Y151" s="476"/>
      <c r="Z151" s="470">
        <f t="shared" si="173"/>
        <v>36790.6881066667</v>
      </c>
      <c r="AA151" s="473">
        <v>21640.9528626667</v>
      </c>
      <c r="AB151" s="473">
        <f t="shared" si="174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343</v>
      </c>
      <c r="C152" s="470">
        <v>274459.75</v>
      </c>
      <c r="D152" s="469">
        <v>12</v>
      </c>
      <c r="E152" s="470">
        <f t="shared" si="159"/>
        <v>3293517</v>
      </c>
      <c r="F152" s="470">
        <v>0</v>
      </c>
      <c r="G152" s="474">
        <v>215481.36</v>
      </c>
      <c r="H152" s="476"/>
      <c r="I152" s="470">
        <f t="shared" si="160"/>
        <v>3078035.64</v>
      </c>
      <c r="J152" s="470">
        <v>200000</v>
      </c>
      <c r="K152" s="470">
        <v>0.2</v>
      </c>
      <c r="L152" s="470">
        <f t="shared" si="161"/>
        <v>615607.128</v>
      </c>
      <c r="M152" s="470">
        <f t="shared" si="162"/>
        <v>815607.128</v>
      </c>
      <c r="N152" s="470">
        <f t="shared" si="163"/>
        <v>1031088.488</v>
      </c>
      <c r="O152" s="470">
        <f t="shared" si="164"/>
        <v>2262428.512</v>
      </c>
      <c r="P152" s="470">
        <f t="shared" si="165"/>
        <v>21000</v>
      </c>
      <c r="Q152" s="470">
        <f t="shared" si="166"/>
        <v>33000</v>
      </c>
      <c r="R152" s="470">
        <f t="shared" si="167"/>
        <v>75000</v>
      </c>
      <c r="S152" s="470">
        <f t="shared" si="168"/>
        <v>95000</v>
      </c>
      <c r="T152" s="470">
        <f t="shared" si="169"/>
        <v>139109.98752</v>
      </c>
      <c r="U152" s="470"/>
      <c r="V152" s="470">
        <f t="shared" si="171"/>
        <v>363109.98752</v>
      </c>
      <c r="W152" s="471">
        <v>12</v>
      </c>
      <c r="X152" s="470">
        <f t="shared" si="172"/>
        <v>30259.1656266667</v>
      </c>
      <c r="Y152" s="476"/>
      <c r="Z152" s="470">
        <f t="shared" si="173"/>
        <v>30259.1656266667</v>
      </c>
      <c r="AA152" s="473">
        <v>17042.7138666667</v>
      </c>
      <c r="AB152" s="473">
        <f t="shared" si="174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345</v>
      </c>
      <c r="C153" s="470">
        <v>274459.75</v>
      </c>
      <c r="D153" s="469">
        <v>12</v>
      </c>
      <c r="E153" s="470">
        <f t="shared" si="159"/>
        <v>3293517</v>
      </c>
      <c r="F153" s="470">
        <v>0</v>
      </c>
      <c r="G153" s="474">
        <v>215481.36</v>
      </c>
      <c r="H153" s="476"/>
      <c r="I153" s="470">
        <f t="shared" si="160"/>
        <v>3078035.64</v>
      </c>
      <c r="J153" s="470">
        <v>200000</v>
      </c>
      <c r="K153" s="470">
        <v>0.2</v>
      </c>
      <c r="L153" s="470">
        <f t="shared" si="161"/>
        <v>615607.128</v>
      </c>
      <c r="M153" s="470">
        <f t="shared" si="162"/>
        <v>815607.128</v>
      </c>
      <c r="N153" s="470">
        <f t="shared" si="163"/>
        <v>1031088.488</v>
      </c>
      <c r="O153" s="470">
        <f t="shared" si="164"/>
        <v>2262428.512</v>
      </c>
      <c r="P153" s="470">
        <f t="shared" si="165"/>
        <v>21000</v>
      </c>
      <c r="Q153" s="470">
        <f t="shared" si="166"/>
        <v>33000</v>
      </c>
      <c r="R153" s="470">
        <f t="shared" si="167"/>
        <v>75000</v>
      </c>
      <c r="S153" s="470">
        <f t="shared" si="168"/>
        <v>95000</v>
      </c>
      <c r="T153" s="470">
        <f t="shared" si="169"/>
        <v>139109.98752</v>
      </c>
      <c r="U153" s="470"/>
      <c r="V153" s="470">
        <f t="shared" si="171"/>
        <v>363109.98752</v>
      </c>
      <c r="W153" s="471">
        <v>12</v>
      </c>
      <c r="X153" s="470">
        <f t="shared" si="172"/>
        <v>30259.1656266667</v>
      </c>
      <c r="Y153" s="476"/>
      <c r="Z153" s="470">
        <f t="shared" si="173"/>
        <v>30259.1656266667</v>
      </c>
      <c r="AA153" s="473">
        <v>17042.7138666667</v>
      </c>
      <c r="AB153" s="473">
        <f t="shared" si="174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347</v>
      </c>
      <c r="C154" s="470">
        <v>274459.75</v>
      </c>
      <c r="D154" s="469">
        <v>12</v>
      </c>
      <c r="E154" s="470">
        <f t="shared" si="159"/>
        <v>3293517</v>
      </c>
      <c r="F154" s="470">
        <v>0</v>
      </c>
      <c r="G154" s="474">
        <v>215481.36</v>
      </c>
      <c r="H154" s="476"/>
      <c r="I154" s="470">
        <f t="shared" si="160"/>
        <v>3078035.64</v>
      </c>
      <c r="J154" s="470">
        <v>200000</v>
      </c>
      <c r="K154" s="470">
        <v>0.2</v>
      </c>
      <c r="L154" s="470">
        <f t="shared" si="161"/>
        <v>615607.128</v>
      </c>
      <c r="M154" s="470">
        <f t="shared" si="162"/>
        <v>815607.128</v>
      </c>
      <c r="N154" s="470">
        <f t="shared" si="163"/>
        <v>1031088.488</v>
      </c>
      <c r="O154" s="470">
        <f t="shared" si="164"/>
        <v>2262428.512</v>
      </c>
      <c r="P154" s="470">
        <f t="shared" si="165"/>
        <v>21000</v>
      </c>
      <c r="Q154" s="470">
        <f t="shared" si="166"/>
        <v>33000</v>
      </c>
      <c r="R154" s="470">
        <f t="shared" si="167"/>
        <v>75000</v>
      </c>
      <c r="S154" s="470">
        <f t="shared" si="168"/>
        <v>95000</v>
      </c>
      <c r="T154" s="470">
        <f t="shared" si="169"/>
        <v>139109.98752</v>
      </c>
      <c r="U154" s="470"/>
      <c r="V154" s="470">
        <f t="shared" si="171"/>
        <v>363109.98752</v>
      </c>
      <c r="W154" s="471">
        <v>12</v>
      </c>
      <c r="X154" s="470">
        <f t="shared" si="172"/>
        <v>30259.1656266667</v>
      </c>
      <c r="Y154" s="476"/>
      <c r="Z154" s="470">
        <f t="shared" si="173"/>
        <v>30259.1656266667</v>
      </c>
      <c r="AA154" s="473">
        <v>17042.7138666667</v>
      </c>
      <c r="AB154" s="473">
        <f t="shared" si="174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349</v>
      </c>
      <c r="C155" s="470">
        <v>280631.916666667</v>
      </c>
      <c r="D155" s="469">
        <v>12</v>
      </c>
      <c r="E155" s="470">
        <f t="shared" si="159"/>
        <v>3367583</v>
      </c>
      <c r="F155" s="470">
        <v>0</v>
      </c>
      <c r="G155" s="474">
        <v>221406.64</v>
      </c>
      <c r="H155" s="476"/>
      <c r="I155" s="470">
        <f t="shared" si="160"/>
        <v>3146176.36</v>
      </c>
      <c r="J155" s="470">
        <v>200000</v>
      </c>
      <c r="K155" s="470">
        <v>0.2</v>
      </c>
      <c r="L155" s="470">
        <f t="shared" si="161"/>
        <v>629235.272000001</v>
      </c>
      <c r="M155" s="470">
        <f t="shared" si="162"/>
        <v>829235.272000001</v>
      </c>
      <c r="N155" s="470">
        <f t="shared" si="163"/>
        <v>1050641.912</v>
      </c>
      <c r="O155" s="470">
        <f t="shared" si="164"/>
        <v>2316941.088</v>
      </c>
      <c r="P155" s="470">
        <f t="shared" si="165"/>
        <v>21000</v>
      </c>
      <c r="Q155" s="470">
        <f t="shared" si="166"/>
        <v>33000</v>
      </c>
      <c r="R155" s="470">
        <f t="shared" si="167"/>
        <v>75000</v>
      </c>
      <c r="S155" s="470">
        <f t="shared" si="168"/>
        <v>95000</v>
      </c>
      <c r="T155" s="470">
        <f t="shared" si="169"/>
        <v>150557.628480001</v>
      </c>
      <c r="U155" s="470"/>
      <c r="V155" s="470">
        <f t="shared" si="171"/>
        <v>374557.628480001</v>
      </c>
      <c r="W155" s="471">
        <v>12</v>
      </c>
      <c r="X155" s="470">
        <f t="shared" si="172"/>
        <v>31213.1357066667</v>
      </c>
      <c r="Y155" s="476"/>
      <c r="Z155" s="470">
        <f t="shared" si="173"/>
        <v>31213.1357066667</v>
      </c>
      <c r="AA155" s="473">
        <v>17572.8850026667</v>
      </c>
      <c r="AB155" s="473">
        <f t="shared" si="174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350</v>
      </c>
      <c r="C156" s="470">
        <v>274459.75</v>
      </c>
      <c r="D156" s="469">
        <v>12</v>
      </c>
      <c r="E156" s="470">
        <f t="shared" si="159"/>
        <v>3293517</v>
      </c>
      <c r="F156" s="470">
        <v>0</v>
      </c>
      <c r="G156" s="474">
        <v>215481.36</v>
      </c>
      <c r="H156" s="476"/>
      <c r="I156" s="470">
        <f t="shared" si="160"/>
        <v>3078035.64</v>
      </c>
      <c r="J156" s="470">
        <v>200000</v>
      </c>
      <c r="K156" s="470">
        <v>0.2</v>
      </c>
      <c r="L156" s="470">
        <f t="shared" si="161"/>
        <v>615607.128</v>
      </c>
      <c r="M156" s="470">
        <f t="shared" si="162"/>
        <v>815607.128</v>
      </c>
      <c r="N156" s="470">
        <f t="shared" si="163"/>
        <v>1031088.488</v>
      </c>
      <c r="O156" s="470">
        <f t="shared" si="164"/>
        <v>2262428.512</v>
      </c>
      <c r="P156" s="470">
        <f t="shared" si="165"/>
        <v>21000</v>
      </c>
      <c r="Q156" s="470">
        <f t="shared" si="166"/>
        <v>33000</v>
      </c>
      <c r="R156" s="470">
        <f t="shared" si="167"/>
        <v>75000</v>
      </c>
      <c r="S156" s="470">
        <f t="shared" si="168"/>
        <v>95000</v>
      </c>
      <c r="T156" s="470">
        <f t="shared" si="169"/>
        <v>139109.98752</v>
      </c>
      <c r="U156" s="470"/>
      <c r="V156" s="470">
        <f t="shared" si="171"/>
        <v>363109.98752</v>
      </c>
      <c r="W156" s="471">
        <v>12</v>
      </c>
      <c r="X156" s="470">
        <f t="shared" si="172"/>
        <v>30259.1656266667</v>
      </c>
      <c r="Y156" s="476"/>
      <c r="Z156" s="470">
        <f t="shared" si="173"/>
        <v>30259.1656266667</v>
      </c>
      <c r="AA156" s="473">
        <v>17042.7138666667</v>
      </c>
      <c r="AB156" s="473">
        <f t="shared" si="174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359</v>
      </c>
      <c r="C157" s="470">
        <v>202598.166666667</v>
      </c>
      <c r="D157" s="469">
        <v>12</v>
      </c>
      <c r="E157" s="470">
        <f t="shared" si="159"/>
        <v>2431178</v>
      </c>
      <c r="F157" s="470">
        <f>263.19*12</f>
        <v>3158.28</v>
      </c>
      <c r="G157" s="474">
        <v>161854.24</v>
      </c>
      <c r="H157" s="476"/>
      <c r="I157" s="470">
        <f t="shared" si="160"/>
        <v>2266165.48</v>
      </c>
      <c r="J157" s="470">
        <v>200000</v>
      </c>
      <c r="K157" s="470">
        <v>0.2</v>
      </c>
      <c r="L157" s="470">
        <f t="shared" si="161"/>
        <v>453233.096000001</v>
      </c>
      <c r="M157" s="470">
        <f t="shared" si="162"/>
        <v>653233.096000001</v>
      </c>
      <c r="N157" s="470">
        <f t="shared" si="163"/>
        <v>818245.616000001</v>
      </c>
      <c r="O157" s="470">
        <f t="shared" si="164"/>
        <v>1612932.384</v>
      </c>
      <c r="P157" s="470">
        <f t="shared" si="165"/>
        <v>21000</v>
      </c>
      <c r="Q157" s="470">
        <f t="shared" si="166"/>
        <v>33000</v>
      </c>
      <c r="R157" s="470">
        <f t="shared" si="167"/>
        <v>75000</v>
      </c>
      <c r="S157" s="470">
        <f t="shared" si="168"/>
        <v>95000</v>
      </c>
      <c r="T157" s="470">
        <f t="shared" si="169"/>
        <v>2715.8006400007</v>
      </c>
      <c r="U157" s="470"/>
      <c r="V157" s="470">
        <f t="shared" si="171"/>
        <v>226715.800640001</v>
      </c>
      <c r="W157" s="471">
        <v>12</v>
      </c>
      <c r="X157" s="470">
        <f t="shared" si="172"/>
        <v>18892.9833866667</v>
      </c>
      <c r="Y157" s="476"/>
      <c r="Z157" s="470">
        <f t="shared" si="173"/>
        <v>18892.9833866667</v>
      </c>
      <c r="AA157" s="473">
        <v>10739.3048</v>
      </c>
      <c r="AB157" s="473">
        <f t="shared" si="174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362</v>
      </c>
      <c r="C158" s="470">
        <v>205598.166666667</v>
      </c>
      <c r="D158" s="469">
        <v>12</v>
      </c>
      <c r="E158" s="470">
        <f t="shared" si="159"/>
        <v>2467178</v>
      </c>
      <c r="F158" s="470"/>
      <c r="G158" s="474">
        <v>161854.24</v>
      </c>
      <c r="H158" s="476"/>
      <c r="I158" s="470">
        <f t="shared" si="160"/>
        <v>2305323.76</v>
      </c>
      <c r="J158" s="470">
        <v>200000</v>
      </c>
      <c r="K158" s="470">
        <v>0.2</v>
      </c>
      <c r="L158" s="470">
        <f t="shared" si="161"/>
        <v>461064.752000001</v>
      </c>
      <c r="M158" s="470">
        <f t="shared" si="162"/>
        <v>661064.752000001</v>
      </c>
      <c r="N158" s="470">
        <f t="shared" si="163"/>
        <v>822918.992000001</v>
      </c>
      <c r="O158" s="470">
        <f t="shared" si="164"/>
        <v>1644259.008</v>
      </c>
      <c r="P158" s="470">
        <f t="shared" si="165"/>
        <v>21000</v>
      </c>
      <c r="Q158" s="470">
        <f t="shared" si="166"/>
        <v>33000</v>
      </c>
      <c r="R158" s="470">
        <f t="shared" si="167"/>
        <v>75000</v>
      </c>
      <c r="S158" s="470">
        <f t="shared" si="168"/>
        <v>95000</v>
      </c>
      <c r="T158" s="470">
        <f t="shared" si="169"/>
        <v>9294.39168000067</v>
      </c>
      <c r="U158" s="470"/>
      <c r="V158" s="470">
        <f t="shared" si="171"/>
        <v>233294.391680001</v>
      </c>
      <c r="W158" s="471">
        <v>12</v>
      </c>
      <c r="X158" s="470">
        <f t="shared" si="172"/>
        <v>19441.1993066667</v>
      </c>
      <c r="Y158" s="476"/>
      <c r="Z158" s="470">
        <f t="shared" si="173"/>
        <v>19441.1993066667</v>
      </c>
      <c r="AA158" s="473">
        <v>11232.4576266667</v>
      </c>
      <c r="AB158" s="473">
        <f t="shared" si="174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666</v>
      </c>
      <c r="C159" s="470">
        <v>202598.166666667</v>
      </c>
      <c r="D159" s="469">
        <v>12</v>
      </c>
      <c r="E159" s="470">
        <f t="shared" si="159"/>
        <v>2431178</v>
      </c>
      <c r="F159" s="470"/>
      <c r="G159" s="474">
        <v>161854.24</v>
      </c>
      <c r="H159" s="476"/>
      <c r="I159" s="470">
        <f t="shared" si="160"/>
        <v>2269323.76</v>
      </c>
      <c r="J159" s="470">
        <v>200000</v>
      </c>
      <c r="K159" s="470">
        <v>0.2</v>
      </c>
      <c r="L159" s="470">
        <f t="shared" si="161"/>
        <v>453864.752000001</v>
      </c>
      <c r="M159" s="470">
        <f t="shared" si="162"/>
        <v>653864.752000001</v>
      </c>
      <c r="N159" s="470">
        <f t="shared" si="163"/>
        <v>815718.992000001</v>
      </c>
      <c r="O159" s="470">
        <f t="shared" si="164"/>
        <v>1615459.008</v>
      </c>
      <c r="P159" s="470">
        <f t="shared" si="165"/>
        <v>21000</v>
      </c>
      <c r="Q159" s="470">
        <f t="shared" si="166"/>
        <v>33000</v>
      </c>
      <c r="R159" s="470">
        <f t="shared" si="167"/>
        <v>75000</v>
      </c>
      <c r="S159" s="470">
        <f t="shared" si="168"/>
        <v>95000</v>
      </c>
      <c r="T159" s="470">
        <f t="shared" si="169"/>
        <v>3246.39168000067</v>
      </c>
      <c r="U159" s="470"/>
      <c r="V159" s="470">
        <f t="shared" si="171"/>
        <v>227246.391680001</v>
      </c>
      <c r="W159" s="471">
        <v>12</v>
      </c>
      <c r="X159" s="470">
        <f t="shared" si="172"/>
        <v>18937.1993066667</v>
      </c>
      <c r="Y159" s="476"/>
      <c r="Z159" s="470">
        <f t="shared" si="173"/>
        <v>18937.1993066667</v>
      </c>
      <c r="AA159" s="473">
        <v>10776.4576266667</v>
      </c>
      <c r="AB159" s="473">
        <f t="shared" si="174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363</v>
      </c>
      <c r="C160" s="470">
        <v>202598.166666667</v>
      </c>
      <c r="D160" s="469">
        <v>12</v>
      </c>
      <c r="E160" s="470">
        <f t="shared" si="159"/>
        <v>2431178</v>
      </c>
      <c r="F160" s="470">
        <f>263.19*12</f>
        <v>3158.28</v>
      </c>
      <c r="G160" s="474">
        <v>161854.24</v>
      </c>
      <c r="H160" s="476"/>
      <c r="I160" s="470">
        <f t="shared" si="160"/>
        <v>2266165.48</v>
      </c>
      <c r="J160" s="470">
        <v>200000</v>
      </c>
      <c r="K160" s="470">
        <v>0.2</v>
      </c>
      <c r="L160" s="470">
        <f t="shared" si="161"/>
        <v>453233.096000001</v>
      </c>
      <c r="M160" s="470">
        <f t="shared" si="162"/>
        <v>653233.096000001</v>
      </c>
      <c r="N160" s="470">
        <f t="shared" si="163"/>
        <v>818245.616000001</v>
      </c>
      <c r="O160" s="470">
        <f t="shared" si="164"/>
        <v>1612932.384</v>
      </c>
      <c r="P160" s="470">
        <f t="shared" si="165"/>
        <v>21000</v>
      </c>
      <c r="Q160" s="470">
        <f t="shared" si="166"/>
        <v>33000</v>
      </c>
      <c r="R160" s="470">
        <f t="shared" si="167"/>
        <v>75000</v>
      </c>
      <c r="S160" s="470">
        <f t="shared" si="168"/>
        <v>95000</v>
      </c>
      <c r="T160" s="470">
        <f t="shared" si="169"/>
        <v>2715.8006400007</v>
      </c>
      <c r="U160" s="470"/>
      <c r="V160" s="470">
        <f t="shared" si="171"/>
        <v>226715.800640001</v>
      </c>
      <c r="W160" s="471">
        <v>12</v>
      </c>
      <c r="X160" s="470">
        <f t="shared" si="172"/>
        <v>18892.9833866667</v>
      </c>
      <c r="Y160" s="476"/>
      <c r="Z160" s="470">
        <f t="shared" si="173"/>
        <v>18892.9833866667</v>
      </c>
      <c r="AA160" s="473">
        <v>10739.3048</v>
      </c>
      <c r="AB160" s="473">
        <f t="shared" si="174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364</v>
      </c>
      <c r="C161" s="470">
        <v>202598.166666667</v>
      </c>
      <c r="D161" s="469">
        <v>12</v>
      </c>
      <c r="E161" s="470">
        <f t="shared" si="159"/>
        <v>2431178</v>
      </c>
      <c r="F161" s="470"/>
      <c r="G161" s="474">
        <v>161854.24</v>
      </c>
      <c r="H161" s="476"/>
      <c r="I161" s="470">
        <f t="shared" si="160"/>
        <v>2269323.76</v>
      </c>
      <c r="J161" s="470">
        <v>200000</v>
      </c>
      <c r="K161" s="470">
        <v>0.2</v>
      </c>
      <c r="L161" s="470">
        <f t="shared" si="161"/>
        <v>453864.752000001</v>
      </c>
      <c r="M161" s="470">
        <f t="shared" si="162"/>
        <v>653864.752000001</v>
      </c>
      <c r="N161" s="470">
        <f t="shared" si="163"/>
        <v>815718.992000001</v>
      </c>
      <c r="O161" s="470">
        <f t="shared" si="164"/>
        <v>1615459.008</v>
      </c>
      <c r="P161" s="470">
        <f t="shared" si="165"/>
        <v>21000</v>
      </c>
      <c r="Q161" s="470">
        <f t="shared" si="166"/>
        <v>33000</v>
      </c>
      <c r="R161" s="470">
        <f t="shared" si="167"/>
        <v>75000</v>
      </c>
      <c r="S161" s="470">
        <f t="shared" si="168"/>
        <v>95000</v>
      </c>
      <c r="T161" s="470">
        <f t="shared" si="169"/>
        <v>3246.39168000067</v>
      </c>
      <c r="U161" s="470"/>
      <c r="V161" s="470">
        <f t="shared" si="171"/>
        <v>227246.391680001</v>
      </c>
      <c r="W161" s="471">
        <v>12</v>
      </c>
      <c r="X161" s="470">
        <f t="shared" si="172"/>
        <v>18937.1993066667</v>
      </c>
      <c r="Y161" s="476"/>
      <c r="Z161" s="470">
        <f t="shared" si="173"/>
        <v>18937.1993066667</v>
      </c>
      <c r="AA161" s="473">
        <v>10776.4576266667</v>
      </c>
      <c r="AB161" s="473">
        <f t="shared" si="174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365</v>
      </c>
      <c r="C162" s="470">
        <v>200336.833333333</v>
      </c>
      <c r="D162" s="469">
        <v>12</v>
      </c>
      <c r="E162" s="470">
        <f t="shared" si="159"/>
        <v>2404042</v>
      </c>
      <c r="F162" s="470"/>
      <c r="G162" s="474">
        <v>156803.36</v>
      </c>
      <c r="H162" s="476"/>
      <c r="I162" s="470">
        <f t="shared" si="160"/>
        <v>2247238.64</v>
      </c>
      <c r="J162" s="470">
        <v>200000</v>
      </c>
      <c r="K162" s="470">
        <v>0.2</v>
      </c>
      <c r="L162" s="470">
        <f t="shared" si="161"/>
        <v>449447.727999999</v>
      </c>
      <c r="M162" s="470">
        <f t="shared" si="162"/>
        <v>649447.727999999</v>
      </c>
      <c r="N162" s="470">
        <f t="shared" si="163"/>
        <v>806251.087999999</v>
      </c>
      <c r="O162" s="470">
        <f t="shared" si="164"/>
        <v>1597790.912</v>
      </c>
      <c r="P162" s="470">
        <f t="shared" si="165"/>
        <v>21000</v>
      </c>
      <c r="Q162" s="470">
        <f t="shared" si="166"/>
        <v>33000</v>
      </c>
      <c r="R162" s="470">
        <f t="shared" si="167"/>
        <v>75000</v>
      </c>
      <c r="S162" s="470">
        <f t="shared" si="168"/>
        <v>94580.2732799994</v>
      </c>
      <c r="T162" s="470">
        <f t="shared" si="169"/>
        <v>0</v>
      </c>
      <c r="U162" s="470"/>
      <c r="V162" s="470">
        <f t="shared" si="171"/>
        <v>223580.273279999</v>
      </c>
      <c r="W162" s="471">
        <v>12</v>
      </c>
      <c r="X162" s="470">
        <f t="shared" si="172"/>
        <v>18631.6894399999</v>
      </c>
      <c r="Y162" s="476"/>
      <c r="Z162" s="470">
        <f t="shared" si="173"/>
        <v>18631.6894399999</v>
      </c>
      <c r="AA162" s="473">
        <v>11232.4576266667</v>
      </c>
      <c r="AB162" s="473">
        <f t="shared" si="174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367</v>
      </c>
      <c r="C163" s="470">
        <v>197336.833333333</v>
      </c>
      <c r="D163" s="469">
        <v>12</v>
      </c>
      <c r="E163" s="470">
        <f t="shared" si="159"/>
        <v>2368042</v>
      </c>
      <c r="F163" s="470"/>
      <c r="G163" s="474">
        <v>156803.36</v>
      </c>
      <c r="H163" s="476"/>
      <c r="I163" s="470">
        <f t="shared" si="160"/>
        <v>2211238.64</v>
      </c>
      <c r="J163" s="470">
        <v>200000</v>
      </c>
      <c r="K163" s="470">
        <v>0.2</v>
      </c>
      <c r="L163" s="470">
        <f t="shared" si="161"/>
        <v>442247.727999999</v>
      </c>
      <c r="M163" s="470">
        <f t="shared" si="162"/>
        <v>642247.727999999</v>
      </c>
      <c r="N163" s="470">
        <f t="shared" si="163"/>
        <v>799051.087999999</v>
      </c>
      <c r="O163" s="470">
        <f t="shared" si="164"/>
        <v>1568990.912</v>
      </c>
      <c r="P163" s="470">
        <f t="shared" si="165"/>
        <v>21000</v>
      </c>
      <c r="Q163" s="470">
        <f t="shared" si="166"/>
        <v>33000</v>
      </c>
      <c r="R163" s="470">
        <f t="shared" si="167"/>
        <v>75000</v>
      </c>
      <c r="S163" s="470">
        <f t="shared" si="168"/>
        <v>89108.2732799994</v>
      </c>
      <c r="T163" s="470">
        <f t="shared" si="169"/>
        <v>0</v>
      </c>
      <c r="U163" s="470"/>
      <c r="V163" s="470">
        <f t="shared" si="171"/>
        <v>218108.273279999</v>
      </c>
      <c r="W163" s="471">
        <v>12</v>
      </c>
      <c r="X163" s="470">
        <f t="shared" si="172"/>
        <v>18175.6894399999</v>
      </c>
      <c r="Y163" s="476"/>
      <c r="Z163" s="470">
        <f t="shared" si="173"/>
        <v>18175.6894399999</v>
      </c>
      <c r="AA163" s="473">
        <v>10776.4576266667</v>
      </c>
      <c r="AB163" s="473">
        <f t="shared" si="174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368</v>
      </c>
      <c r="C164" s="470">
        <v>200336.833333333</v>
      </c>
      <c r="D164" s="469">
        <v>12</v>
      </c>
      <c r="E164" s="470">
        <f t="shared" si="159"/>
        <v>2404042</v>
      </c>
      <c r="F164" s="470"/>
      <c r="G164" s="474">
        <v>156803.36</v>
      </c>
      <c r="H164" s="476"/>
      <c r="I164" s="470">
        <f t="shared" si="160"/>
        <v>2247238.64</v>
      </c>
      <c r="J164" s="470">
        <v>200000</v>
      </c>
      <c r="K164" s="470">
        <v>0.2</v>
      </c>
      <c r="L164" s="470">
        <f t="shared" si="161"/>
        <v>449447.727999999</v>
      </c>
      <c r="M164" s="470">
        <f t="shared" si="162"/>
        <v>649447.727999999</v>
      </c>
      <c r="N164" s="470">
        <f t="shared" si="163"/>
        <v>806251.087999999</v>
      </c>
      <c r="O164" s="470">
        <f t="shared" si="164"/>
        <v>1597790.912</v>
      </c>
      <c r="P164" s="470">
        <f t="shared" si="165"/>
        <v>21000</v>
      </c>
      <c r="Q164" s="470">
        <f t="shared" si="166"/>
        <v>33000</v>
      </c>
      <c r="R164" s="470">
        <f t="shared" si="167"/>
        <v>75000</v>
      </c>
      <c r="S164" s="470">
        <f t="shared" si="168"/>
        <v>94580.2732799994</v>
      </c>
      <c r="T164" s="470">
        <f t="shared" si="169"/>
        <v>0</v>
      </c>
      <c r="U164" s="470"/>
      <c r="V164" s="470">
        <f t="shared" si="171"/>
        <v>223580.273279999</v>
      </c>
      <c r="W164" s="471">
        <v>12</v>
      </c>
      <c r="X164" s="470">
        <f t="shared" si="172"/>
        <v>18631.6894399999</v>
      </c>
      <c r="Y164" s="476"/>
      <c r="Z164" s="470">
        <f t="shared" si="173"/>
        <v>18631.6894399999</v>
      </c>
      <c r="AA164" s="473">
        <v>11232.4576266667</v>
      </c>
      <c r="AB164" s="473">
        <f t="shared" si="174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369</v>
      </c>
      <c r="C165" s="470">
        <v>197336.833333333</v>
      </c>
      <c r="D165" s="469">
        <v>12</v>
      </c>
      <c r="E165" s="470">
        <f t="shared" si="159"/>
        <v>2368042</v>
      </c>
      <c r="F165" s="470"/>
      <c r="G165" s="474">
        <v>156803.36</v>
      </c>
      <c r="H165" s="476"/>
      <c r="I165" s="470">
        <f t="shared" si="160"/>
        <v>2211238.64</v>
      </c>
      <c r="J165" s="470">
        <v>200000</v>
      </c>
      <c r="K165" s="470">
        <v>0.2</v>
      </c>
      <c r="L165" s="470">
        <f t="shared" si="161"/>
        <v>442247.727999999</v>
      </c>
      <c r="M165" s="470">
        <f t="shared" si="162"/>
        <v>642247.727999999</v>
      </c>
      <c r="N165" s="470">
        <f t="shared" si="163"/>
        <v>799051.087999999</v>
      </c>
      <c r="O165" s="470">
        <f t="shared" si="164"/>
        <v>1568990.912</v>
      </c>
      <c r="P165" s="470">
        <f t="shared" si="165"/>
        <v>21000</v>
      </c>
      <c r="Q165" s="470">
        <f t="shared" si="166"/>
        <v>33000</v>
      </c>
      <c r="R165" s="470">
        <f t="shared" si="167"/>
        <v>75000</v>
      </c>
      <c r="S165" s="470">
        <f t="shared" si="168"/>
        <v>89108.2732799994</v>
      </c>
      <c r="T165" s="470">
        <f t="shared" si="169"/>
        <v>0</v>
      </c>
      <c r="U165" s="470"/>
      <c r="V165" s="470">
        <f t="shared" si="171"/>
        <v>218108.273279999</v>
      </c>
      <c r="W165" s="471">
        <v>12</v>
      </c>
      <c r="X165" s="470">
        <f t="shared" si="172"/>
        <v>18175.6894399999</v>
      </c>
      <c r="Y165" s="476"/>
      <c r="Z165" s="470">
        <f t="shared" si="173"/>
        <v>18175.6894399999</v>
      </c>
      <c r="AA165" s="473">
        <v>10776.4576266667</v>
      </c>
      <c r="AB165" s="473">
        <f t="shared" si="174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370</v>
      </c>
      <c r="C166" s="470">
        <v>197336.833333333</v>
      </c>
      <c r="D166" s="469">
        <v>12</v>
      </c>
      <c r="E166" s="470">
        <f t="shared" si="159"/>
        <v>2368042</v>
      </c>
      <c r="F166" s="470"/>
      <c r="G166" s="474">
        <v>156803.36</v>
      </c>
      <c r="H166" s="476"/>
      <c r="I166" s="470">
        <f t="shared" si="160"/>
        <v>2211238.64</v>
      </c>
      <c r="J166" s="470">
        <v>200000</v>
      </c>
      <c r="K166" s="470">
        <v>0.2</v>
      </c>
      <c r="L166" s="470">
        <f t="shared" si="161"/>
        <v>442247.727999999</v>
      </c>
      <c r="M166" s="470">
        <f t="shared" si="162"/>
        <v>642247.727999999</v>
      </c>
      <c r="N166" s="470">
        <f t="shared" si="163"/>
        <v>799051.087999999</v>
      </c>
      <c r="O166" s="470">
        <f t="shared" si="164"/>
        <v>1568990.912</v>
      </c>
      <c r="P166" s="470">
        <f t="shared" si="165"/>
        <v>21000</v>
      </c>
      <c r="Q166" s="470">
        <f t="shared" si="166"/>
        <v>33000</v>
      </c>
      <c r="R166" s="470">
        <f t="shared" si="167"/>
        <v>75000</v>
      </c>
      <c r="S166" s="470">
        <f t="shared" si="168"/>
        <v>89108.2732799994</v>
      </c>
      <c r="T166" s="470">
        <f t="shared" si="169"/>
        <v>0</v>
      </c>
      <c r="U166" s="470"/>
      <c r="V166" s="470">
        <f t="shared" si="171"/>
        <v>218108.273279999</v>
      </c>
      <c r="W166" s="471">
        <v>12</v>
      </c>
      <c r="X166" s="470">
        <f t="shared" si="172"/>
        <v>18175.6894399999</v>
      </c>
      <c r="Y166" s="476"/>
      <c r="Z166" s="470">
        <f t="shared" si="173"/>
        <v>18175.6894399999</v>
      </c>
      <c r="AA166" s="473">
        <v>10776.4576266667</v>
      </c>
      <c r="AB166" s="473">
        <f t="shared" si="174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357</v>
      </c>
      <c r="C167" s="470">
        <v>200336.833333333</v>
      </c>
      <c r="D167" s="469">
        <v>12</v>
      </c>
      <c r="E167" s="470">
        <f t="shared" si="159"/>
        <v>2404042</v>
      </c>
      <c r="F167" s="470"/>
      <c r="G167" s="474">
        <v>156803.36</v>
      </c>
      <c r="H167" s="476"/>
      <c r="I167" s="470">
        <f t="shared" si="160"/>
        <v>2247238.64</v>
      </c>
      <c r="J167" s="470">
        <v>200000</v>
      </c>
      <c r="K167" s="470">
        <v>0.2</v>
      </c>
      <c r="L167" s="470">
        <f t="shared" si="161"/>
        <v>449447.727999999</v>
      </c>
      <c r="M167" s="470">
        <f t="shared" si="162"/>
        <v>649447.727999999</v>
      </c>
      <c r="N167" s="470">
        <f t="shared" si="163"/>
        <v>806251.087999999</v>
      </c>
      <c r="O167" s="470">
        <f t="shared" si="164"/>
        <v>1597790.912</v>
      </c>
      <c r="P167" s="470">
        <f t="shared" si="165"/>
        <v>21000</v>
      </c>
      <c r="Q167" s="470">
        <f t="shared" si="166"/>
        <v>33000</v>
      </c>
      <c r="R167" s="470">
        <f t="shared" si="167"/>
        <v>75000</v>
      </c>
      <c r="S167" s="470">
        <f t="shared" si="168"/>
        <v>94580.2732799994</v>
      </c>
      <c r="T167" s="470">
        <f t="shared" si="169"/>
        <v>0</v>
      </c>
      <c r="U167" s="470"/>
      <c r="V167" s="470">
        <f t="shared" si="171"/>
        <v>223580.273279999</v>
      </c>
      <c r="W167" s="471">
        <v>12</v>
      </c>
      <c r="X167" s="470">
        <f t="shared" si="172"/>
        <v>18631.6894399999</v>
      </c>
      <c r="Y167" s="476"/>
      <c r="Z167" s="470">
        <f t="shared" si="173"/>
        <v>18631.6894399999</v>
      </c>
      <c r="AA167" s="473">
        <v>11232.4576266667</v>
      </c>
      <c r="AB167" s="473">
        <f t="shared" si="174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371</v>
      </c>
      <c r="C168" s="470">
        <v>189814.166666667</v>
      </c>
      <c r="D168" s="469">
        <v>12</v>
      </c>
      <c r="E168" s="470">
        <f t="shared" si="159"/>
        <v>2277770</v>
      </c>
      <c r="F168" s="470"/>
      <c r="G168" s="474">
        <v>146701.6</v>
      </c>
      <c r="H168" s="476"/>
      <c r="I168" s="470">
        <f t="shared" si="160"/>
        <v>2131068.4</v>
      </c>
      <c r="J168" s="470">
        <v>200000</v>
      </c>
      <c r="K168" s="470">
        <v>0.2</v>
      </c>
      <c r="L168" s="470">
        <f t="shared" si="161"/>
        <v>426213.680000001</v>
      </c>
      <c r="M168" s="470">
        <f t="shared" si="162"/>
        <v>626213.680000001</v>
      </c>
      <c r="N168" s="470">
        <f t="shared" si="163"/>
        <v>772915.280000001</v>
      </c>
      <c r="O168" s="470">
        <f t="shared" si="164"/>
        <v>1504854.72</v>
      </c>
      <c r="P168" s="470">
        <f t="shared" si="165"/>
        <v>21000</v>
      </c>
      <c r="Q168" s="470">
        <f t="shared" si="166"/>
        <v>33000</v>
      </c>
      <c r="R168" s="470">
        <f t="shared" si="167"/>
        <v>75000</v>
      </c>
      <c r="S168" s="470">
        <f t="shared" si="168"/>
        <v>76922.3968000007</v>
      </c>
      <c r="T168" s="470">
        <f t="shared" si="169"/>
        <v>0</v>
      </c>
      <c r="U168" s="470"/>
      <c r="V168" s="470">
        <f t="shared" si="171"/>
        <v>205922.396800001</v>
      </c>
      <c r="W168" s="471">
        <v>12</v>
      </c>
      <c r="X168" s="470">
        <f t="shared" si="172"/>
        <v>17160.1997333334</v>
      </c>
      <c r="Y168" s="476"/>
      <c r="Z168" s="470">
        <f t="shared" si="173"/>
        <v>17160.1997333334</v>
      </c>
      <c r="AA168" s="473">
        <v>9152.59979</v>
      </c>
      <c r="AB168" s="473">
        <f t="shared" si="174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373</v>
      </c>
      <c r="C169" s="470">
        <v>189814.166666667</v>
      </c>
      <c r="D169" s="469">
        <v>12</v>
      </c>
      <c r="E169" s="470">
        <f t="shared" si="159"/>
        <v>2277770</v>
      </c>
      <c r="F169" s="470"/>
      <c r="G169" s="474">
        <v>146701.6</v>
      </c>
      <c r="H169" s="476"/>
      <c r="I169" s="470">
        <f t="shared" si="160"/>
        <v>2131068.4</v>
      </c>
      <c r="J169" s="470">
        <v>200000</v>
      </c>
      <c r="K169" s="470">
        <v>0.2</v>
      </c>
      <c r="L169" s="470">
        <f t="shared" si="161"/>
        <v>426213.680000001</v>
      </c>
      <c r="M169" s="470">
        <f t="shared" si="162"/>
        <v>626213.680000001</v>
      </c>
      <c r="N169" s="470">
        <f t="shared" si="163"/>
        <v>772915.280000001</v>
      </c>
      <c r="O169" s="470">
        <f t="shared" si="164"/>
        <v>1504854.72</v>
      </c>
      <c r="P169" s="470">
        <f t="shared" si="165"/>
        <v>21000</v>
      </c>
      <c r="Q169" s="470">
        <f t="shared" si="166"/>
        <v>33000</v>
      </c>
      <c r="R169" s="470">
        <f t="shared" si="167"/>
        <v>75000</v>
      </c>
      <c r="S169" s="470">
        <f t="shared" si="168"/>
        <v>76922.3968000007</v>
      </c>
      <c r="T169" s="470">
        <f t="shared" si="169"/>
        <v>0</v>
      </c>
      <c r="U169" s="470"/>
      <c r="V169" s="470">
        <f t="shared" si="171"/>
        <v>205922.396800001</v>
      </c>
      <c r="W169" s="471">
        <v>12</v>
      </c>
      <c r="X169" s="470">
        <f t="shared" si="172"/>
        <v>17160.1997333334</v>
      </c>
      <c r="Y169" s="476"/>
      <c r="Z169" s="470">
        <f t="shared" si="173"/>
        <v>17160.1997333334</v>
      </c>
      <c r="AA169" s="473">
        <v>9152.59979</v>
      </c>
      <c r="AB169" s="473">
        <f t="shared" si="174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374</v>
      </c>
      <c r="C170" s="470">
        <v>195075.5</v>
      </c>
      <c r="D170" s="469">
        <v>12</v>
      </c>
      <c r="E170" s="470">
        <f t="shared" si="159"/>
        <v>2340906</v>
      </c>
      <c r="F170" s="470"/>
      <c r="G170" s="474">
        <v>151752.48</v>
      </c>
      <c r="H170" s="476"/>
      <c r="I170" s="470">
        <f t="shared" si="160"/>
        <v>2189153.52</v>
      </c>
      <c r="J170" s="470">
        <v>200000</v>
      </c>
      <c r="K170" s="470">
        <v>0.2</v>
      </c>
      <c r="L170" s="470">
        <f t="shared" si="161"/>
        <v>437830.704</v>
      </c>
      <c r="M170" s="470">
        <f t="shared" si="162"/>
        <v>637830.704</v>
      </c>
      <c r="N170" s="470">
        <f t="shared" si="163"/>
        <v>789583.184</v>
      </c>
      <c r="O170" s="470">
        <f t="shared" si="164"/>
        <v>1551322.816</v>
      </c>
      <c r="P170" s="470">
        <f t="shared" si="165"/>
        <v>21000</v>
      </c>
      <c r="Q170" s="470">
        <f t="shared" si="166"/>
        <v>33000</v>
      </c>
      <c r="R170" s="470">
        <f t="shared" si="167"/>
        <v>75000</v>
      </c>
      <c r="S170" s="470">
        <f t="shared" si="168"/>
        <v>85751.33504</v>
      </c>
      <c r="T170" s="470">
        <f t="shared" si="169"/>
        <v>0</v>
      </c>
      <c r="U170" s="470"/>
      <c r="V170" s="470">
        <f t="shared" si="171"/>
        <v>214751.33504</v>
      </c>
      <c r="W170" s="471">
        <v>12</v>
      </c>
      <c r="X170" s="470">
        <f t="shared" si="172"/>
        <v>17895.9445866667</v>
      </c>
      <c r="Y170" s="476"/>
      <c r="Z170" s="470">
        <f t="shared" si="173"/>
        <v>17895.9445866667</v>
      </c>
      <c r="AA170" s="473">
        <v>9504.20414</v>
      </c>
      <c r="AB170" s="473">
        <f t="shared" si="174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376</v>
      </c>
      <c r="C171" s="470">
        <v>121145.75</v>
      </c>
      <c r="D171" s="469">
        <v>12</v>
      </c>
      <c r="E171" s="470">
        <f t="shared" si="159"/>
        <v>1453749</v>
      </c>
      <c r="F171" s="470"/>
      <c r="G171" s="474">
        <v>90379.92</v>
      </c>
      <c r="H171" s="476"/>
      <c r="I171" s="470">
        <f t="shared" si="160"/>
        <v>1363369.08</v>
      </c>
      <c r="J171" s="470">
        <v>200000</v>
      </c>
      <c r="K171" s="470">
        <v>0.2</v>
      </c>
      <c r="L171" s="470">
        <f t="shared" si="161"/>
        <v>272673.816</v>
      </c>
      <c r="M171" s="470">
        <f t="shared" si="162"/>
        <v>472673.816</v>
      </c>
      <c r="N171" s="470">
        <f t="shared" si="163"/>
        <v>563053.736</v>
      </c>
      <c r="O171" s="470">
        <f t="shared" si="164"/>
        <v>890695.264</v>
      </c>
      <c r="P171" s="470">
        <f t="shared" si="165"/>
        <v>21000</v>
      </c>
      <c r="Q171" s="470">
        <f t="shared" si="166"/>
        <v>33000</v>
      </c>
      <c r="R171" s="470">
        <f t="shared" si="167"/>
        <v>43604.2896</v>
      </c>
      <c r="S171" s="470">
        <f t="shared" si="168"/>
        <v>0</v>
      </c>
      <c r="T171" s="470">
        <f t="shared" si="169"/>
        <v>0</v>
      </c>
      <c r="U171" s="470"/>
      <c r="V171" s="470">
        <f t="shared" si="171"/>
        <v>97604.2896</v>
      </c>
      <c r="W171" s="471">
        <v>12</v>
      </c>
      <c r="X171" s="470">
        <f t="shared" si="172"/>
        <v>8133.6908</v>
      </c>
      <c r="Y171" s="476"/>
      <c r="Z171" s="470">
        <f t="shared" si="173"/>
        <v>8133.6908</v>
      </c>
      <c r="AA171" s="473">
        <v>4365.33075466667</v>
      </c>
      <c r="AB171" s="473">
        <f t="shared" si="174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378</v>
      </c>
      <c r="C172" s="470">
        <v>118598</v>
      </c>
      <c r="D172" s="469">
        <v>12</v>
      </c>
      <c r="E172" s="470">
        <f t="shared" si="159"/>
        <v>1423176</v>
      </c>
      <c r="F172" s="470"/>
      <c r="G172" s="474">
        <v>87934.08</v>
      </c>
      <c r="H172" s="476"/>
      <c r="I172" s="470">
        <f t="shared" si="160"/>
        <v>1335241.92</v>
      </c>
      <c r="J172" s="470">
        <v>200000</v>
      </c>
      <c r="K172" s="470">
        <v>0.2</v>
      </c>
      <c r="L172" s="470">
        <f t="shared" si="161"/>
        <v>267048.384</v>
      </c>
      <c r="M172" s="470">
        <f t="shared" si="162"/>
        <v>467048.384</v>
      </c>
      <c r="N172" s="470">
        <f t="shared" si="163"/>
        <v>554982.464</v>
      </c>
      <c r="O172" s="470">
        <f t="shared" si="164"/>
        <v>868193.536</v>
      </c>
      <c r="P172" s="470">
        <f t="shared" si="165"/>
        <v>21000</v>
      </c>
      <c r="Q172" s="470">
        <f t="shared" si="166"/>
        <v>33000</v>
      </c>
      <c r="R172" s="470">
        <f t="shared" si="167"/>
        <v>40229.0304</v>
      </c>
      <c r="S172" s="470">
        <f t="shared" si="168"/>
        <v>0</v>
      </c>
      <c r="T172" s="470">
        <f t="shared" si="169"/>
        <v>0</v>
      </c>
      <c r="U172" s="470"/>
      <c r="V172" s="470">
        <f t="shared" si="171"/>
        <v>94229.0304</v>
      </c>
      <c r="W172" s="471">
        <v>12</v>
      </c>
      <c r="X172" s="470">
        <f t="shared" si="172"/>
        <v>7852.4192</v>
      </c>
      <c r="Y172" s="476"/>
      <c r="Z172" s="470">
        <f t="shared" si="173"/>
        <v>7852.4192</v>
      </c>
      <c r="AA172" s="473">
        <v>4227.52372266667</v>
      </c>
      <c r="AB172" s="473">
        <f t="shared" si="174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379</v>
      </c>
      <c r="C173" s="470">
        <v>115598</v>
      </c>
      <c r="D173" s="469">
        <v>12</v>
      </c>
      <c r="E173" s="470">
        <f t="shared" si="159"/>
        <v>1387176</v>
      </c>
      <c r="F173" s="470"/>
      <c r="G173" s="474">
        <v>87934.08</v>
      </c>
      <c r="H173" s="476"/>
      <c r="I173" s="470">
        <f t="shared" si="160"/>
        <v>1299241.92</v>
      </c>
      <c r="J173" s="470">
        <v>200000</v>
      </c>
      <c r="K173" s="470">
        <v>0.2</v>
      </c>
      <c r="L173" s="470">
        <f t="shared" si="161"/>
        <v>259848.384</v>
      </c>
      <c r="M173" s="470">
        <f t="shared" si="162"/>
        <v>459848.384</v>
      </c>
      <c r="N173" s="470">
        <f t="shared" si="163"/>
        <v>547782.464</v>
      </c>
      <c r="O173" s="470">
        <f t="shared" si="164"/>
        <v>839393.536</v>
      </c>
      <c r="P173" s="470">
        <f t="shared" si="165"/>
        <v>21000</v>
      </c>
      <c r="Q173" s="470">
        <f t="shared" si="166"/>
        <v>33000</v>
      </c>
      <c r="R173" s="470">
        <f t="shared" si="167"/>
        <v>35909.0304</v>
      </c>
      <c r="S173" s="470">
        <f t="shared" si="168"/>
        <v>0</v>
      </c>
      <c r="T173" s="470">
        <f t="shared" si="169"/>
        <v>0</v>
      </c>
      <c r="U173" s="470"/>
      <c r="V173" s="470">
        <f t="shared" si="171"/>
        <v>89909.0304</v>
      </c>
      <c r="W173" s="471">
        <v>12</v>
      </c>
      <c r="X173" s="470">
        <f t="shared" si="172"/>
        <v>7492.4192</v>
      </c>
      <c r="Y173" s="476"/>
      <c r="Z173" s="470">
        <f t="shared" si="173"/>
        <v>7492.4192</v>
      </c>
      <c r="AA173" s="473">
        <v>3963.52372266667</v>
      </c>
      <c r="AB173" s="473">
        <f t="shared" si="174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380</v>
      </c>
      <c r="C174" s="470">
        <v>118598</v>
      </c>
      <c r="D174" s="469">
        <v>12</v>
      </c>
      <c r="E174" s="470">
        <f t="shared" si="159"/>
        <v>1423176</v>
      </c>
      <c r="F174" s="470"/>
      <c r="G174" s="474">
        <v>87934.08</v>
      </c>
      <c r="H174" s="476"/>
      <c r="I174" s="470">
        <f t="shared" si="160"/>
        <v>1335241.92</v>
      </c>
      <c r="J174" s="470">
        <v>200000</v>
      </c>
      <c r="K174" s="470">
        <v>0.2</v>
      </c>
      <c r="L174" s="470">
        <f t="shared" si="161"/>
        <v>267048.384</v>
      </c>
      <c r="M174" s="470">
        <f t="shared" si="162"/>
        <v>467048.384</v>
      </c>
      <c r="N174" s="470">
        <f t="shared" si="163"/>
        <v>554982.464</v>
      </c>
      <c r="O174" s="470">
        <f t="shared" si="164"/>
        <v>868193.536</v>
      </c>
      <c r="P174" s="470">
        <f t="shared" si="165"/>
        <v>21000</v>
      </c>
      <c r="Q174" s="470">
        <f t="shared" si="166"/>
        <v>33000</v>
      </c>
      <c r="R174" s="470">
        <f t="shared" si="167"/>
        <v>40229.0304</v>
      </c>
      <c r="S174" s="470">
        <f t="shared" si="168"/>
        <v>0</v>
      </c>
      <c r="T174" s="470">
        <f t="shared" si="169"/>
        <v>0</v>
      </c>
      <c r="U174" s="470"/>
      <c r="V174" s="470">
        <f t="shared" si="171"/>
        <v>94229.0304</v>
      </c>
      <c r="W174" s="471">
        <v>12</v>
      </c>
      <c r="X174" s="470">
        <f t="shared" si="172"/>
        <v>7852.4192</v>
      </c>
      <c r="Y174" s="476"/>
      <c r="Z174" s="470">
        <f t="shared" si="173"/>
        <v>7852.4192</v>
      </c>
      <c r="AA174" s="473">
        <v>4227.52372266667</v>
      </c>
      <c r="AB174" s="473">
        <f t="shared" si="174"/>
        <v>3624.89547733333</v>
      </c>
      <c r="AC174" s="473"/>
      <c r="AD174" s="473"/>
      <c r="AE174" s="473"/>
    </row>
    <row r="175" ht="18" spans="1:31">
      <c r="A175" s="459"/>
      <c r="B175" s="11" t="s">
        <v>381</v>
      </c>
      <c r="C175" s="483">
        <v>115598</v>
      </c>
      <c r="D175" s="469">
        <v>12</v>
      </c>
      <c r="E175" s="470">
        <f t="shared" si="159"/>
        <v>1387176</v>
      </c>
      <c r="F175" s="470"/>
      <c r="G175" s="474">
        <v>87934.08</v>
      </c>
      <c r="H175" s="476"/>
      <c r="I175" s="470">
        <f t="shared" si="160"/>
        <v>1299241.92</v>
      </c>
      <c r="J175" s="470">
        <v>200000</v>
      </c>
      <c r="K175" s="470">
        <v>0.2</v>
      </c>
      <c r="L175" s="470">
        <f t="shared" si="161"/>
        <v>259848.384</v>
      </c>
      <c r="M175" s="470">
        <f t="shared" si="162"/>
        <v>459848.384</v>
      </c>
      <c r="N175" s="470">
        <f t="shared" si="163"/>
        <v>547782.464</v>
      </c>
      <c r="O175" s="470">
        <f t="shared" si="164"/>
        <v>839393.536</v>
      </c>
      <c r="P175" s="470">
        <f t="shared" si="165"/>
        <v>21000</v>
      </c>
      <c r="Q175" s="470">
        <f t="shared" si="166"/>
        <v>33000</v>
      </c>
      <c r="R175" s="470">
        <f t="shared" si="167"/>
        <v>35909.0304</v>
      </c>
      <c r="S175" s="470">
        <f t="shared" si="168"/>
        <v>0</v>
      </c>
      <c r="T175" s="470">
        <f t="shared" si="169"/>
        <v>0</v>
      </c>
      <c r="U175" s="470"/>
      <c r="V175" s="470">
        <f t="shared" si="171"/>
        <v>89909.0304</v>
      </c>
      <c r="W175" s="471">
        <v>12</v>
      </c>
      <c r="X175" s="470">
        <f t="shared" si="172"/>
        <v>7492.4192</v>
      </c>
      <c r="Y175" s="476"/>
      <c r="Z175" s="470">
        <f t="shared" si="173"/>
        <v>7492.4192</v>
      </c>
      <c r="AA175" s="473">
        <v>3963.52372266667</v>
      </c>
      <c r="AB175" s="473">
        <f t="shared" si="174"/>
        <v>3528.89547733333</v>
      </c>
      <c r="AC175" s="473"/>
      <c r="AD175" s="473"/>
      <c r="AE175" s="473"/>
    </row>
    <row r="176" ht="18" spans="1:31">
      <c r="A176" s="459"/>
      <c r="B176" s="11" t="s">
        <v>382</v>
      </c>
      <c r="C176" s="483">
        <v>118598</v>
      </c>
      <c r="D176" s="469">
        <v>12</v>
      </c>
      <c r="E176" s="470">
        <f t="shared" si="159"/>
        <v>1423176</v>
      </c>
      <c r="F176" s="470"/>
      <c r="G176" s="474">
        <v>87934.08</v>
      </c>
      <c r="H176" s="476"/>
      <c r="I176" s="470">
        <f t="shared" si="160"/>
        <v>1335241.92</v>
      </c>
      <c r="J176" s="470">
        <v>200000</v>
      </c>
      <c r="K176" s="470">
        <v>0.2</v>
      </c>
      <c r="L176" s="470">
        <f t="shared" si="161"/>
        <v>267048.384</v>
      </c>
      <c r="M176" s="470">
        <f t="shared" si="162"/>
        <v>467048.384</v>
      </c>
      <c r="N176" s="470">
        <f t="shared" si="163"/>
        <v>554982.464</v>
      </c>
      <c r="O176" s="470">
        <f t="shared" si="164"/>
        <v>868193.536</v>
      </c>
      <c r="P176" s="470">
        <f t="shared" si="165"/>
        <v>21000</v>
      </c>
      <c r="Q176" s="470">
        <f t="shared" si="166"/>
        <v>33000</v>
      </c>
      <c r="R176" s="470">
        <f t="shared" si="167"/>
        <v>40229.0304</v>
      </c>
      <c r="S176" s="470">
        <f t="shared" si="168"/>
        <v>0</v>
      </c>
      <c r="T176" s="470">
        <f t="shared" si="169"/>
        <v>0</v>
      </c>
      <c r="U176" s="470"/>
      <c r="V176" s="470">
        <f t="shared" si="171"/>
        <v>94229.0304</v>
      </c>
      <c r="W176" s="471">
        <v>12</v>
      </c>
      <c r="X176" s="470">
        <f t="shared" si="172"/>
        <v>7852.4192</v>
      </c>
      <c r="Y176" s="476"/>
      <c r="Z176" s="470">
        <f t="shared" si="173"/>
        <v>7852.4192</v>
      </c>
      <c r="AA176" s="473">
        <v>4227.52372266667</v>
      </c>
      <c r="AB176" s="473">
        <f t="shared" si="174"/>
        <v>3624.89547733333</v>
      </c>
    </row>
    <row r="177" ht="18" spans="2:28">
      <c r="B177" s="18" t="s">
        <v>383</v>
      </c>
      <c r="C177" s="473">
        <v>115598</v>
      </c>
      <c r="D177" s="469">
        <v>12</v>
      </c>
      <c r="E177" s="470">
        <f t="shared" si="159"/>
        <v>1387176</v>
      </c>
      <c r="G177" s="474">
        <v>87934.08</v>
      </c>
      <c r="I177" s="470">
        <f t="shared" si="160"/>
        <v>1299241.92</v>
      </c>
      <c r="J177" s="470">
        <v>200000</v>
      </c>
      <c r="K177" s="470">
        <v>0.2</v>
      </c>
      <c r="L177" s="470">
        <f t="shared" si="161"/>
        <v>259848.384</v>
      </c>
      <c r="M177" s="470">
        <f t="shared" si="162"/>
        <v>459848.384</v>
      </c>
      <c r="N177" s="470">
        <f t="shared" si="163"/>
        <v>547782.464</v>
      </c>
      <c r="O177" s="470">
        <f t="shared" si="164"/>
        <v>839393.536</v>
      </c>
      <c r="P177" s="470">
        <f t="shared" si="165"/>
        <v>21000</v>
      </c>
      <c r="Q177" s="470">
        <f t="shared" si="166"/>
        <v>33000</v>
      </c>
      <c r="R177" s="470">
        <f t="shared" si="167"/>
        <v>35909.0304</v>
      </c>
      <c r="S177" s="470">
        <f t="shared" si="168"/>
        <v>0</v>
      </c>
      <c r="T177" s="470">
        <f t="shared" si="169"/>
        <v>0</v>
      </c>
      <c r="U177" s="470"/>
      <c r="V177" s="470">
        <f t="shared" si="171"/>
        <v>89909.0304</v>
      </c>
      <c r="W177" s="471">
        <v>12</v>
      </c>
      <c r="X177" s="470">
        <f t="shared" si="172"/>
        <v>7492.4192</v>
      </c>
      <c r="Z177" s="470">
        <f t="shared" si="173"/>
        <v>7492.4192</v>
      </c>
      <c r="AA177" s="473">
        <v>3963.52372266667</v>
      </c>
      <c r="AB177" s="473">
        <f t="shared" si="174"/>
        <v>3528.89547733333</v>
      </c>
    </row>
    <row r="178" ht="18" spans="2:28">
      <c r="B178" s="18" t="s">
        <v>385</v>
      </c>
      <c r="C178" s="473">
        <v>118598</v>
      </c>
      <c r="D178" s="469">
        <v>12</v>
      </c>
      <c r="E178" s="470">
        <f t="shared" si="159"/>
        <v>1423176</v>
      </c>
      <c r="G178" s="474">
        <v>87934.08</v>
      </c>
      <c r="I178" s="470">
        <f t="shared" si="160"/>
        <v>1335241.92</v>
      </c>
      <c r="J178" s="470">
        <v>200000</v>
      </c>
      <c r="K178" s="470">
        <v>0.2</v>
      </c>
      <c r="L178" s="470">
        <f t="shared" si="161"/>
        <v>267048.384</v>
      </c>
      <c r="M178" s="470">
        <f t="shared" si="162"/>
        <v>467048.384</v>
      </c>
      <c r="N178" s="470">
        <f t="shared" si="163"/>
        <v>554982.464</v>
      </c>
      <c r="O178" s="470">
        <f t="shared" si="164"/>
        <v>868193.536</v>
      </c>
      <c r="P178" s="470">
        <f t="shared" si="165"/>
        <v>21000</v>
      </c>
      <c r="Q178" s="470">
        <f t="shared" si="166"/>
        <v>33000</v>
      </c>
      <c r="R178" s="470">
        <f t="shared" si="167"/>
        <v>40229.0304</v>
      </c>
      <c r="S178" s="470">
        <f t="shared" si="168"/>
        <v>0</v>
      </c>
      <c r="T178" s="470">
        <f t="shared" si="169"/>
        <v>0</v>
      </c>
      <c r="U178" s="470"/>
      <c r="V178" s="470">
        <f t="shared" si="171"/>
        <v>94229.0304</v>
      </c>
      <c r="W178" s="471">
        <v>12</v>
      </c>
      <c r="X178" s="470">
        <f t="shared" si="172"/>
        <v>7852.4192</v>
      </c>
      <c r="Z178" s="470">
        <f t="shared" si="173"/>
        <v>7852.4192</v>
      </c>
      <c r="AA178" s="473">
        <v>4227.52372266667</v>
      </c>
      <c r="AB178" s="473">
        <f t="shared" si="174"/>
        <v>3624.89547733333</v>
      </c>
    </row>
    <row r="179" ht="18" spans="2:28">
      <c r="B179" s="11" t="s">
        <v>668</v>
      </c>
      <c r="C179" s="473">
        <v>118598</v>
      </c>
      <c r="D179" s="469">
        <v>12</v>
      </c>
      <c r="E179" s="470">
        <f t="shared" si="159"/>
        <v>1423176</v>
      </c>
      <c r="G179" s="474">
        <v>87934.08</v>
      </c>
      <c r="I179" s="470">
        <f t="shared" si="160"/>
        <v>1335241.92</v>
      </c>
      <c r="J179" s="470">
        <v>200000</v>
      </c>
      <c r="K179" s="470">
        <v>0.2</v>
      </c>
      <c r="L179" s="470">
        <f t="shared" si="161"/>
        <v>267048.384</v>
      </c>
      <c r="M179" s="470">
        <f t="shared" si="162"/>
        <v>467048.384</v>
      </c>
      <c r="N179" s="470">
        <f t="shared" si="163"/>
        <v>554982.464</v>
      </c>
      <c r="O179" s="470">
        <f t="shared" si="164"/>
        <v>868193.536</v>
      </c>
      <c r="P179" s="470">
        <f t="shared" si="165"/>
        <v>21000</v>
      </c>
      <c r="Q179" s="470">
        <f t="shared" si="166"/>
        <v>33000</v>
      </c>
      <c r="R179" s="470">
        <f t="shared" si="167"/>
        <v>40229.0304</v>
      </c>
      <c r="S179" s="470">
        <f t="shared" si="168"/>
        <v>0</v>
      </c>
      <c r="T179" s="470">
        <f t="shared" si="169"/>
        <v>0</v>
      </c>
      <c r="V179" s="470">
        <f t="shared" si="171"/>
        <v>94229.0304</v>
      </c>
      <c r="W179" s="471">
        <v>12</v>
      </c>
      <c r="X179" s="470">
        <f t="shared" si="172"/>
        <v>7852.4192</v>
      </c>
      <c r="Z179" s="470">
        <f t="shared" si="173"/>
        <v>7852.4192</v>
      </c>
      <c r="AA179" s="473">
        <v>4089.71669066667</v>
      </c>
      <c r="AB179" s="473">
        <f t="shared" si="174"/>
        <v>3762.70250933333</v>
      </c>
    </row>
    <row r="180" ht="18" spans="2:28">
      <c r="B180" s="11" t="s">
        <v>386</v>
      </c>
      <c r="C180" s="473">
        <v>118598</v>
      </c>
      <c r="D180" s="469">
        <v>12</v>
      </c>
      <c r="E180" s="470">
        <f t="shared" si="159"/>
        <v>1423176</v>
      </c>
      <c r="G180" s="474">
        <v>87934.08</v>
      </c>
      <c r="I180" s="470">
        <f t="shared" si="160"/>
        <v>1335241.92</v>
      </c>
      <c r="J180" s="470">
        <v>200000</v>
      </c>
      <c r="K180" s="470">
        <v>0.2</v>
      </c>
      <c r="L180" s="470">
        <f t="shared" si="161"/>
        <v>267048.384</v>
      </c>
      <c r="M180" s="470">
        <f t="shared" si="162"/>
        <v>467048.384</v>
      </c>
      <c r="N180" s="470">
        <f t="shared" si="163"/>
        <v>554982.464</v>
      </c>
      <c r="O180" s="470">
        <f t="shared" si="164"/>
        <v>868193.536</v>
      </c>
      <c r="P180" s="470">
        <f t="shared" si="165"/>
        <v>21000</v>
      </c>
      <c r="Q180" s="470">
        <f t="shared" si="166"/>
        <v>33000</v>
      </c>
      <c r="R180" s="470">
        <f t="shared" si="167"/>
        <v>40229.0304</v>
      </c>
      <c r="S180" s="470">
        <f t="shared" si="168"/>
        <v>0</v>
      </c>
      <c r="T180" s="470">
        <f t="shared" si="169"/>
        <v>0</v>
      </c>
      <c r="V180" s="470">
        <f t="shared" si="171"/>
        <v>94229.0304</v>
      </c>
      <c r="W180" s="471">
        <v>12</v>
      </c>
      <c r="X180" s="470">
        <f t="shared" si="172"/>
        <v>7852.4192</v>
      </c>
      <c r="Z180" s="470">
        <f t="shared" si="173"/>
        <v>7852.4192</v>
      </c>
      <c r="AA180" s="473">
        <v>4227.52372266667</v>
      </c>
      <c r="AB180" s="473">
        <f t="shared" si="174"/>
        <v>3624.89547733333</v>
      </c>
    </row>
    <row r="181" ht="18" spans="2:28">
      <c r="B181" s="18" t="s">
        <v>358</v>
      </c>
      <c r="C181" s="473">
        <v>116050.25</v>
      </c>
      <c r="D181" s="469">
        <v>12</v>
      </c>
      <c r="E181" s="470">
        <f t="shared" si="159"/>
        <v>1392603</v>
      </c>
      <c r="G181" s="474">
        <v>85488.24</v>
      </c>
      <c r="I181" s="470">
        <f t="shared" si="160"/>
        <v>1307114.76</v>
      </c>
      <c r="J181" s="470">
        <v>200000</v>
      </c>
      <c r="K181" s="470">
        <v>0.2</v>
      </c>
      <c r="L181" s="470">
        <f t="shared" si="161"/>
        <v>261422.952</v>
      </c>
      <c r="M181" s="470">
        <f t="shared" si="162"/>
        <v>461422.952</v>
      </c>
      <c r="N181" s="470">
        <f t="shared" si="163"/>
        <v>546911.192</v>
      </c>
      <c r="O181" s="470">
        <f t="shared" si="164"/>
        <v>845691.808</v>
      </c>
      <c r="P181" s="470">
        <f t="shared" si="165"/>
        <v>21000</v>
      </c>
      <c r="Q181" s="470">
        <f t="shared" si="166"/>
        <v>33000</v>
      </c>
      <c r="R181" s="470">
        <f t="shared" si="167"/>
        <v>36853.7712</v>
      </c>
      <c r="S181" s="470">
        <f t="shared" si="168"/>
        <v>0</v>
      </c>
      <c r="T181" s="470">
        <f t="shared" si="169"/>
        <v>0</v>
      </c>
      <c r="V181" s="470">
        <f t="shared" si="171"/>
        <v>90853.7712</v>
      </c>
      <c r="W181" s="471">
        <v>12</v>
      </c>
      <c r="X181" s="470">
        <f t="shared" si="172"/>
        <v>7571.1476</v>
      </c>
      <c r="Z181" s="470">
        <f t="shared" si="173"/>
        <v>7571.1476</v>
      </c>
      <c r="AA181" s="473">
        <v>4089.71669066667</v>
      </c>
      <c r="AB181" s="473">
        <f t="shared" si="174"/>
        <v>3481.43090933333</v>
      </c>
    </row>
    <row r="182" ht="18" spans="2:28">
      <c r="B182" s="18" t="s">
        <v>392</v>
      </c>
      <c r="C182" s="473">
        <v>102926.916666667</v>
      </c>
      <c r="D182" s="469">
        <v>12</v>
      </c>
      <c r="E182" s="470">
        <f t="shared" si="159"/>
        <v>1235123</v>
      </c>
      <c r="G182" s="474">
        <v>77689.84</v>
      </c>
      <c r="I182" s="470">
        <f t="shared" si="160"/>
        <v>1157433.16</v>
      </c>
      <c r="J182" s="470">
        <v>200000</v>
      </c>
      <c r="K182" s="470">
        <v>0.2</v>
      </c>
      <c r="L182" s="470">
        <f t="shared" si="161"/>
        <v>231486.632000001</v>
      </c>
      <c r="M182" s="470">
        <f t="shared" si="162"/>
        <v>431486.632000001</v>
      </c>
      <c r="N182" s="470">
        <f t="shared" si="163"/>
        <v>509176.472000001</v>
      </c>
      <c r="O182" s="470">
        <f t="shared" si="164"/>
        <v>725946.528000003</v>
      </c>
      <c r="P182" s="470">
        <f t="shared" si="165"/>
        <v>21000</v>
      </c>
      <c r="Q182" s="470">
        <f t="shared" si="166"/>
        <v>33000</v>
      </c>
      <c r="R182" s="470">
        <f t="shared" si="167"/>
        <v>18891.9792000005</v>
      </c>
      <c r="S182" s="470">
        <f t="shared" si="168"/>
        <v>0</v>
      </c>
      <c r="T182" s="470">
        <f t="shared" si="169"/>
        <v>0</v>
      </c>
      <c r="V182" s="470">
        <f t="shared" si="171"/>
        <v>72891.9792000005</v>
      </c>
      <c r="W182" s="471">
        <v>12</v>
      </c>
      <c r="X182" s="470">
        <f t="shared" si="172"/>
        <v>6074.33160000004</v>
      </c>
      <c r="Z182" s="470">
        <f t="shared" si="173"/>
        <v>6074.33160000004</v>
      </c>
      <c r="AA182" s="473">
        <v>3210.15440486667</v>
      </c>
      <c r="AB182" s="473">
        <f t="shared" si="174"/>
        <v>2864.17719513337</v>
      </c>
    </row>
    <row r="183" ht="18" spans="2:28">
      <c r="B183" s="18" t="s">
        <v>396</v>
      </c>
      <c r="C183" s="473">
        <v>95540.75</v>
      </c>
      <c r="D183" s="469">
        <v>12</v>
      </c>
      <c r="E183" s="470">
        <f t="shared" si="159"/>
        <v>1146489</v>
      </c>
      <c r="G183" s="474">
        <f t="shared" ref="G183:G185" si="176">6123.26*12</f>
        <v>73479.12</v>
      </c>
      <c r="I183" s="470">
        <f t="shared" si="160"/>
        <v>1073009.88</v>
      </c>
      <c r="J183" s="470">
        <v>200000</v>
      </c>
      <c r="K183" s="470">
        <v>0.2</v>
      </c>
      <c r="L183" s="470">
        <f t="shared" si="161"/>
        <v>214601.976</v>
      </c>
      <c r="M183" s="470">
        <f t="shared" si="162"/>
        <v>414601.976</v>
      </c>
      <c r="N183" s="470">
        <f t="shared" si="163"/>
        <v>488081.096</v>
      </c>
      <c r="O183" s="470">
        <f t="shared" si="164"/>
        <v>658407.904</v>
      </c>
      <c r="P183" s="470">
        <f t="shared" si="165"/>
        <v>21000</v>
      </c>
      <c r="Q183" s="470">
        <f t="shared" si="166"/>
        <v>33000</v>
      </c>
      <c r="R183" s="470">
        <f t="shared" si="167"/>
        <v>8761.1856</v>
      </c>
      <c r="S183" s="470">
        <f t="shared" si="168"/>
        <v>0</v>
      </c>
      <c r="T183" s="470">
        <f t="shared" si="169"/>
        <v>0</v>
      </c>
      <c r="V183" s="470">
        <f t="shared" si="171"/>
        <v>62761.1856</v>
      </c>
      <c r="W183" s="471">
        <v>12</v>
      </c>
      <c r="X183" s="470">
        <f t="shared" si="172"/>
        <v>5230.0988</v>
      </c>
      <c r="Z183" s="470">
        <f t="shared" si="173"/>
        <v>5230.0988</v>
      </c>
      <c r="AA183" s="473">
        <v>2708.91364066667</v>
      </c>
      <c r="AB183" s="473">
        <f t="shared" si="174"/>
        <v>2521.18515933333</v>
      </c>
    </row>
    <row r="184" ht="18" spans="2:28">
      <c r="B184" s="18" t="s">
        <v>399</v>
      </c>
      <c r="C184" s="473">
        <v>95540.75</v>
      </c>
      <c r="D184" s="469">
        <v>12</v>
      </c>
      <c r="E184" s="470">
        <f t="shared" si="159"/>
        <v>1146489</v>
      </c>
      <c r="G184" s="474">
        <f t="shared" si="176"/>
        <v>73479.12</v>
      </c>
      <c r="I184" s="470">
        <f t="shared" si="160"/>
        <v>1073009.88</v>
      </c>
      <c r="J184" s="470">
        <v>200000</v>
      </c>
      <c r="K184" s="470">
        <v>0.2</v>
      </c>
      <c r="L184" s="470">
        <f t="shared" si="161"/>
        <v>214601.976</v>
      </c>
      <c r="M184" s="470">
        <f t="shared" si="162"/>
        <v>414601.976</v>
      </c>
      <c r="N184" s="470">
        <f t="shared" si="163"/>
        <v>488081.096</v>
      </c>
      <c r="O184" s="470">
        <f t="shared" si="164"/>
        <v>658407.904</v>
      </c>
      <c r="P184" s="470">
        <f t="shared" si="165"/>
        <v>21000</v>
      </c>
      <c r="Q184" s="470">
        <f t="shared" si="166"/>
        <v>33000</v>
      </c>
      <c r="R184" s="470">
        <f t="shared" si="167"/>
        <v>8761.1856</v>
      </c>
      <c r="S184" s="470">
        <f t="shared" si="168"/>
        <v>0</v>
      </c>
      <c r="T184" s="470">
        <f t="shared" si="169"/>
        <v>0</v>
      </c>
      <c r="V184" s="470">
        <f t="shared" si="171"/>
        <v>62761.1856</v>
      </c>
      <c r="W184" s="471">
        <v>12</v>
      </c>
      <c r="X184" s="470">
        <f t="shared" si="172"/>
        <v>5230.0988</v>
      </c>
      <c r="Z184" s="470">
        <f t="shared" si="173"/>
        <v>5230.0988</v>
      </c>
      <c r="AA184" s="473">
        <v>2708.91364066667</v>
      </c>
      <c r="AB184" s="473">
        <f t="shared" si="174"/>
        <v>2521.18515933333</v>
      </c>
    </row>
    <row r="185" ht="18" spans="2:28">
      <c r="B185" s="18" t="s">
        <v>400</v>
      </c>
      <c r="C185" s="473">
        <v>80195.93</v>
      </c>
      <c r="D185" s="469">
        <v>12</v>
      </c>
      <c r="E185" s="470">
        <f t="shared" si="159"/>
        <v>962351.16</v>
      </c>
      <c r="G185" s="474">
        <f t="shared" si="176"/>
        <v>73479.12</v>
      </c>
      <c r="I185" s="470">
        <f t="shared" si="160"/>
        <v>888872.04</v>
      </c>
      <c r="J185" s="470">
        <v>200000</v>
      </c>
      <c r="K185" s="470">
        <v>0.2</v>
      </c>
      <c r="L185" s="470">
        <f t="shared" si="161"/>
        <v>177774.408</v>
      </c>
      <c r="M185" s="470">
        <f t="shared" si="162"/>
        <v>377774.408</v>
      </c>
      <c r="N185" s="470">
        <f t="shared" si="163"/>
        <v>451253.528</v>
      </c>
      <c r="O185" s="470">
        <f t="shared" si="164"/>
        <v>511097.632</v>
      </c>
      <c r="P185" s="470">
        <f t="shared" si="165"/>
        <v>21000</v>
      </c>
      <c r="Q185" s="470">
        <f t="shared" si="166"/>
        <v>23220.73952</v>
      </c>
      <c r="R185" s="470">
        <f t="shared" si="167"/>
        <v>0</v>
      </c>
      <c r="S185" s="470">
        <f t="shared" si="168"/>
        <v>0</v>
      </c>
      <c r="T185" s="470">
        <f t="shared" si="169"/>
        <v>0</v>
      </c>
      <c r="V185" s="470">
        <f t="shared" si="171"/>
        <v>44220.73952</v>
      </c>
      <c r="W185" s="471">
        <v>12</v>
      </c>
      <c r="X185" s="470">
        <f t="shared" si="172"/>
        <v>3685.06162666667</v>
      </c>
      <c r="Z185" s="470">
        <f t="shared" si="173"/>
        <v>3685.06162666667</v>
      </c>
      <c r="AA185" s="473">
        <v>2708.91364066667</v>
      </c>
      <c r="AB185" s="473">
        <f t="shared" si="174"/>
        <v>976.147985999996</v>
      </c>
    </row>
    <row r="186" ht="18" spans="2:28">
      <c r="B186" s="484" t="s">
        <v>401</v>
      </c>
      <c r="C186" s="473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70">
        <v>200000</v>
      </c>
      <c r="K186" s="470">
        <v>0.2</v>
      </c>
      <c r="L186" s="470">
        <f t="shared" si="161"/>
        <v>243797.52</v>
      </c>
      <c r="M186" s="470">
        <f t="shared" si="162"/>
        <v>443797.52</v>
      </c>
      <c r="N186" s="470">
        <f t="shared" si="163"/>
        <v>526839.92</v>
      </c>
      <c r="O186" s="470">
        <f t="shared" si="164"/>
        <v>775190.08</v>
      </c>
      <c r="P186" s="470">
        <f t="shared" si="165"/>
        <v>21000</v>
      </c>
      <c r="Q186" s="470">
        <f t="shared" si="166"/>
        <v>33000</v>
      </c>
      <c r="R186" s="470">
        <f t="shared" si="167"/>
        <v>26278.512</v>
      </c>
      <c r="S186" s="470">
        <f t="shared" si="168"/>
        <v>0</v>
      </c>
      <c r="T186" s="470">
        <f t="shared" si="169"/>
        <v>0</v>
      </c>
      <c r="V186" s="470">
        <f t="shared" si="171"/>
        <v>80278.512</v>
      </c>
      <c r="W186" s="471">
        <v>12</v>
      </c>
      <c r="X186" s="470">
        <f t="shared" si="172"/>
        <v>6689.876</v>
      </c>
      <c r="Z186" s="470">
        <f t="shared" si="173"/>
        <v>6689.876</v>
      </c>
      <c r="AA186" s="473">
        <v>3511.79662266667</v>
      </c>
      <c r="AB186" s="473">
        <f t="shared" si="174"/>
        <v>3178.07937733333</v>
      </c>
    </row>
    <row r="187" ht="18" spans="2:28">
      <c r="B187" s="484" t="s">
        <v>404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490">
        <v>12</v>
      </c>
      <c r="X187" s="486">
        <f t="shared" si="172"/>
        <v>6689.876</v>
      </c>
      <c r="Z187" s="486">
        <f t="shared" si="173"/>
        <v>6689.876</v>
      </c>
      <c r="AA187" s="473">
        <v>3511.79662266667</v>
      </c>
      <c r="AB187" s="473">
        <f t="shared" si="174"/>
        <v>3178.07937733333</v>
      </c>
    </row>
    <row r="188" ht="35.25" customHeight="1" spans="2:28">
      <c r="B188" s="8" t="s">
        <v>1011</v>
      </c>
      <c r="C188" s="617">
        <f t="shared" ref="C188:G188" si="177">SUM(C6:C187)</f>
        <v>82704469.9344667</v>
      </c>
      <c r="D188" s="618"/>
      <c r="E188" s="475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1012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28">
      <c r="B190" s="33"/>
      <c r="C190" s="473"/>
      <c r="F190" s="500"/>
    </row>
    <row r="191" ht="13" spans="2:28">
      <c r="F191" s="501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32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2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2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2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694</v>
      </c>
      <c r="AA4" s="464" t="s">
        <v>1042</v>
      </c>
      <c r="AB4" s="464" t="s">
        <v>1043</v>
      </c>
      <c r="AC4" s="782"/>
    </row>
    <row r="5" ht="28" spans="1:32">
      <c r="A5" s="757">
        <v>1</v>
      </c>
      <c r="B5" s="765" t="s">
        <v>995</v>
      </c>
      <c r="C5" s="479">
        <v>460248.916666667</v>
      </c>
      <c r="D5" s="469">
        <v>12</v>
      </c>
      <c r="E5" s="470">
        <f>C5*D5</f>
        <v>5522987</v>
      </c>
      <c r="F5" s="470">
        <f>6922.5*12</f>
        <v>83070</v>
      </c>
      <c r="G5" s="474">
        <v>374638.9632</v>
      </c>
      <c r="H5" s="470"/>
      <c r="I5" s="470">
        <f>E5-F5-G5-H5</f>
        <v>5065278.0368</v>
      </c>
      <c r="J5" s="470">
        <v>200000</v>
      </c>
      <c r="K5" s="470">
        <v>0.2</v>
      </c>
      <c r="L5" s="470">
        <f>I5*K5</f>
        <v>1013055.60736</v>
      </c>
      <c r="M5" s="470">
        <f>J5+L5</f>
        <v>1213055.60736</v>
      </c>
      <c r="N5" s="470">
        <f>F5+G5+H5+M5</f>
        <v>1670764.57056</v>
      </c>
      <c r="O5" s="470">
        <f>E5-N5</f>
        <v>3852222.42944</v>
      </c>
      <c r="P5" s="470">
        <f>IF(O5&lt;300000,0.07*O5,21000)</f>
        <v>21000</v>
      </c>
      <c r="Q5" s="470">
        <f>IF((O5-300000)&lt;0,0,IF((O5-300000)&lt;300000,0.11*(O5-300000),33000))</f>
        <v>33000</v>
      </c>
      <c r="R5" s="470">
        <f>IF((O5-600000)&lt;0,0,IF((O5-600000)&lt;500000,0.15*(O5-600000),75000))</f>
        <v>75000</v>
      </c>
      <c r="S5" s="470">
        <f>IF((O5-1100000)&lt;0,0,IF((O5-1100000)&lt;500000,0.19*(O5-1100000),95000))</f>
        <v>95000</v>
      </c>
      <c r="T5" s="470">
        <f>IF((O5-1600000)&lt;0,0,IF((O5-1600000)&lt;1600000,0.21*(O5-1600000),336000))</f>
        <v>336000</v>
      </c>
      <c r="U5" s="470">
        <f>24%*(O5-3200000)</f>
        <v>156533.383065601</v>
      </c>
      <c r="V5" s="470">
        <f>P5+Q5+R5+S5+T5+U5</f>
        <v>716533.383065601</v>
      </c>
      <c r="W5" s="471">
        <v>12</v>
      </c>
      <c r="X5" s="470">
        <f>V5/W5</f>
        <v>59711.1152554667</v>
      </c>
      <c r="Y5" s="470"/>
      <c r="Z5" s="470">
        <f>X5</f>
        <v>59711.1152554667</v>
      </c>
      <c r="AA5" s="470">
        <v>69311.1152554667</v>
      </c>
      <c r="AB5" s="470">
        <f>AA5-Z5</f>
        <v>9599.99999999999</v>
      </c>
      <c r="AC5" s="470"/>
      <c r="AD5" s="765" t="s">
        <v>995</v>
      </c>
      <c r="AE5" s="473"/>
      <c r="AF5" s="473"/>
    </row>
    <row r="6" ht="14" spans="1:32">
      <c r="A6" s="757">
        <v>2</v>
      </c>
      <c r="B6" s="757" t="s">
        <v>996</v>
      </c>
      <c r="C6" s="479">
        <v>460248.916666667</v>
      </c>
      <c r="D6" s="469">
        <v>12</v>
      </c>
      <c r="E6" s="470">
        <f>C6*D6</f>
        <v>5522987</v>
      </c>
      <c r="F6" s="470"/>
      <c r="G6" s="470">
        <v>374638.9632</v>
      </c>
      <c r="H6" s="470"/>
      <c r="I6" s="470">
        <f>E6-F6-G6-H6</f>
        <v>5148348.0368</v>
      </c>
      <c r="J6" s="470">
        <v>200000</v>
      </c>
      <c r="K6" s="470">
        <v>0.2</v>
      </c>
      <c r="L6" s="470">
        <f>I6*K6</f>
        <v>1029669.60736</v>
      </c>
      <c r="M6" s="470">
        <f>J6+L6</f>
        <v>1229669.60736</v>
      </c>
      <c r="N6" s="470">
        <f>F6+G6+H6+M6</f>
        <v>1604308.57056</v>
      </c>
      <c r="O6" s="470">
        <f>E6-N6</f>
        <v>3918678.42944</v>
      </c>
      <c r="P6" s="470">
        <f>IF(O6&lt;300000,0.07*O6,21000)</f>
        <v>21000</v>
      </c>
      <c r="Q6" s="470">
        <f>IF((O6-300000)&lt;0,0,IF((O6-300000)&lt;300000,0.11*(O6-300000),33000))</f>
        <v>33000</v>
      </c>
      <c r="R6" s="470">
        <f>IF((O6-600000)&lt;0,0,IF((O6-600000)&lt;500000,0.15*(O6-600000),75000))</f>
        <v>75000</v>
      </c>
      <c r="S6" s="470">
        <f>IF((O6-1100000)&lt;0,0,IF((O6-1100000)&lt;500000,0.19*(O6-1100000),95000))</f>
        <v>95000</v>
      </c>
      <c r="T6" s="470">
        <f>IF((O6-1600000)&lt;0,0,IF((O6-1600000)&lt;1600000,0.21*(O6-1600000),336000))</f>
        <v>336000</v>
      </c>
      <c r="U6" s="470">
        <f>24%*(O6-3200000)</f>
        <v>172482.823065601</v>
      </c>
      <c r="V6" s="470">
        <f>P6+Q6+R6+S6+T6+U6</f>
        <v>732482.823065601</v>
      </c>
      <c r="W6" s="471">
        <v>12</v>
      </c>
      <c r="X6" s="470">
        <f>V6/W6</f>
        <v>61040.2352554667</v>
      </c>
      <c r="Y6" s="470"/>
      <c r="Z6" s="470">
        <f>X6</f>
        <v>61040.2352554667</v>
      </c>
      <c r="AA6" s="470">
        <v>70640.2352554667</v>
      </c>
      <c r="AB6" s="470">
        <f>AA6-Z6</f>
        <v>9599.99999999998</v>
      </c>
      <c r="AC6" s="470"/>
      <c r="AD6" s="757" t="s">
        <v>996</v>
      </c>
      <c r="AE6" s="473"/>
      <c r="AF6" s="473"/>
    </row>
    <row r="7" ht="14" spans="1:32">
      <c r="A7" s="757">
        <v>3</v>
      </c>
      <c r="B7" s="757" t="s">
        <v>998</v>
      </c>
      <c r="C7" s="479">
        <v>460248.916666667</v>
      </c>
      <c r="D7" s="469">
        <v>12</v>
      </c>
      <c r="E7" s="470">
        <f>C7*D7</f>
        <v>5522987</v>
      </c>
      <c r="F7" s="470"/>
      <c r="G7" s="470">
        <v>374638.9632</v>
      </c>
      <c r="H7" s="470"/>
      <c r="I7" s="470">
        <f>E7-F7-G7-H7</f>
        <v>5148348.0368</v>
      </c>
      <c r="J7" s="470">
        <v>200000</v>
      </c>
      <c r="K7" s="470">
        <v>0.2</v>
      </c>
      <c r="L7" s="470">
        <f>I7*K7</f>
        <v>1029669.60736</v>
      </c>
      <c r="M7" s="470">
        <f>J7+L7</f>
        <v>1229669.60736</v>
      </c>
      <c r="N7" s="470">
        <f>F7+G7+H7+M7</f>
        <v>1604308.57056</v>
      </c>
      <c r="O7" s="470">
        <f>E7-N7</f>
        <v>3918678.42944</v>
      </c>
      <c r="P7" s="470">
        <f>IF(O7&lt;300000,0.07*O7,21000)</f>
        <v>21000</v>
      </c>
      <c r="Q7" s="470">
        <f>IF((O7-300000)&lt;0,0,IF((O7-300000)&lt;300000,0.11*(O7-300000),33000))</f>
        <v>33000</v>
      </c>
      <c r="R7" s="470">
        <f>IF((O7-600000)&lt;0,0,IF((O7-600000)&lt;500000,0.15*(O7-600000),75000))</f>
        <v>75000</v>
      </c>
      <c r="S7" s="470">
        <f>IF((O7-1100000)&lt;0,0,IF((O7-1100000)&lt;500000,0.19*(O7-1100000),95000))</f>
        <v>95000</v>
      </c>
      <c r="T7" s="470">
        <f>IF((O7-1600000)&lt;0,0,IF((O7-1600000)&lt;1600000,0.21*(O7-1600000),336000))</f>
        <v>336000</v>
      </c>
      <c r="U7" s="470">
        <f>24%*(O7-3200000)</f>
        <v>172482.823065601</v>
      </c>
      <c r="V7" s="470">
        <f>P7+Q7+R7+S7+T7+U7</f>
        <v>732482.823065601</v>
      </c>
      <c r="W7" s="471">
        <v>12</v>
      </c>
      <c r="X7" s="470">
        <f>V7/W7</f>
        <v>61040.2352554667</v>
      </c>
      <c r="Y7" s="470"/>
      <c r="Z7" s="470">
        <f>X7</f>
        <v>61040.2352554667</v>
      </c>
      <c r="AA7" s="470">
        <v>70640.2352554667</v>
      </c>
      <c r="AB7" s="470">
        <f>AA7-Z7</f>
        <v>9599.99999999998</v>
      </c>
      <c r="AC7" s="470"/>
      <c r="AD7" s="757" t="s">
        <v>998</v>
      </c>
      <c r="AE7" s="473"/>
      <c r="AF7" s="473"/>
    </row>
    <row r="8" ht="14" spans="1:32">
      <c r="A8" s="757">
        <v>4</v>
      </c>
      <c r="B8" s="757" t="s">
        <v>193</v>
      </c>
      <c r="C8" s="479">
        <v>110955</v>
      </c>
      <c r="D8" s="469">
        <v>12</v>
      </c>
      <c r="E8" s="470">
        <f t="shared" ref="E8" si="0">C8*D8</f>
        <v>1331460</v>
      </c>
      <c r="F8" s="470"/>
      <c r="G8" s="470"/>
      <c r="H8" s="470"/>
      <c r="I8" s="470">
        <f t="shared" ref="I8" si="1">E8-F8-G8-H8</f>
        <v>1331460</v>
      </c>
      <c r="J8" s="470">
        <v>200000</v>
      </c>
      <c r="K8" s="470">
        <v>0.2</v>
      </c>
      <c r="L8" s="470">
        <f t="shared" ref="L8" si="2">I8*K8</f>
        <v>266292</v>
      </c>
      <c r="M8" s="470">
        <f t="shared" ref="M8" si="3">J8+L8</f>
        <v>466292</v>
      </c>
      <c r="N8" s="470">
        <f t="shared" ref="N8" si="4">F8+G8+H8+M8</f>
        <v>466292</v>
      </c>
      <c r="O8" s="470">
        <f t="shared" ref="O8" si="5">E8-N8</f>
        <v>865168</v>
      </c>
      <c r="P8" s="470">
        <f t="shared" ref="P8" si="6">IF(O8&lt;300000,0.07*O8,21000)</f>
        <v>21000</v>
      </c>
      <c r="Q8" s="470">
        <f t="shared" ref="Q8" si="7">IF((O8-300000)&lt;0,0,IF((O8-300000)&lt;300000,0.11*(O8-300000),33000))</f>
        <v>33000</v>
      </c>
      <c r="R8" s="470">
        <f t="shared" ref="R8" si="8">IF((O8-600000)&lt;0,0,IF((O8-600000)&lt;500000,0.15*(O8-600000),75000))</f>
        <v>39775.2</v>
      </c>
      <c r="S8" s="470">
        <f t="shared" ref="S8" si="9">IF((O8-1100000)&lt;0,0,IF((O8-1100000)&lt;500000,0.19*(O8-1100000),95000))</f>
        <v>0</v>
      </c>
      <c r="T8" s="470">
        <f t="shared" ref="T8" si="10">IF((O8-1600000)&lt;0,0,IF((O8-1600000)&lt;1600000,0.21*(O8-1600000),336000))</f>
        <v>0</v>
      </c>
      <c r="U8" s="470"/>
      <c r="V8" s="470">
        <f t="shared" ref="V8" si="11">P8+Q8+R8+S8+T8+U8</f>
        <v>93775.2</v>
      </c>
      <c r="W8" s="471">
        <v>12</v>
      </c>
      <c r="X8" s="470">
        <f t="shared" ref="X8" si="12">V8/W8</f>
        <v>7814.6</v>
      </c>
      <c r="Y8" s="470"/>
      <c r="Z8" s="470">
        <f t="shared" ref="Z8" si="13">X8</f>
        <v>7814.6</v>
      </c>
      <c r="AA8" s="470">
        <v>69311.1152554667</v>
      </c>
      <c r="AB8" s="470">
        <f>AA8-Z8</f>
        <v>61496.5152554667</v>
      </c>
      <c r="AC8" s="470"/>
      <c r="AD8" s="757" t="s">
        <v>193</v>
      </c>
      <c r="AE8" s="473"/>
      <c r="AF8" s="473"/>
    </row>
    <row r="9" ht="35.25" customHeight="1" spans="1:32">
      <c r="B9" s="8" t="s">
        <v>1011</v>
      </c>
      <c r="C9" s="617">
        <f>SUM(C5:C8)</f>
        <v>1491701.75</v>
      </c>
      <c r="D9" s="618"/>
      <c r="E9" s="475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1:32">
      <c r="B10" s="30" t="s">
        <v>1012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1:32">
      <c r="B11" s="33"/>
      <c r="C11" s="473"/>
      <c r="F11" s="500"/>
    </row>
    <row r="12" ht="13" spans="1:32">
      <c r="F12" s="501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24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4">
      <c r="A2" s="76" t="s">
        <v>1044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0"/>
      <c r="Q2" s="78"/>
      <c r="R2" s="78"/>
      <c r="S2" s="78"/>
      <c r="T2" s="78"/>
      <c r="U2" s="78"/>
      <c r="V2" s="78"/>
    </row>
    <row r="3" ht="9.75" customHeight="1" spans="1:24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1" t="s">
        <v>1045</v>
      </c>
      <c r="K4" s="7" t="s">
        <v>588</v>
      </c>
      <c r="L4" s="301" t="s">
        <v>1046</v>
      </c>
      <c r="M4" s="80" t="s">
        <v>1047</v>
      </c>
      <c r="N4" s="80" t="s">
        <v>1048</v>
      </c>
      <c r="O4" s="80" t="s">
        <v>620</v>
      </c>
      <c r="P4" s="80" t="s">
        <v>1049</v>
      </c>
      <c r="Q4" s="80" t="s">
        <v>1050</v>
      </c>
      <c r="R4" s="80"/>
      <c r="S4" s="302" t="s">
        <v>1051</v>
      </c>
      <c r="T4" s="303" t="s">
        <v>1052</v>
      </c>
      <c r="U4" s="80" t="s">
        <v>466</v>
      </c>
      <c r="V4" s="304" t="s">
        <v>833</v>
      </c>
    </row>
    <row r="5" ht="17.25" customHeight="1" spans="1:24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305" t="s">
        <v>21</v>
      </c>
      <c r="K5" s="8"/>
      <c r="L5" s="305" t="s">
        <v>21</v>
      </c>
      <c r="M5" s="82"/>
      <c r="N5" s="82" t="s">
        <v>21</v>
      </c>
      <c r="O5" s="82"/>
      <c r="P5" s="306" t="s">
        <v>21</v>
      </c>
      <c r="Q5" s="82"/>
      <c r="R5" s="82"/>
      <c r="S5" s="82"/>
      <c r="T5" s="230"/>
      <c r="U5" s="82"/>
      <c r="V5" s="230"/>
    </row>
    <row r="6" customHeight="1" spans="1:24">
      <c r="A6" s="9"/>
      <c r="B6" s="8"/>
      <c r="C6" s="8"/>
      <c r="D6" s="8"/>
      <c r="E6" s="82"/>
      <c r="F6" s="82"/>
      <c r="G6" s="82"/>
      <c r="H6" s="82"/>
      <c r="I6" s="82"/>
      <c r="J6" s="305"/>
      <c r="K6" s="8"/>
      <c r="L6" s="305"/>
      <c r="M6" s="82"/>
      <c r="N6" s="82"/>
      <c r="O6" s="82"/>
      <c r="P6" s="306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211</v>
      </c>
      <c r="C7" s="4" t="s">
        <v>927</v>
      </c>
      <c r="D7" s="15" t="s">
        <v>56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600</v>
      </c>
      <c r="L7" s="219">
        <f>442746.5+140000</f>
        <v>582746.5</v>
      </c>
      <c r="M7" s="85">
        <f>L7-J7</f>
        <v>20941.583333333</v>
      </c>
      <c r="N7" s="85"/>
      <c r="O7" s="85"/>
      <c r="P7" s="307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4">
      <c r="A8" s="10"/>
      <c r="B8" s="20" t="s">
        <v>120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08">
        <f t="shared" si="1"/>
        <v>561804.916666667</v>
      </c>
      <c r="K8" s="15"/>
      <c r="L8" s="308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4">
      <c r="A9" s="10"/>
      <c r="B9" s="14"/>
      <c r="C9" s="4"/>
      <c r="D9" s="10"/>
      <c r="E9" s="221"/>
      <c r="F9" s="221"/>
      <c r="G9" s="221"/>
      <c r="H9" s="221"/>
      <c r="I9" s="221"/>
      <c r="J9" s="308"/>
      <c r="K9" s="10"/>
      <c r="L9" s="308"/>
      <c r="M9" s="85"/>
      <c r="N9" s="221"/>
      <c r="O9" s="221"/>
      <c r="P9" s="309"/>
      <c r="Q9" s="221"/>
      <c r="R9" s="221"/>
      <c r="S9" s="85"/>
      <c r="T9" s="231"/>
      <c r="U9" s="221"/>
      <c r="V9" s="231"/>
      <c r="W9" s="13"/>
    </row>
    <row r="10" customHeight="1" spans="1:24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25"/>
      <c r="Q10" s="229"/>
      <c r="R10" s="229"/>
      <c r="S10" s="229"/>
      <c r="T10" s="229"/>
      <c r="U10" s="229"/>
      <c r="V10" s="229"/>
      <c r="W10" s="35"/>
    </row>
    <row r="11" ht="36.75" customHeight="1" spans="1:24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25"/>
      <c r="Q11" s="229"/>
      <c r="R11" s="229"/>
      <c r="S11" s="229"/>
      <c r="T11" s="229"/>
      <c r="U11" s="229"/>
      <c r="V11" s="229"/>
    </row>
    <row r="14" customHeight="1" spans="1:24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7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27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27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27">
      <c r="A4" s="462" t="s">
        <v>464</v>
      </c>
      <c r="B4" s="463" t="s">
        <v>465</v>
      </c>
      <c r="C4" s="464" t="s">
        <v>1053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1054</v>
      </c>
    </row>
    <row r="5" ht="14" spans="1:27">
      <c r="A5" s="757">
        <v>1</v>
      </c>
      <c r="B5" s="758" t="s">
        <v>988</v>
      </c>
      <c r="C5" s="762">
        <v>150313.08</v>
      </c>
      <c r="D5" s="469">
        <v>12</v>
      </c>
      <c r="E5" s="470">
        <f t="shared" ref="E5:E24" si="0">C5*D5</f>
        <v>1803756.96</v>
      </c>
      <c r="F5" s="470"/>
      <c r="G5" s="470">
        <v>558833.3568</v>
      </c>
      <c r="H5" s="470"/>
      <c r="I5" s="470">
        <f t="shared" ref="I5:I24" si="1">E5-F5-G5-H5</f>
        <v>1244923.6032</v>
      </c>
      <c r="J5" s="470">
        <v>200000</v>
      </c>
      <c r="K5" s="470">
        <v>0.2</v>
      </c>
      <c r="L5" s="470">
        <f t="shared" ref="L5:L24" si="2">I5*K5</f>
        <v>248984.72064</v>
      </c>
      <c r="M5" s="470">
        <f t="shared" ref="M5:M24" si="3">J5+L5</f>
        <v>448984.72064</v>
      </c>
      <c r="N5" s="470">
        <f t="shared" ref="N5:N24" si="4">F5+G5+H5+M5</f>
        <v>1007818.07744</v>
      </c>
      <c r="O5" s="470">
        <f t="shared" ref="O5:O24" si="5">E5-N5</f>
        <v>795938.88256</v>
      </c>
      <c r="P5" s="470">
        <f t="shared" ref="P5:P24" si="6">IF(O5&lt;300000,0.07*O5,21000)</f>
        <v>21000</v>
      </c>
      <c r="Q5" s="470">
        <f t="shared" ref="Q5:Q24" si="7">IF((O5-300000)&lt;0,0,IF((O5-300000)&lt;300000,0.11*(O5-300000),33000))</f>
        <v>33000</v>
      </c>
      <c r="R5" s="470">
        <f t="shared" ref="R5:R24" si="8">IF((O5-600000)&lt;0,0,IF((O5-600000)&lt;500000,0.15*(O5-600000),75000))</f>
        <v>29390.832384</v>
      </c>
      <c r="S5" s="470">
        <f t="shared" ref="S5:S24" si="9">IF((O5-1100000)&lt;0,0,IF((O5-1100000)&lt;500000,0.19*(O5-1100000),95000))</f>
        <v>0</v>
      </c>
      <c r="T5" s="470">
        <f t="shared" ref="T5:T24" si="10">IF((O5-1600000)&lt;0,0,IF((O5-1600000)&lt;1600000,0.21*(O5-1600000),336000))</f>
        <v>0</v>
      </c>
      <c r="U5" s="470">
        <v>0</v>
      </c>
      <c r="V5" s="470">
        <f t="shared" ref="V5:V24" si="11">P5+Q5+R5+S5+T5+U5</f>
        <v>83390.832384</v>
      </c>
      <c r="W5" s="471">
        <v>12</v>
      </c>
      <c r="X5" s="470">
        <f t="shared" ref="X5:X24" si="12">V5/W5</f>
        <v>6949.236032</v>
      </c>
      <c r="Y5" s="470"/>
      <c r="Z5" s="470">
        <f t="shared" ref="Z5:Z24" si="13">X5</f>
        <v>6949.236032</v>
      </c>
      <c r="AA5" s="473"/>
    </row>
    <row r="6" ht="14" spans="1:27">
      <c r="A6" s="757">
        <v>2</v>
      </c>
      <c r="B6" s="757" t="s">
        <v>989</v>
      </c>
      <c r="C6" s="762">
        <v>526480</v>
      </c>
      <c r="D6" s="469">
        <v>12</v>
      </c>
      <c r="E6" s="470">
        <f t="shared" si="0"/>
        <v>6317760</v>
      </c>
      <c r="F6" s="470"/>
      <c r="G6" s="470">
        <v>558833.3568</v>
      </c>
      <c r="H6" s="470"/>
      <c r="I6" s="470">
        <f t="shared" si="1"/>
        <v>5758926.6432</v>
      </c>
      <c r="J6" s="470">
        <v>200000</v>
      </c>
      <c r="K6" s="470">
        <v>0.2</v>
      </c>
      <c r="L6" s="470">
        <f t="shared" si="2"/>
        <v>1151785.32864</v>
      </c>
      <c r="M6" s="470">
        <f t="shared" si="3"/>
        <v>1351785.32864</v>
      </c>
      <c r="N6" s="470">
        <f t="shared" si="4"/>
        <v>1910618.68544</v>
      </c>
      <c r="O6" s="470">
        <f t="shared" si="5"/>
        <v>4407141.31456</v>
      </c>
      <c r="P6" s="470">
        <f t="shared" si="6"/>
        <v>21000</v>
      </c>
      <c r="Q6" s="470">
        <f t="shared" si="7"/>
        <v>33000</v>
      </c>
      <c r="R6" s="470">
        <f t="shared" si="8"/>
        <v>75000</v>
      </c>
      <c r="S6" s="470">
        <f t="shared" si="9"/>
        <v>95000</v>
      </c>
      <c r="T6" s="470">
        <f t="shared" si="10"/>
        <v>336000</v>
      </c>
      <c r="U6" s="470">
        <f>24%*(O6-3200000)</f>
        <v>289713.9154944</v>
      </c>
      <c r="V6" s="470">
        <f t="shared" si="11"/>
        <v>849713.9154944</v>
      </c>
      <c r="W6" s="471">
        <v>12</v>
      </c>
      <c r="X6" s="470">
        <f t="shared" si="12"/>
        <v>70809.4929578667</v>
      </c>
      <c r="Y6" s="470"/>
      <c r="Z6" s="470">
        <f t="shared" si="13"/>
        <v>70809.4929578667</v>
      </c>
      <c r="AA6" s="473"/>
    </row>
    <row r="7" ht="14" spans="1:27">
      <c r="A7" s="757">
        <v>3</v>
      </c>
      <c r="B7" s="757" t="s">
        <v>990</v>
      </c>
      <c r="C7" s="762">
        <v>291986.9175</v>
      </c>
      <c r="D7" s="469">
        <v>12</v>
      </c>
      <c r="E7" s="470">
        <f t="shared" si="0"/>
        <v>3503843.01</v>
      </c>
      <c r="F7" s="470">
        <f>8019.8*12</f>
        <v>96237.6</v>
      </c>
      <c r="G7" s="470">
        <v>558833.3568</v>
      </c>
      <c r="H7" s="470"/>
      <c r="I7" s="470">
        <f t="shared" si="1"/>
        <v>2848772.0532</v>
      </c>
      <c r="J7" s="470">
        <v>200000</v>
      </c>
      <c r="K7" s="470">
        <v>0.2</v>
      </c>
      <c r="L7" s="470">
        <f t="shared" si="2"/>
        <v>569754.41064</v>
      </c>
      <c r="M7" s="470">
        <f t="shared" si="3"/>
        <v>769754.41064</v>
      </c>
      <c r="N7" s="470">
        <f t="shared" si="4"/>
        <v>1424825.36744</v>
      </c>
      <c r="O7" s="470">
        <f t="shared" si="5"/>
        <v>2079017.64256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100593.7049376</v>
      </c>
      <c r="U7" s="470"/>
      <c r="V7" s="470">
        <f t="shared" si="11"/>
        <v>324593.7049376</v>
      </c>
      <c r="W7" s="471">
        <v>12</v>
      </c>
      <c r="X7" s="470">
        <f t="shared" si="12"/>
        <v>27049.4754114667</v>
      </c>
      <c r="Y7" s="470"/>
      <c r="Z7" s="470">
        <f t="shared" si="13"/>
        <v>27049.4754114667</v>
      </c>
      <c r="AA7" s="473"/>
    </row>
    <row r="8" ht="14" spans="1:27">
      <c r="A8" s="757">
        <v>4</v>
      </c>
      <c r="B8" s="757" t="s">
        <v>991</v>
      </c>
      <c r="C8" s="762">
        <v>291984.2075</v>
      </c>
      <c r="D8" s="469">
        <v>12</v>
      </c>
      <c r="E8" s="470">
        <f t="shared" si="0"/>
        <v>3503810.49</v>
      </c>
      <c r="F8" s="470">
        <f>8019.8*12</f>
        <v>96237.6</v>
      </c>
      <c r="G8" s="470">
        <v>558833.3568</v>
      </c>
      <c r="H8" s="470"/>
      <c r="I8" s="470">
        <f t="shared" si="1"/>
        <v>2848739.5332</v>
      </c>
      <c r="J8" s="470">
        <v>200000</v>
      </c>
      <c r="K8" s="470">
        <v>0.2</v>
      </c>
      <c r="L8" s="470">
        <f t="shared" si="2"/>
        <v>569747.90664</v>
      </c>
      <c r="M8" s="470">
        <f t="shared" si="3"/>
        <v>769747.90664</v>
      </c>
      <c r="N8" s="470">
        <f t="shared" si="4"/>
        <v>1424818.86344</v>
      </c>
      <c r="O8" s="470">
        <f t="shared" si="5"/>
        <v>2078991.62656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100588.2415776</v>
      </c>
      <c r="U8" s="470"/>
      <c r="V8" s="470">
        <f t="shared" si="11"/>
        <v>324588.2415776</v>
      </c>
      <c r="W8" s="471">
        <v>12</v>
      </c>
      <c r="X8" s="470">
        <f t="shared" si="12"/>
        <v>27049.0201314667</v>
      </c>
      <c r="Y8" s="470"/>
      <c r="Z8" s="470">
        <f t="shared" si="13"/>
        <v>27049.0201314667</v>
      </c>
      <c r="AA8" s="473"/>
    </row>
    <row r="9" ht="14" spans="1:27">
      <c r="A9" s="757">
        <v>5</v>
      </c>
      <c r="B9" s="757" t="s">
        <v>992</v>
      </c>
      <c r="C9" s="762">
        <v>0</v>
      </c>
      <c r="D9" s="469">
        <v>0</v>
      </c>
      <c r="E9" s="470">
        <f t="shared" si="0"/>
        <v>0</v>
      </c>
      <c r="F9" s="470"/>
      <c r="G9" s="470">
        <v>0</v>
      </c>
      <c r="H9" s="470"/>
      <c r="I9" s="470">
        <f t="shared" si="1"/>
        <v>0</v>
      </c>
      <c r="J9" s="470">
        <v>0</v>
      </c>
      <c r="K9" s="470">
        <v>0.2</v>
      </c>
      <c r="L9" s="470">
        <f t="shared" si="2"/>
        <v>0</v>
      </c>
      <c r="M9" s="470">
        <f t="shared" si="3"/>
        <v>0</v>
      </c>
      <c r="N9" s="470">
        <f t="shared" si="4"/>
        <v>0</v>
      </c>
      <c r="O9" s="470">
        <f t="shared" si="5"/>
        <v>0</v>
      </c>
      <c r="P9" s="470">
        <f t="shared" si="6"/>
        <v>0</v>
      </c>
      <c r="Q9" s="470">
        <f t="shared" si="7"/>
        <v>0</v>
      </c>
      <c r="R9" s="470">
        <f t="shared" si="8"/>
        <v>0</v>
      </c>
      <c r="S9" s="470">
        <f t="shared" si="9"/>
        <v>0</v>
      </c>
      <c r="T9" s="470">
        <f t="shared" si="10"/>
        <v>0</v>
      </c>
      <c r="U9" s="470"/>
      <c r="V9" s="470">
        <f t="shared" si="11"/>
        <v>0</v>
      </c>
      <c r="W9" s="471">
        <v>12</v>
      </c>
      <c r="X9" s="470">
        <f t="shared" si="12"/>
        <v>0</v>
      </c>
      <c r="Y9" s="470"/>
      <c r="Z9" s="470">
        <f t="shared" si="13"/>
        <v>0</v>
      </c>
      <c r="AA9" s="473"/>
    </row>
    <row r="10" ht="14" spans="1:27">
      <c r="A10" s="757">
        <v>6</v>
      </c>
      <c r="B10" s="757" t="s">
        <v>338</v>
      </c>
      <c r="C10" s="762">
        <v>1486792</v>
      </c>
      <c r="D10" s="469">
        <v>12</v>
      </c>
      <c r="E10" s="470">
        <f t="shared" si="0"/>
        <v>17841504</v>
      </c>
      <c r="F10" s="470"/>
      <c r="G10" s="470">
        <v>245615.04</v>
      </c>
      <c r="H10" s="470"/>
      <c r="I10" s="470">
        <f t="shared" si="1"/>
        <v>17595888.96</v>
      </c>
      <c r="J10" s="470">
        <v>200000</v>
      </c>
      <c r="K10" s="470">
        <v>0.2</v>
      </c>
      <c r="L10" s="470">
        <f t="shared" si="2"/>
        <v>3519177.792</v>
      </c>
      <c r="M10" s="470">
        <f t="shared" si="3"/>
        <v>3719177.792</v>
      </c>
      <c r="N10" s="470">
        <f t="shared" si="4"/>
        <v>3964792.832</v>
      </c>
      <c r="O10" s="470">
        <f t="shared" si="5"/>
        <v>13876711.168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>24%*(O10-3200000)</f>
        <v>2562410.68032</v>
      </c>
      <c r="V10" s="470">
        <f t="shared" si="11"/>
        <v>3122410.68032</v>
      </c>
      <c r="W10" s="471">
        <v>12</v>
      </c>
      <c r="X10" s="470">
        <f t="shared" si="12"/>
        <v>260200.890026667</v>
      </c>
      <c r="Y10" s="470"/>
      <c r="Z10" s="470">
        <f t="shared" si="13"/>
        <v>260200.890026667</v>
      </c>
      <c r="AA10" s="473"/>
    </row>
    <row r="11" ht="14" spans="1:27">
      <c r="A11" s="757">
        <v>7</v>
      </c>
      <c r="B11" s="757" t="s">
        <v>993</v>
      </c>
      <c r="C11" s="762">
        <v>120895.81</v>
      </c>
      <c r="D11" s="469">
        <v>12</v>
      </c>
      <c r="E11" s="470">
        <f t="shared" si="0"/>
        <v>1450749.72</v>
      </c>
      <c r="F11" s="470"/>
      <c r="G11" s="470">
        <v>339372</v>
      </c>
      <c r="H11" s="470"/>
      <c r="I11" s="470">
        <f t="shared" si="1"/>
        <v>1111377.72</v>
      </c>
      <c r="J11" s="470">
        <v>200000</v>
      </c>
      <c r="K11" s="470">
        <v>0.2</v>
      </c>
      <c r="L11" s="470">
        <f t="shared" si="2"/>
        <v>222275.544</v>
      </c>
      <c r="M11" s="470">
        <f t="shared" si="3"/>
        <v>422275.544</v>
      </c>
      <c r="N11" s="470">
        <f t="shared" si="4"/>
        <v>761647.544</v>
      </c>
      <c r="O11" s="470">
        <f t="shared" si="5"/>
        <v>689102.176</v>
      </c>
      <c r="P11" s="470">
        <f t="shared" si="6"/>
        <v>21000</v>
      </c>
      <c r="Q11" s="470">
        <f t="shared" si="7"/>
        <v>33000</v>
      </c>
      <c r="R11" s="470">
        <f t="shared" si="8"/>
        <v>13365.3264</v>
      </c>
      <c r="S11" s="470">
        <f t="shared" si="9"/>
        <v>0</v>
      </c>
      <c r="T11" s="470">
        <f t="shared" si="10"/>
        <v>0</v>
      </c>
      <c r="U11" s="470"/>
      <c r="V11" s="470">
        <f t="shared" si="11"/>
        <v>67365.3264</v>
      </c>
      <c r="W11" s="471">
        <v>12</v>
      </c>
      <c r="X11" s="470">
        <f t="shared" si="12"/>
        <v>5613.7772</v>
      </c>
      <c r="Y11" s="470"/>
      <c r="Z11" s="470">
        <f t="shared" si="13"/>
        <v>5613.7772</v>
      </c>
      <c r="AA11" s="473"/>
    </row>
    <row r="12" ht="14" spans="1:27">
      <c r="A12" s="757">
        <v>8</v>
      </c>
      <c r="B12" s="757" t="s">
        <v>994</v>
      </c>
      <c r="C12" s="762">
        <v>99389.4758333325</v>
      </c>
      <c r="D12" s="469">
        <v>12</v>
      </c>
      <c r="E12" s="470">
        <f t="shared" si="0"/>
        <v>1192673.70999999</v>
      </c>
      <c r="F12" s="470"/>
      <c r="G12" s="470">
        <v>339372</v>
      </c>
      <c r="H12" s="470"/>
      <c r="I12" s="470">
        <f t="shared" si="1"/>
        <v>853301.70999999</v>
      </c>
      <c r="J12" s="470">
        <v>200000</v>
      </c>
      <c r="K12" s="470">
        <v>0.2</v>
      </c>
      <c r="L12" s="470">
        <f t="shared" si="2"/>
        <v>170660.341999998</v>
      </c>
      <c r="M12" s="470">
        <f t="shared" si="3"/>
        <v>370660.341999998</v>
      </c>
      <c r="N12" s="470">
        <f t="shared" si="4"/>
        <v>710032.341999998</v>
      </c>
      <c r="O12" s="470">
        <f t="shared" si="5"/>
        <v>482641.367999992</v>
      </c>
      <c r="P12" s="470">
        <f t="shared" si="6"/>
        <v>21000</v>
      </c>
      <c r="Q12" s="470">
        <f t="shared" si="7"/>
        <v>20090.5504799991</v>
      </c>
      <c r="R12" s="470">
        <f t="shared" si="8"/>
        <v>0</v>
      </c>
      <c r="S12" s="470">
        <f t="shared" si="9"/>
        <v>0</v>
      </c>
      <c r="T12" s="470">
        <f t="shared" si="10"/>
        <v>0</v>
      </c>
      <c r="U12" s="470"/>
      <c r="V12" s="470">
        <f t="shared" si="11"/>
        <v>41090.5504799991</v>
      </c>
      <c r="W12" s="471">
        <v>12</v>
      </c>
      <c r="X12" s="470">
        <f t="shared" si="12"/>
        <v>3424.21253999993</v>
      </c>
      <c r="Y12" s="470"/>
      <c r="Z12" s="470">
        <f t="shared" si="13"/>
        <v>3424.21253999993</v>
      </c>
      <c r="AA12" s="473"/>
    </row>
    <row r="13" ht="14" spans="1:27">
      <c r="A13" s="757">
        <v>9</v>
      </c>
      <c r="B13" s="765" t="s">
        <v>995</v>
      </c>
      <c r="C13" s="762">
        <v>481299.333333336</v>
      </c>
      <c r="D13" s="469">
        <v>12</v>
      </c>
      <c r="E13" s="470">
        <f t="shared" si="0"/>
        <v>5775592.00000003</v>
      </c>
      <c r="F13" s="470">
        <f>6922.5*12</f>
        <v>83070</v>
      </c>
      <c r="G13" s="474">
        <v>374638.9632</v>
      </c>
      <c r="H13" s="470"/>
      <c r="I13" s="470">
        <f t="shared" si="1"/>
        <v>5317883.03680003</v>
      </c>
      <c r="J13" s="470">
        <v>200000</v>
      </c>
      <c r="K13" s="470">
        <v>0.2</v>
      </c>
      <c r="L13" s="470">
        <f t="shared" si="2"/>
        <v>1063576.60736001</v>
      </c>
      <c r="M13" s="470">
        <f t="shared" si="3"/>
        <v>1263576.60736001</v>
      </c>
      <c r="N13" s="470">
        <f t="shared" si="4"/>
        <v>1721285.57056001</v>
      </c>
      <c r="O13" s="470">
        <f t="shared" si="5"/>
        <v>4054306.42944003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>24%*(O13-3200000)</f>
        <v>205033.543065606</v>
      </c>
      <c r="V13" s="470">
        <f t="shared" si="11"/>
        <v>765033.543065606</v>
      </c>
      <c r="W13" s="471">
        <v>12</v>
      </c>
      <c r="X13" s="470">
        <f t="shared" si="12"/>
        <v>63752.7952554672</v>
      </c>
      <c r="Y13" s="470"/>
      <c r="Z13" s="470">
        <f t="shared" si="13"/>
        <v>63752.7952554672</v>
      </c>
      <c r="AA13" s="473"/>
    </row>
    <row r="14" ht="14" spans="1:27">
      <c r="A14" s="757">
        <v>10</v>
      </c>
      <c r="B14" s="757" t="s">
        <v>996</v>
      </c>
      <c r="C14" s="762">
        <v>163040.149166668</v>
      </c>
      <c r="D14" s="469">
        <v>12</v>
      </c>
      <c r="E14" s="470">
        <f t="shared" si="0"/>
        <v>1956481.79000002</v>
      </c>
      <c r="F14" s="470"/>
      <c r="G14" s="470">
        <v>374638.9632</v>
      </c>
      <c r="H14" s="470"/>
      <c r="I14" s="470">
        <f t="shared" si="1"/>
        <v>1581842.82680002</v>
      </c>
      <c r="J14" s="470">
        <v>200000</v>
      </c>
      <c r="K14" s="470">
        <v>0.2</v>
      </c>
      <c r="L14" s="470">
        <f t="shared" si="2"/>
        <v>316368.565360003</v>
      </c>
      <c r="M14" s="470">
        <f t="shared" si="3"/>
        <v>516368.565360003</v>
      </c>
      <c r="N14" s="470">
        <f t="shared" si="4"/>
        <v>891007.528560003</v>
      </c>
      <c r="O14" s="470">
        <f t="shared" si="5"/>
        <v>1065474.26144001</v>
      </c>
      <c r="P14" s="470">
        <f t="shared" si="6"/>
        <v>21000</v>
      </c>
      <c r="Q14" s="470">
        <f t="shared" si="7"/>
        <v>33000</v>
      </c>
      <c r="R14" s="470">
        <f t="shared" si="8"/>
        <v>69821.1392160019</v>
      </c>
      <c r="S14" s="470">
        <f t="shared" si="9"/>
        <v>0</v>
      </c>
      <c r="T14" s="470">
        <f t="shared" si="10"/>
        <v>0</v>
      </c>
      <c r="U14" s="470"/>
      <c r="V14" s="470">
        <f t="shared" si="11"/>
        <v>123821.139216002</v>
      </c>
      <c r="W14" s="471">
        <v>12</v>
      </c>
      <c r="X14" s="470">
        <f t="shared" si="12"/>
        <v>10318.4282680002</v>
      </c>
      <c r="Y14" s="470"/>
      <c r="Z14" s="470">
        <f t="shared" si="13"/>
        <v>10318.4282680002</v>
      </c>
      <c r="AA14" s="473"/>
    </row>
    <row r="15" ht="14" spans="1:27">
      <c r="A15" s="757">
        <v>11</v>
      </c>
      <c r="B15" s="757" t="s">
        <v>997</v>
      </c>
      <c r="C15" s="762">
        <v>394860</v>
      </c>
      <c r="D15" s="469">
        <v>12</v>
      </c>
      <c r="E15" s="470">
        <f t="shared" si="0"/>
        <v>4738320</v>
      </c>
      <c r="F15" s="470"/>
      <c r="G15" s="470">
        <v>558833.3568</v>
      </c>
      <c r="H15" s="470"/>
      <c r="I15" s="470">
        <f t="shared" si="1"/>
        <v>4179486.6432</v>
      </c>
      <c r="J15" s="470">
        <v>200000</v>
      </c>
      <c r="K15" s="470">
        <v>0.2</v>
      </c>
      <c r="L15" s="470">
        <f t="shared" si="2"/>
        <v>835897.32864</v>
      </c>
      <c r="M15" s="470">
        <f t="shared" si="3"/>
        <v>1035897.32864</v>
      </c>
      <c r="N15" s="470">
        <f t="shared" si="4"/>
        <v>1594730.68544</v>
      </c>
      <c r="O15" s="470">
        <f t="shared" si="5"/>
        <v>3143589.31456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324153.7560576</v>
      </c>
      <c r="U15" s="470"/>
      <c r="V15" s="470">
        <f t="shared" si="11"/>
        <v>548153.7560576</v>
      </c>
      <c r="W15" s="471">
        <v>12</v>
      </c>
      <c r="X15" s="470">
        <f t="shared" si="12"/>
        <v>45679.4796714667</v>
      </c>
      <c r="Y15" s="470"/>
      <c r="Z15" s="470">
        <f t="shared" si="13"/>
        <v>45679.4796714667</v>
      </c>
      <c r="AA15" s="473"/>
    </row>
    <row r="16" ht="14" spans="1:27">
      <c r="A16" s="757">
        <v>12</v>
      </c>
      <c r="B16" s="757" t="s">
        <v>307</v>
      </c>
      <c r="C16" s="762">
        <v>323232.75</v>
      </c>
      <c r="D16" s="469">
        <v>12</v>
      </c>
      <c r="E16" s="470">
        <f t="shared" si="0"/>
        <v>3878793</v>
      </c>
      <c r="F16" s="470">
        <f>8019.8*12</f>
        <v>96237.6</v>
      </c>
      <c r="G16" s="470">
        <v>558833.3568</v>
      </c>
      <c r="H16" s="470"/>
      <c r="I16" s="470">
        <f t="shared" si="1"/>
        <v>3223722.0432</v>
      </c>
      <c r="J16" s="470">
        <v>200000</v>
      </c>
      <c r="K16" s="470">
        <v>0.2</v>
      </c>
      <c r="L16" s="470">
        <f t="shared" si="2"/>
        <v>644744.40864</v>
      </c>
      <c r="M16" s="470">
        <f t="shared" si="3"/>
        <v>844744.40864</v>
      </c>
      <c r="N16" s="470">
        <f t="shared" si="4"/>
        <v>1499815.36544</v>
      </c>
      <c r="O16" s="470">
        <f t="shared" si="5"/>
        <v>2378977.63456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163585.3032576</v>
      </c>
      <c r="U16" s="470"/>
      <c r="V16" s="470">
        <f t="shared" si="11"/>
        <v>387585.3032576</v>
      </c>
      <c r="W16" s="471">
        <v>12</v>
      </c>
      <c r="X16" s="470">
        <f t="shared" si="12"/>
        <v>32298.7752714667</v>
      </c>
      <c r="Y16" s="470"/>
      <c r="Z16" s="470">
        <f t="shared" si="13"/>
        <v>32298.7752714667</v>
      </c>
      <c r="AA16" s="473"/>
    </row>
    <row r="17" ht="14" spans="1:27">
      <c r="A17" s="757">
        <v>13</v>
      </c>
      <c r="B17" s="757" t="s">
        <v>998</v>
      </c>
      <c r="C17" s="762">
        <v>180487.250000001</v>
      </c>
      <c r="D17" s="469">
        <v>12</v>
      </c>
      <c r="E17" s="470">
        <f t="shared" si="0"/>
        <v>2165847.00000001</v>
      </c>
      <c r="F17" s="470"/>
      <c r="G17" s="470">
        <v>374638.9632</v>
      </c>
      <c r="H17" s="470"/>
      <c r="I17" s="470">
        <f t="shared" si="1"/>
        <v>1791208.03680001</v>
      </c>
      <c r="J17" s="470">
        <v>200000</v>
      </c>
      <c r="K17" s="470">
        <v>0.2</v>
      </c>
      <c r="L17" s="470">
        <f t="shared" si="2"/>
        <v>358241.607360002</v>
      </c>
      <c r="M17" s="470">
        <f t="shared" si="3"/>
        <v>558241.607360002</v>
      </c>
      <c r="N17" s="470">
        <f t="shared" si="4"/>
        <v>932880.570560002</v>
      </c>
      <c r="O17" s="470">
        <f t="shared" si="5"/>
        <v>1232966.42944001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25263.6215936019</v>
      </c>
      <c r="T17" s="470">
        <f t="shared" si="10"/>
        <v>0</v>
      </c>
      <c r="U17" s="470"/>
      <c r="V17" s="470">
        <f t="shared" si="11"/>
        <v>154263.621593602</v>
      </c>
      <c r="W17" s="471">
        <v>12</v>
      </c>
      <c r="X17" s="470">
        <f t="shared" si="12"/>
        <v>12855.3017994668</v>
      </c>
      <c r="Y17" s="470"/>
      <c r="Z17" s="470">
        <f t="shared" si="13"/>
        <v>12855.3017994668</v>
      </c>
      <c r="AA17" s="473"/>
    </row>
    <row r="18" ht="14" spans="1:27">
      <c r="A18" s="757">
        <v>14</v>
      </c>
      <c r="B18" s="757" t="s">
        <v>999</v>
      </c>
      <c r="C18" s="762">
        <v>676611.66666666</v>
      </c>
      <c r="D18" s="469">
        <v>12</v>
      </c>
      <c r="E18" s="470">
        <f t="shared" si="0"/>
        <v>8119339.99999992</v>
      </c>
      <c r="F18" s="470"/>
      <c r="G18" s="470">
        <v>425036.64</v>
      </c>
      <c r="H18" s="470"/>
      <c r="I18" s="470">
        <f t="shared" si="1"/>
        <v>7694303.35999992</v>
      </c>
      <c r="J18" s="470">
        <v>200000</v>
      </c>
      <c r="K18" s="470">
        <v>0.2</v>
      </c>
      <c r="L18" s="470">
        <f t="shared" si="2"/>
        <v>1538860.67199998</v>
      </c>
      <c r="M18" s="470">
        <f t="shared" si="3"/>
        <v>1738860.67199998</v>
      </c>
      <c r="N18" s="470">
        <f t="shared" si="4"/>
        <v>2163897.31199998</v>
      </c>
      <c r="O18" s="470">
        <f t="shared" si="5"/>
        <v>5955442.68799994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>24%*(O18-3200000)</f>
        <v>661306.245119985</v>
      </c>
      <c r="V18" s="470">
        <f t="shared" si="11"/>
        <v>1221306.24511998</v>
      </c>
      <c r="W18" s="471">
        <v>12</v>
      </c>
      <c r="X18" s="470">
        <f t="shared" si="12"/>
        <v>101775.520426665</v>
      </c>
      <c r="Y18" s="470"/>
      <c r="Z18" s="470">
        <f t="shared" si="13"/>
        <v>101775.520426665</v>
      </c>
      <c r="AA18" s="473"/>
    </row>
    <row r="19" ht="14" spans="1:27">
      <c r="A19" s="757">
        <v>15</v>
      </c>
      <c r="B19" s="757" t="s">
        <v>921</v>
      </c>
      <c r="C19" s="762">
        <v>575119.916666661</v>
      </c>
      <c r="D19" s="469">
        <v>12</v>
      </c>
      <c r="E19" s="470">
        <f t="shared" si="0"/>
        <v>6901438.99999993</v>
      </c>
      <c r="F19" s="470"/>
      <c r="G19" s="470">
        <v>425036.64</v>
      </c>
      <c r="H19" s="470"/>
      <c r="I19" s="470">
        <f t="shared" si="1"/>
        <v>6476402.35999993</v>
      </c>
      <c r="J19" s="470">
        <v>200000</v>
      </c>
      <c r="K19" s="470">
        <v>0.2</v>
      </c>
      <c r="L19" s="470">
        <f t="shared" si="2"/>
        <v>1295280.47199999</v>
      </c>
      <c r="M19" s="470">
        <f t="shared" si="3"/>
        <v>1495280.47199999</v>
      </c>
      <c r="N19" s="470">
        <f t="shared" si="4"/>
        <v>1920317.11199999</v>
      </c>
      <c r="O19" s="470">
        <f t="shared" si="5"/>
        <v>4981121.88799995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>24%*(O19-3200000)</f>
        <v>427469.253119987</v>
      </c>
      <c r="V19" s="470">
        <f t="shared" si="11"/>
        <v>987469.253119987</v>
      </c>
      <c r="W19" s="471">
        <v>12</v>
      </c>
      <c r="X19" s="470">
        <f t="shared" si="12"/>
        <v>82289.1044266656</v>
      </c>
      <c r="Y19" s="470"/>
      <c r="Z19" s="470">
        <f t="shared" si="13"/>
        <v>82289.1044266656</v>
      </c>
      <c r="AA19" s="473"/>
    </row>
    <row r="20" ht="14" spans="1:27">
      <c r="A20" s="757">
        <v>16</v>
      </c>
      <c r="B20" s="757" t="s">
        <v>1000</v>
      </c>
      <c r="C20" s="762">
        <v>401499</v>
      </c>
      <c r="D20" s="469">
        <v>12</v>
      </c>
      <c r="E20" s="470">
        <f t="shared" si="0"/>
        <v>4817988</v>
      </c>
      <c r="F20" s="470"/>
      <c r="G20" s="470">
        <v>339372</v>
      </c>
      <c r="H20" s="470"/>
      <c r="I20" s="470">
        <f t="shared" si="1"/>
        <v>4478616</v>
      </c>
      <c r="J20" s="470">
        <v>200000</v>
      </c>
      <c r="K20" s="470">
        <v>0.2</v>
      </c>
      <c r="L20" s="470">
        <f t="shared" si="2"/>
        <v>895723.2</v>
      </c>
      <c r="M20" s="470">
        <f t="shared" si="3"/>
        <v>1095723.2</v>
      </c>
      <c r="N20" s="470">
        <f t="shared" si="4"/>
        <v>1435095.2</v>
      </c>
      <c r="O20" s="470">
        <f t="shared" si="5"/>
        <v>3382892.8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>24%*(O20-3200000)</f>
        <v>43894.272</v>
      </c>
      <c r="V20" s="470">
        <f t="shared" si="11"/>
        <v>603894.272</v>
      </c>
      <c r="W20" s="471">
        <v>12</v>
      </c>
      <c r="X20" s="470">
        <f t="shared" si="12"/>
        <v>50324.5226666667</v>
      </c>
      <c r="Y20" s="470"/>
      <c r="Z20" s="470">
        <f t="shared" si="13"/>
        <v>50324.5226666667</v>
      </c>
      <c r="AA20" s="473"/>
    </row>
    <row r="21" ht="14" spans="1:27">
      <c r="A21" s="757">
        <v>17</v>
      </c>
      <c r="B21" s="757" t="s">
        <v>1002</v>
      </c>
      <c r="C21" s="762">
        <v>655332</v>
      </c>
      <c r="D21" s="469">
        <v>12</v>
      </c>
      <c r="E21" s="470">
        <f t="shared" si="0"/>
        <v>7863984</v>
      </c>
      <c r="F21" s="470"/>
      <c r="G21" s="470">
        <v>339372</v>
      </c>
      <c r="H21" s="470"/>
      <c r="I21" s="470">
        <f t="shared" si="1"/>
        <v>7524612</v>
      </c>
      <c r="J21" s="470">
        <v>200000</v>
      </c>
      <c r="K21" s="470">
        <v>0.2</v>
      </c>
      <c r="L21" s="470">
        <f t="shared" si="2"/>
        <v>1504922.4</v>
      </c>
      <c r="M21" s="470">
        <f t="shared" si="3"/>
        <v>1704922.4</v>
      </c>
      <c r="N21" s="470">
        <f t="shared" si="4"/>
        <v>2044294.4</v>
      </c>
      <c r="O21" s="470">
        <f t="shared" si="5"/>
        <v>5819689.6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>24%*(O21-3200000)</f>
        <v>628725.504</v>
      </c>
      <c r="V21" s="470">
        <f t="shared" si="11"/>
        <v>1188725.504</v>
      </c>
      <c r="W21" s="471">
        <v>12</v>
      </c>
      <c r="X21" s="470">
        <f t="shared" si="12"/>
        <v>99060.4586666666</v>
      </c>
      <c r="Y21" s="470"/>
      <c r="Z21" s="470">
        <f t="shared" si="13"/>
        <v>99060.4586666666</v>
      </c>
      <c r="AA21" s="473"/>
    </row>
    <row r="22" ht="14" spans="1:27">
      <c r="A22" s="757">
        <v>18</v>
      </c>
      <c r="B22" s="757" t="s">
        <v>1055</v>
      </c>
      <c r="C22" s="762">
        <v>176519</v>
      </c>
      <c r="D22" s="469">
        <v>12</v>
      </c>
      <c r="E22" s="470">
        <f t="shared" si="0"/>
        <v>2118228</v>
      </c>
      <c r="F22" s="470"/>
      <c r="G22" s="470">
        <v>245615.04</v>
      </c>
      <c r="H22" s="470"/>
      <c r="I22" s="470">
        <f t="shared" si="1"/>
        <v>1872612.96</v>
      </c>
      <c r="J22" s="470">
        <v>200000</v>
      </c>
      <c r="K22" s="470">
        <v>0.2</v>
      </c>
      <c r="L22" s="470">
        <f t="shared" si="2"/>
        <v>374522.592</v>
      </c>
      <c r="M22" s="470">
        <f t="shared" si="3"/>
        <v>574522.592</v>
      </c>
      <c r="N22" s="470">
        <f t="shared" si="4"/>
        <v>820137.632</v>
      </c>
      <c r="O22" s="470">
        <f t="shared" si="5"/>
        <v>1298090.368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37637.16992</v>
      </c>
      <c r="T22" s="470">
        <f t="shared" si="10"/>
        <v>0</v>
      </c>
      <c r="U22" s="470"/>
      <c r="V22" s="470">
        <f t="shared" si="11"/>
        <v>166637.16992</v>
      </c>
      <c r="W22" s="471">
        <v>12</v>
      </c>
      <c r="X22" s="470">
        <f t="shared" si="12"/>
        <v>13886.4308266667</v>
      </c>
      <c r="Y22" s="470"/>
      <c r="Z22" s="470">
        <f t="shared" si="13"/>
        <v>13886.4308266667</v>
      </c>
      <c r="AA22" s="473"/>
    </row>
    <row r="23" ht="14" spans="1:27">
      <c r="A23" s="757">
        <v>19</v>
      </c>
      <c r="B23" s="757" t="s">
        <v>1003</v>
      </c>
      <c r="C23" s="762">
        <v>86887.25</v>
      </c>
      <c r="D23" s="469">
        <v>12</v>
      </c>
      <c r="E23" s="470">
        <f t="shared" si="0"/>
        <v>1042647</v>
      </c>
      <c r="F23" s="470"/>
      <c r="G23" s="470">
        <v>146701.6032</v>
      </c>
      <c r="H23" s="470"/>
      <c r="I23" s="470">
        <f t="shared" si="1"/>
        <v>895945.3968</v>
      </c>
      <c r="J23" s="470">
        <v>200000</v>
      </c>
      <c r="K23" s="470">
        <v>0.2</v>
      </c>
      <c r="L23" s="470">
        <f t="shared" si="2"/>
        <v>179189.07936</v>
      </c>
      <c r="M23" s="470">
        <f t="shared" si="3"/>
        <v>379189.07936</v>
      </c>
      <c r="N23" s="470">
        <f t="shared" si="4"/>
        <v>525890.68256</v>
      </c>
      <c r="O23" s="470">
        <f t="shared" si="5"/>
        <v>516756.31744</v>
      </c>
      <c r="P23" s="470">
        <f t="shared" si="6"/>
        <v>21000</v>
      </c>
      <c r="Q23" s="470">
        <f t="shared" si="7"/>
        <v>23843.1949184</v>
      </c>
      <c r="R23" s="470">
        <f t="shared" si="8"/>
        <v>0</v>
      </c>
      <c r="S23" s="470">
        <f t="shared" si="9"/>
        <v>0</v>
      </c>
      <c r="T23" s="470">
        <f t="shared" si="10"/>
        <v>0</v>
      </c>
      <c r="U23" s="470"/>
      <c r="V23" s="470">
        <f t="shared" si="11"/>
        <v>44843.1949184</v>
      </c>
      <c r="W23" s="471">
        <v>12</v>
      </c>
      <c r="X23" s="470">
        <f t="shared" si="12"/>
        <v>3736.93290986667</v>
      </c>
      <c r="Y23" s="470"/>
      <c r="Z23" s="470">
        <f t="shared" si="13"/>
        <v>3736.93290986667</v>
      </c>
      <c r="AA23" s="473"/>
    </row>
    <row r="24" ht="14" spans="1:27">
      <c r="A24" s="757">
        <v>20</v>
      </c>
      <c r="B24" s="757" t="s">
        <v>193</v>
      </c>
      <c r="C24" s="762">
        <v>180487.250000001</v>
      </c>
      <c r="D24" s="469">
        <v>12</v>
      </c>
      <c r="E24" s="470">
        <f t="shared" si="0"/>
        <v>2165847.00000001</v>
      </c>
      <c r="F24" s="470">
        <f>6922.5*12</f>
        <v>83070</v>
      </c>
      <c r="G24" s="470">
        <v>374638.9632</v>
      </c>
      <c r="H24" s="470"/>
      <c r="I24" s="470">
        <f t="shared" si="1"/>
        <v>1708138.03680001</v>
      </c>
      <c r="J24" s="470">
        <v>200000</v>
      </c>
      <c r="K24" s="470">
        <v>0.2</v>
      </c>
      <c r="L24" s="470">
        <f t="shared" si="2"/>
        <v>341627.607360002</v>
      </c>
      <c r="M24" s="470">
        <f t="shared" si="3"/>
        <v>541627.607360002</v>
      </c>
      <c r="N24" s="470">
        <f t="shared" si="4"/>
        <v>999336.570560002</v>
      </c>
      <c r="O24" s="470">
        <f t="shared" si="5"/>
        <v>1166510.42944001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12636.9815936019</v>
      </c>
      <c r="T24" s="470">
        <f t="shared" si="10"/>
        <v>0</v>
      </c>
      <c r="U24" s="470"/>
      <c r="V24" s="470">
        <f t="shared" si="11"/>
        <v>141636.981593602</v>
      </c>
      <c r="W24" s="471">
        <v>12</v>
      </c>
      <c r="X24" s="470">
        <f t="shared" si="12"/>
        <v>11803.0817994668</v>
      </c>
      <c r="Y24" s="470"/>
      <c r="Z24" s="470">
        <f t="shared" si="13"/>
        <v>11803.0817994668</v>
      </c>
      <c r="AA24" s="473"/>
    </row>
    <row r="25" ht="13" spans="1:27">
      <c r="F25" s="501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20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20">
      <c r="A2" s="609" t="s">
        <v>1056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20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20">
      <c r="A4" s="733"/>
      <c r="B4" s="734" t="s">
        <v>2</v>
      </c>
      <c r="C4" s="735" t="s">
        <v>3</v>
      </c>
      <c r="D4" s="736" t="s">
        <v>4</v>
      </c>
      <c r="E4" s="737" t="s">
        <v>5</v>
      </c>
      <c r="F4" s="737" t="s">
        <v>6</v>
      </c>
      <c r="G4" s="737" t="s">
        <v>7</v>
      </c>
      <c r="H4" s="737" t="s">
        <v>7</v>
      </c>
      <c r="I4" s="737" t="s">
        <v>8</v>
      </c>
      <c r="J4" s="738" t="s">
        <v>9</v>
      </c>
      <c r="K4" s="737" t="s">
        <v>10</v>
      </c>
      <c r="L4" s="737" t="s">
        <v>888</v>
      </c>
      <c r="M4" s="737" t="s">
        <v>889</v>
      </c>
      <c r="N4" s="737" t="s">
        <v>15</v>
      </c>
      <c r="O4" s="739" t="s">
        <v>16</v>
      </c>
      <c r="P4" s="737" t="s">
        <v>17</v>
      </c>
      <c r="Q4" s="740" t="s">
        <v>18</v>
      </c>
      <c r="R4" s="741" t="s">
        <v>1057</v>
      </c>
      <c r="S4" s="742" t="s">
        <v>1058</v>
      </c>
    </row>
    <row r="5" spans="1:20">
      <c r="A5" s="729"/>
      <c r="B5" s="729"/>
      <c r="C5" s="771"/>
      <c r="D5" s="771"/>
      <c r="E5" s="772" t="s">
        <v>21</v>
      </c>
      <c r="F5" s="772" t="s">
        <v>21</v>
      </c>
      <c r="G5" s="772" t="s">
        <v>21</v>
      </c>
      <c r="H5" s="772" t="s">
        <v>21</v>
      </c>
      <c r="I5" s="772" t="s">
        <v>21</v>
      </c>
      <c r="J5" s="773" t="s">
        <v>21</v>
      </c>
      <c r="K5" s="772" t="s">
        <v>21</v>
      </c>
      <c r="L5" s="772" t="s">
        <v>21</v>
      </c>
      <c r="M5" s="772" t="s">
        <v>21</v>
      </c>
      <c r="N5" s="772" t="s">
        <v>21</v>
      </c>
      <c r="O5" s="772" t="s">
        <v>21</v>
      </c>
      <c r="P5" s="772" t="s">
        <v>21</v>
      </c>
      <c r="Q5" s="774" t="s">
        <v>21</v>
      </c>
      <c r="R5" s="772" t="s">
        <v>21</v>
      </c>
      <c r="S5" s="773" t="s">
        <v>21</v>
      </c>
    </row>
    <row r="6" spans="1:20">
      <c r="A6" s="775" t="s">
        <v>22</v>
      </c>
      <c r="B6" s="771" t="s">
        <v>23</v>
      </c>
      <c r="C6" s="771"/>
      <c r="D6" s="771"/>
      <c r="E6" s="772"/>
      <c r="F6" s="776"/>
      <c r="G6" s="772"/>
      <c r="H6" s="772"/>
      <c r="I6" s="772"/>
      <c r="J6" s="773"/>
      <c r="K6" s="772"/>
      <c r="L6" s="772"/>
      <c r="M6" s="772"/>
      <c r="N6" s="772"/>
      <c r="O6" s="772"/>
      <c r="P6" s="772"/>
      <c r="Q6" s="774"/>
      <c r="R6" s="772"/>
      <c r="S6" s="773"/>
    </row>
    <row r="7" s="769" customFormat="1" ht="27" customHeight="1" spans="1:20">
      <c r="A7" s="745">
        <v>2</v>
      </c>
      <c r="B7" s="777" t="s">
        <v>914</v>
      </c>
      <c r="C7" s="778" t="s">
        <v>44</v>
      </c>
      <c r="D7" s="745" t="s">
        <v>39</v>
      </c>
      <c r="E7" s="747">
        <v>620675.583333333</v>
      </c>
      <c r="F7" s="747"/>
      <c r="G7" s="748">
        <f>160000</f>
        <v>160000</v>
      </c>
      <c r="H7" s="748"/>
      <c r="I7" s="747">
        <v>0</v>
      </c>
      <c r="J7" s="749">
        <f>SUM(E7:I7)</f>
        <v>780675.583333333</v>
      </c>
      <c r="K7" s="747"/>
      <c r="L7" s="747">
        <f>50000</f>
        <v>50000</v>
      </c>
      <c r="M7" s="747">
        <f>385000</f>
        <v>385000</v>
      </c>
      <c r="N7" s="747"/>
      <c r="O7" s="747">
        <v>119022.801706667</v>
      </c>
      <c r="P7" s="747">
        <v>49654.0466666667</v>
      </c>
      <c r="Q7" s="750">
        <f>O7+N7+M7+L7+K7+P7</f>
        <v>603676.848373334</v>
      </c>
      <c r="R7" s="747">
        <v>176998.73496</v>
      </c>
      <c r="S7" s="749">
        <f>J7-Q7</f>
        <v>176998.734959999</v>
      </c>
      <c r="T7" s="751"/>
    </row>
    <row r="8" s="769" customFormat="1" ht="30" customHeight="1" spans="1:20">
      <c r="A8" s="745">
        <v>3</v>
      </c>
      <c r="B8" s="779" t="s">
        <v>921</v>
      </c>
      <c r="C8" s="780" t="s">
        <v>217</v>
      </c>
      <c r="D8" s="781" t="s">
        <v>601</v>
      </c>
      <c r="E8" s="747">
        <v>428915.916666667</v>
      </c>
      <c r="F8" s="747">
        <v>0</v>
      </c>
      <c r="G8" s="748">
        <f>120000</f>
        <v>120000</v>
      </c>
      <c r="H8" s="748"/>
      <c r="I8" s="747">
        <v>0</v>
      </c>
      <c r="J8" s="749">
        <f>SUM(E8:I8)</f>
        <v>548915.916666667</v>
      </c>
      <c r="K8" s="747"/>
      <c r="L8" s="747">
        <f>20000+65000+65000</f>
        <v>150000</v>
      </c>
      <c r="M8" s="747">
        <v>0</v>
      </c>
      <c r="N8" s="747">
        <v>0</v>
      </c>
      <c r="O8" s="747">
        <v>77470.3741866667</v>
      </c>
      <c r="P8" s="747">
        <v>34313.2733333333</v>
      </c>
      <c r="Q8" s="750">
        <f>O8+N8+M8+L8+K8+P8</f>
        <v>261783.64752</v>
      </c>
      <c r="R8" s="747">
        <v>287132.269146667</v>
      </c>
      <c r="S8" s="749">
        <f>J8-Q8</f>
        <v>287132.269146667</v>
      </c>
      <c r="T8" s="751"/>
    </row>
    <row r="9" ht="18" spans="1:20">
      <c r="A9" s="10"/>
      <c r="B9" s="20" t="s">
        <v>120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8">
      <c r="A1" s="752" t="s">
        <v>546</v>
      </c>
      <c r="B1" s="752"/>
      <c r="C1" s="752"/>
      <c r="D1" s="752"/>
      <c r="E1" s="752"/>
      <c r="F1" s="752"/>
      <c r="G1" s="752"/>
    </row>
    <row r="2" ht="20" spans="1:8">
      <c r="A2" s="752" t="s">
        <v>1022</v>
      </c>
      <c r="B2" s="752"/>
      <c r="C2" s="752"/>
      <c r="D2" s="752"/>
      <c r="E2" s="752"/>
      <c r="F2" s="752"/>
      <c r="G2" s="752"/>
    </row>
    <row r="3" ht="14" spans="1:8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548</v>
      </c>
      <c r="B4" s="754" t="s">
        <v>549</v>
      </c>
      <c r="C4" s="754" t="s">
        <v>550</v>
      </c>
      <c r="D4" s="754" t="s">
        <v>552</v>
      </c>
      <c r="E4" s="754" t="s">
        <v>1059</v>
      </c>
      <c r="F4" s="754" t="s">
        <v>1060</v>
      </c>
      <c r="G4" s="755" t="s">
        <v>1061</v>
      </c>
      <c r="H4" s="755" t="s">
        <v>1062</v>
      </c>
    </row>
    <row r="5" ht="14" spans="1:8">
      <c r="A5" s="754"/>
      <c r="B5" s="754"/>
      <c r="C5" s="754"/>
      <c r="D5" s="754"/>
      <c r="E5" s="754"/>
      <c r="F5" s="756" t="s">
        <v>21</v>
      </c>
      <c r="G5" s="756" t="s">
        <v>21</v>
      </c>
      <c r="H5" s="756" t="s">
        <v>21</v>
      </c>
    </row>
    <row r="6" ht="35.1" customHeight="1" spans="1:8">
      <c r="A6" s="757">
        <v>1</v>
      </c>
      <c r="B6" s="758" t="s">
        <v>988</v>
      </c>
      <c r="C6" s="759" t="s">
        <v>678</v>
      </c>
      <c r="D6" s="1202" t="s">
        <v>700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989</v>
      </c>
      <c r="C7" s="765" t="s">
        <v>678</v>
      </c>
      <c r="D7" s="1202" t="s">
        <v>1024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990</v>
      </c>
      <c r="C8" s="765" t="s">
        <v>678</v>
      </c>
      <c r="D8" s="1202" t="s">
        <v>1024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991</v>
      </c>
      <c r="C9" s="765" t="s">
        <v>678</v>
      </c>
      <c r="D9" s="1202" t="s">
        <v>1024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992</v>
      </c>
      <c r="C10" s="765" t="s">
        <v>1026</v>
      </c>
      <c r="D10" s="1202" t="s">
        <v>1028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338</v>
      </c>
      <c r="C11" s="765" t="s">
        <v>1026</v>
      </c>
      <c r="D11" s="1202" t="s">
        <v>1030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993</v>
      </c>
      <c r="C12" s="765" t="s">
        <v>1026</v>
      </c>
      <c r="D12" s="1202" t="s">
        <v>1032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994</v>
      </c>
      <c r="C13" s="765" t="s">
        <v>1026</v>
      </c>
      <c r="D13" s="1202" t="s">
        <v>1032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995</v>
      </c>
      <c r="C14" s="765" t="s">
        <v>1026</v>
      </c>
      <c r="D14" s="1202" t="s">
        <v>711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996</v>
      </c>
      <c r="C15" s="765" t="s">
        <v>1026</v>
      </c>
      <c r="D15" s="1202" t="s">
        <v>711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997</v>
      </c>
      <c r="C16" s="765" t="s">
        <v>1035</v>
      </c>
      <c r="D16" s="1202" t="s">
        <v>1024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307</v>
      </c>
      <c r="C17" s="765" t="s">
        <v>1035</v>
      </c>
      <c r="D17" s="1202" t="s">
        <v>1024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998</v>
      </c>
      <c r="C18" s="765" t="s">
        <v>1035</v>
      </c>
      <c r="D18" s="1202" t="s">
        <v>711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999</v>
      </c>
      <c r="C19" s="765" t="s">
        <v>1036</v>
      </c>
      <c r="D19" s="1202" t="s">
        <v>1038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921</v>
      </c>
      <c r="C20" s="765" t="s">
        <v>1036</v>
      </c>
      <c r="D20" s="1202" t="s">
        <v>1038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1000</v>
      </c>
      <c r="C21" s="765" t="s">
        <v>1036</v>
      </c>
      <c r="D21" s="1202" t="s">
        <v>1032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1002</v>
      </c>
      <c r="C22" s="765" t="s">
        <v>722</v>
      </c>
      <c r="D22" s="1202" t="s">
        <v>1032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1055</v>
      </c>
      <c r="C23" s="765" t="s">
        <v>789</v>
      </c>
      <c r="D23" s="1202" t="s">
        <v>1030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1003</v>
      </c>
      <c r="C24" s="765" t="s">
        <v>1039</v>
      </c>
      <c r="D24" s="1202" t="s">
        <v>1028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193</v>
      </c>
      <c r="C25" s="765" t="s">
        <v>1041</v>
      </c>
      <c r="D25" s="1202" t="s">
        <v>711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8">
      <c r="A26" s="757"/>
      <c r="B26" s="767" t="s">
        <v>120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1056</v>
      </c>
      <c r="B2" s="729"/>
      <c r="C2" s="727"/>
      <c r="D2" s="727"/>
      <c r="E2" s="730"/>
      <c r="F2" s="730"/>
      <c r="G2" s="731"/>
      <c r="H2" s="731"/>
      <c r="I2" s="731"/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3"/>
      <c r="B4" s="734" t="s">
        <v>2</v>
      </c>
      <c r="C4" s="735" t="s">
        <v>3</v>
      </c>
      <c r="D4" s="736" t="s">
        <v>4</v>
      </c>
      <c r="E4" s="737" t="s">
        <v>5</v>
      </c>
      <c r="F4" s="737" t="s">
        <v>6</v>
      </c>
      <c r="G4" s="737" t="s">
        <v>7</v>
      </c>
      <c r="H4" s="737" t="s">
        <v>7</v>
      </c>
      <c r="I4" s="737" t="s">
        <v>8</v>
      </c>
      <c r="J4" s="738" t="s">
        <v>9</v>
      </c>
      <c r="K4" s="737" t="s">
        <v>10</v>
      </c>
      <c r="L4" s="737" t="s">
        <v>888</v>
      </c>
      <c r="M4" s="737" t="s">
        <v>889</v>
      </c>
      <c r="N4" s="737" t="s">
        <v>15</v>
      </c>
      <c r="O4" s="739" t="s">
        <v>16</v>
      </c>
      <c r="P4" s="737" t="s">
        <v>17</v>
      </c>
      <c r="Q4" s="740" t="s">
        <v>18</v>
      </c>
      <c r="R4" s="741" t="s">
        <v>1057</v>
      </c>
      <c r="S4" s="742" t="s">
        <v>1058</v>
      </c>
      <c r="T4" s="1"/>
    </row>
    <row r="5" ht="18" spans="1:20">
      <c r="A5" s="1"/>
      <c r="B5" s="1"/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508" t="s">
        <v>21</v>
      </c>
      <c r="R5" s="82" t="s">
        <v>21</v>
      </c>
      <c r="S5" s="507" t="s">
        <v>21</v>
      </c>
      <c r="T5" s="1"/>
    </row>
    <row r="6" ht="18" spans="1:20">
      <c r="A6" s="743" t="s">
        <v>22</v>
      </c>
      <c r="B6" s="744" t="s">
        <v>23</v>
      </c>
      <c r="C6" s="744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45">
        <v>25</v>
      </c>
      <c r="B7" s="746" t="s">
        <v>1063</v>
      </c>
      <c r="C7" s="282" t="s">
        <v>1064</v>
      </c>
      <c r="D7" s="745" t="s">
        <v>225</v>
      </c>
      <c r="E7" s="747">
        <v>255849</v>
      </c>
      <c r="F7" s="747"/>
      <c r="G7" s="748"/>
      <c r="H7" s="748">
        <f>60000</f>
        <v>60000</v>
      </c>
      <c r="I7" s="747"/>
      <c r="J7" s="749">
        <f>E7+F7+G7+H7+I7</f>
        <v>315849</v>
      </c>
      <c r="K7" s="747"/>
      <c r="L7" s="747"/>
      <c r="M7" s="747"/>
      <c r="N7" s="747"/>
      <c r="O7" s="747">
        <v>36790.6881066667</v>
      </c>
      <c r="P7" s="747">
        <v>20467.92</v>
      </c>
      <c r="Q7" s="750">
        <f>O7+N7+M7+L7+K7+P7</f>
        <v>57258.6081066667</v>
      </c>
      <c r="R7" s="747"/>
      <c r="S7" s="749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196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1065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699" t="s">
        <v>484</v>
      </c>
    </row>
    <row r="5" ht="17.25" customHeight="1" spans="1:5">
      <c r="C5" s="8"/>
      <c r="D5" s="8"/>
      <c r="E5" s="701" t="s">
        <v>21</v>
      </c>
    </row>
    <row r="6" customHeight="1" spans="1:5">
      <c r="A6" s="9" t="s">
        <v>22</v>
      </c>
      <c r="B6" s="8" t="s">
        <v>23</v>
      </c>
      <c r="C6" s="8"/>
      <c r="D6" s="8"/>
      <c r="E6" s="701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704">
        <v>540000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704">
        <v>180000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704">
        <v>180000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704">
        <v>180000</v>
      </c>
    </row>
    <row r="11" customHeight="1" spans="1:5">
      <c r="A11" s="10">
        <v>5</v>
      </c>
      <c r="B11" s="14" t="s">
        <v>300</v>
      </c>
      <c r="C11" s="4" t="s">
        <v>907</v>
      </c>
      <c r="D11" s="10" t="s">
        <v>29</v>
      </c>
      <c r="E11" s="704">
        <v>180000</v>
      </c>
    </row>
    <row r="12" customHeight="1" spans="1:5">
      <c r="A12" s="10">
        <v>6</v>
      </c>
      <c r="B12" s="11" t="s">
        <v>34</v>
      </c>
      <c r="C12" s="12" t="s">
        <v>910</v>
      </c>
      <c r="D12" s="15" t="s">
        <v>39</v>
      </c>
      <c r="E12" s="704">
        <v>126000</v>
      </c>
    </row>
    <row r="13" customHeight="1" spans="1:5">
      <c r="A13" s="10">
        <v>7</v>
      </c>
      <c r="B13" s="11" t="s">
        <v>37</v>
      </c>
      <c r="C13" s="4" t="s">
        <v>38</v>
      </c>
      <c r="D13" s="10" t="s">
        <v>42</v>
      </c>
      <c r="E13" s="704">
        <v>126000</v>
      </c>
    </row>
    <row r="14" customHeight="1" spans="1:5">
      <c r="A14" s="10">
        <v>8</v>
      </c>
      <c r="B14" s="11" t="s">
        <v>40</v>
      </c>
      <c r="C14" s="4" t="s">
        <v>643</v>
      </c>
      <c r="D14" s="15" t="s">
        <v>192</v>
      </c>
      <c r="E14" s="704">
        <v>90000</v>
      </c>
    </row>
    <row r="15" customHeight="1" spans="1:5">
      <c r="A15" s="10">
        <v>9</v>
      </c>
      <c r="B15" s="14" t="s">
        <v>43</v>
      </c>
      <c r="C15" s="17" t="s">
        <v>44</v>
      </c>
      <c r="D15" s="15" t="s">
        <v>42</v>
      </c>
      <c r="E15" s="704">
        <v>126000</v>
      </c>
    </row>
    <row r="16" customHeight="1" spans="1:5">
      <c r="A16" s="10">
        <v>10</v>
      </c>
      <c r="B16" s="11" t="s">
        <v>45</v>
      </c>
      <c r="C16" s="4" t="s">
        <v>46</v>
      </c>
      <c r="D16" s="10" t="s">
        <v>53</v>
      </c>
      <c r="E16" s="704">
        <v>90000</v>
      </c>
    </row>
    <row r="17" customHeight="1" spans="1:5">
      <c r="A17" s="10">
        <v>11</v>
      </c>
      <c r="B17" s="11" t="s">
        <v>48</v>
      </c>
      <c r="C17" s="4" t="s">
        <v>49</v>
      </c>
      <c r="D17" s="10" t="s">
        <v>42</v>
      </c>
      <c r="E17" s="704">
        <v>126000</v>
      </c>
    </row>
    <row r="18" customHeight="1" spans="1:5">
      <c r="A18" s="10">
        <v>12</v>
      </c>
      <c r="B18" s="11" t="s">
        <v>51</v>
      </c>
      <c r="C18" s="12" t="s">
        <v>61</v>
      </c>
      <c r="D18" s="15" t="s">
        <v>601</v>
      </c>
      <c r="E18" s="704">
        <v>90000</v>
      </c>
    </row>
    <row r="19" customHeight="1" spans="1:5">
      <c r="A19" s="10">
        <v>13</v>
      </c>
      <c r="B19" s="18" t="s">
        <v>54</v>
      </c>
      <c r="C19" s="4" t="s">
        <v>55</v>
      </c>
      <c r="D19" s="15" t="s">
        <v>59</v>
      </c>
      <c r="E19" s="704">
        <v>90000</v>
      </c>
    </row>
    <row r="20" customHeight="1" spans="1:5">
      <c r="A20" s="10">
        <v>14</v>
      </c>
      <c r="B20" s="18" t="s">
        <v>57</v>
      </c>
      <c r="C20" s="4" t="s">
        <v>58</v>
      </c>
      <c r="D20" s="15" t="s">
        <v>1001</v>
      </c>
      <c r="E20" s="704">
        <v>90000</v>
      </c>
    </row>
    <row r="21" customHeight="1" spans="1:5">
      <c r="A21" s="10">
        <v>15</v>
      </c>
      <c r="B21" s="18" t="s">
        <v>60</v>
      </c>
      <c r="C21" s="4" t="s">
        <v>61</v>
      </c>
      <c r="D21" s="15" t="s">
        <v>1001</v>
      </c>
      <c r="E21" s="704">
        <v>90000</v>
      </c>
    </row>
    <row r="22" ht="18.75" customHeight="1" spans="1:5">
      <c r="A22" s="10">
        <v>16</v>
      </c>
      <c r="B22" s="11" t="s">
        <v>65</v>
      </c>
      <c r="C22" s="12" t="s">
        <v>178</v>
      </c>
      <c r="D22" s="15" t="s">
        <v>70</v>
      </c>
      <c r="E22" s="704">
        <v>68000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180</v>
      </c>
      <c r="E23" s="704">
        <v>68000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180</v>
      </c>
      <c r="E24" s="704">
        <v>68000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704">
        <v>68000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81</v>
      </c>
      <c r="E26" s="704">
        <v>68000</v>
      </c>
    </row>
    <row r="27" ht="18.75" customHeight="1" spans="1:5">
      <c r="A27" s="10">
        <v>21</v>
      </c>
      <c r="B27" s="4" t="s">
        <v>478</v>
      </c>
      <c r="C27" s="4" t="s">
        <v>94</v>
      </c>
      <c r="D27" s="10" t="s">
        <v>86</v>
      </c>
      <c r="E27" s="704">
        <v>54000</v>
      </c>
    </row>
    <row r="28" ht="18.75" customHeight="1" spans="1:5">
      <c r="A28" s="10">
        <v>22</v>
      </c>
      <c r="B28" s="18" t="s">
        <v>79</v>
      </c>
      <c r="C28" s="12" t="s">
        <v>94</v>
      </c>
      <c r="D28" s="15" t="s">
        <v>86</v>
      </c>
      <c r="E28" s="704">
        <v>54000</v>
      </c>
    </row>
    <row r="29" customHeight="1" spans="1:5">
      <c r="A29" s="10">
        <v>23</v>
      </c>
      <c r="B29" s="11" t="s">
        <v>82</v>
      </c>
      <c r="C29" s="17" t="s">
        <v>69</v>
      </c>
      <c r="D29" s="10" t="s">
        <v>86</v>
      </c>
      <c r="E29" s="704">
        <v>54000</v>
      </c>
    </row>
    <row r="30" ht="18.75" customHeight="1" spans="1:5">
      <c r="A30" s="10">
        <v>24</v>
      </c>
      <c r="B30" s="18" t="s">
        <v>84</v>
      </c>
      <c r="C30" s="12" t="s">
        <v>85</v>
      </c>
      <c r="D30" s="15" t="s">
        <v>99</v>
      </c>
      <c r="E30" s="704">
        <v>54000</v>
      </c>
    </row>
    <row r="31" ht="18.75" customHeight="1" spans="1:5">
      <c r="A31" s="10">
        <v>25</v>
      </c>
      <c r="B31" s="18" t="s">
        <v>87</v>
      </c>
      <c r="C31" s="4" t="s">
        <v>88</v>
      </c>
      <c r="D31" s="10" t="s">
        <v>225</v>
      </c>
      <c r="E31" s="704">
        <v>54000</v>
      </c>
    </row>
    <row r="32" ht="18.75" customHeight="1" spans="1:5">
      <c r="A32" s="10">
        <v>26</v>
      </c>
      <c r="B32" s="18" t="s">
        <v>89</v>
      </c>
      <c r="C32" s="4" t="s">
        <v>88</v>
      </c>
      <c r="D32" s="10" t="s">
        <v>225</v>
      </c>
      <c r="E32" s="704">
        <v>54000</v>
      </c>
    </row>
    <row r="33" ht="18.75" customHeight="1" spans="1:5">
      <c r="A33" s="10">
        <v>27</v>
      </c>
      <c r="B33" s="18" t="s">
        <v>91</v>
      </c>
      <c r="C33" s="17" t="s">
        <v>646</v>
      </c>
      <c r="D33" s="15" t="s">
        <v>86</v>
      </c>
      <c r="E33" s="704">
        <v>54000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225</v>
      </c>
      <c r="E34" s="704">
        <v>54000</v>
      </c>
    </row>
    <row r="35" ht="18.75" customHeight="1" spans="1:5">
      <c r="A35" s="10">
        <v>29</v>
      </c>
      <c r="B35" s="18" t="s">
        <v>95</v>
      </c>
      <c r="C35" s="4" t="s">
        <v>647</v>
      </c>
      <c r="D35" s="10" t="s">
        <v>225</v>
      </c>
      <c r="E35" s="704">
        <v>54000</v>
      </c>
    </row>
    <row r="36" ht="18.75" customHeight="1" spans="1:5">
      <c r="A36" s="10">
        <v>30</v>
      </c>
      <c r="B36" s="18" t="s">
        <v>103</v>
      </c>
      <c r="C36" s="12" t="s">
        <v>104</v>
      </c>
      <c r="D36" s="15" t="s">
        <v>111</v>
      </c>
      <c r="E36" s="704">
        <v>54000</v>
      </c>
    </row>
    <row r="37" ht="18.75" customHeight="1" spans="1:5">
      <c r="A37" s="10">
        <v>31</v>
      </c>
      <c r="B37" s="18" t="s">
        <v>106</v>
      </c>
      <c r="C37" s="12" t="s">
        <v>107</v>
      </c>
      <c r="D37" s="15" t="s">
        <v>275</v>
      </c>
      <c r="E37" s="704">
        <v>54000</v>
      </c>
    </row>
    <row r="38" ht="26.25" customHeight="1" spans="1:5">
      <c r="A38" s="10"/>
      <c r="B38" s="20" t="s">
        <v>120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121</v>
      </c>
      <c r="C40" s="4"/>
      <c r="D40" s="15"/>
      <c r="E40" s="704"/>
    </row>
    <row r="41" ht="18.75" customHeight="1" spans="1:5">
      <c r="A41" s="10">
        <v>1</v>
      </c>
      <c r="B41" s="18" t="s">
        <v>122</v>
      </c>
      <c r="C41" s="4" t="s">
        <v>123</v>
      </c>
      <c r="D41" s="10" t="s">
        <v>124</v>
      </c>
      <c r="E41" s="704">
        <v>270000</v>
      </c>
    </row>
    <row r="42" ht="18.75" customHeight="1" spans="1:5">
      <c r="A42" s="10">
        <v>2</v>
      </c>
      <c r="B42" s="18" t="s">
        <v>127</v>
      </c>
      <c r="C42" s="4" t="s">
        <v>128</v>
      </c>
      <c r="D42" s="10" t="s">
        <v>81</v>
      </c>
      <c r="E42" s="704">
        <v>68000</v>
      </c>
    </row>
    <row r="43" ht="18.75" customHeight="1" spans="1:5">
      <c r="A43" s="10">
        <v>3</v>
      </c>
      <c r="B43" s="11" t="s">
        <v>129</v>
      </c>
      <c r="C43" s="4" t="s">
        <v>128</v>
      </c>
      <c r="D43" s="15" t="s">
        <v>75</v>
      </c>
      <c r="E43" s="704">
        <v>68000</v>
      </c>
    </row>
    <row r="44" ht="18.75" customHeight="1" spans="1:5">
      <c r="A44" s="10">
        <v>4</v>
      </c>
      <c r="B44" s="11" t="s">
        <v>133</v>
      </c>
      <c r="C44" s="4" t="s">
        <v>134</v>
      </c>
      <c r="D44" s="15" t="s">
        <v>225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137</v>
      </c>
      <c r="C47" s="5"/>
      <c r="D47" s="24"/>
      <c r="E47" s="707"/>
    </row>
    <row r="48" customHeight="1" spans="1:5">
      <c r="A48" s="10">
        <v>1</v>
      </c>
      <c r="B48" s="11" t="s">
        <v>912</v>
      </c>
      <c r="C48" s="4" t="s">
        <v>913</v>
      </c>
      <c r="D48" s="10" t="s">
        <v>124</v>
      </c>
      <c r="E48" s="704">
        <v>0</v>
      </c>
    </row>
    <row r="49" customHeight="1" spans="1:5">
      <c r="A49" s="10">
        <v>2</v>
      </c>
      <c r="B49" s="11" t="s">
        <v>914</v>
      </c>
      <c r="C49" s="4" t="s">
        <v>44</v>
      </c>
      <c r="D49" s="10" t="s">
        <v>39</v>
      </c>
      <c r="E49" s="704">
        <v>0</v>
      </c>
    </row>
    <row r="50" customHeight="1" spans="1:5">
      <c r="A50" s="10">
        <v>3</v>
      </c>
      <c r="B50" s="11" t="s">
        <v>138</v>
      </c>
      <c r="C50" s="4" t="s">
        <v>648</v>
      </c>
      <c r="D50" s="10" t="s">
        <v>210</v>
      </c>
      <c r="E50" s="704">
        <v>180000</v>
      </c>
    </row>
    <row r="51" customHeight="1" spans="1:5">
      <c r="A51" s="10">
        <v>4</v>
      </c>
      <c r="B51" s="11" t="s">
        <v>141</v>
      </c>
      <c r="C51" s="4" t="s">
        <v>145</v>
      </c>
      <c r="D51" s="10" t="s">
        <v>39</v>
      </c>
      <c r="E51" s="704">
        <v>126000</v>
      </c>
    </row>
    <row r="52" customHeight="1" spans="1:5">
      <c r="A52" s="10">
        <v>5</v>
      </c>
      <c r="B52" s="11" t="s">
        <v>144</v>
      </c>
      <c r="C52" s="4" t="s">
        <v>145</v>
      </c>
      <c r="D52" s="10" t="s">
        <v>39</v>
      </c>
      <c r="E52" s="704">
        <v>126000</v>
      </c>
    </row>
    <row r="53" customHeight="1" spans="1:5">
      <c r="A53" s="10">
        <v>6</v>
      </c>
      <c r="B53" s="11" t="s">
        <v>146</v>
      </c>
      <c r="C53" s="4" t="s">
        <v>145</v>
      </c>
      <c r="D53" s="10" t="s">
        <v>42</v>
      </c>
      <c r="E53" s="704">
        <v>126000</v>
      </c>
    </row>
    <row r="54" customHeight="1" spans="1:5">
      <c r="A54" s="10">
        <v>7</v>
      </c>
      <c r="B54" s="14" t="s">
        <v>147</v>
      </c>
      <c r="C54" s="4" t="s">
        <v>145</v>
      </c>
      <c r="D54" s="10" t="s">
        <v>42</v>
      </c>
      <c r="E54" s="704">
        <v>126000</v>
      </c>
    </row>
    <row r="55" customHeight="1" spans="1:5">
      <c r="A55" s="10">
        <v>8</v>
      </c>
      <c r="B55" s="11" t="s">
        <v>151</v>
      </c>
      <c r="C55" s="4" t="s">
        <v>152</v>
      </c>
      <c r="D55" s="10" t="s">
        <v>75</v>
      </c>
      <c r="E55" s="704">
        <v>68000</v>
      </c>
    </row>
    <row r="56" customHeight="1" spans="1:5">
      <c r="A56" s="10">
        <v>9</v>
      </c>
      <c r="B56" s="11" t="s">
        <v>155</v>
      </c>
      <c r="C56" s="4" t="s">
        <v>152</v>
      </c>
      <c r="D56" s="10" t="s">
        <v>99</v>
      </c>
      <c r="E56" s="704">
        <v>54000</v>
      </c>
    </row>
    <row r="57" customHeight="1" spans="1:5">
      <c r="A57" s="10">
        <v>10</v>
      </c>
      <c r="B57" s="11" t="s">
        <v>157</v>
      </c>
      <c r="C57" s="4" t="s">
        <v>152</v>
      </c>
      <c r="D57" s="10" t="s">
        <v>99</v>
      </c>
      <c r="E57" s="704">
        <v>54000</v>
      </c>
    </row>
    <row r="58" ht="25.5" customHeight="1" spans="1:5">
      <c r="A58" s="10"/>
      <c r="B58" s="20" t="s">
        <v>120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159</v>
      </c>
      <c r="C60" s="21"/>
      <c r="D60" s="21"/>
      <c r="E60" s="711"/>
    </row>
    <row r="61" customHeight="1" spans="1:5">
      <c r="A61" s="10">
        <v>1</v>
      </c>
      <c r="B61" s="11" t="s">
        <v>916</v>
      </c>
      <c r="C61" s="12" t="s">
        <v>161</v>
      </c>
      <c r="D61" s="15" t="s">
        <v>124</v>
      </c>
      <c r="E61" s="704">
        <v>270000</v>
      </c>
    </row>
    <row r="62" customHeight="1" spans="1:5">
      <c r="A62" s="10">
        <v>2</v>
      </c>
      <c r="B62" s="11" t="s">
        <v>162</v>
      </c>
      <c r="C62" s="12" t="s">
        <v>485</v>
      </c>
      <c r="D62" s="15" t="s">
        <v>486</v>
      </c>
      <c r="E62" s="704">
        <v>126000</v>
      </c>
    </row>
    <row r="63" customHeight="1" spans="1:5">
      <c r="A63" s="10"/>
      <c r="B63" s="20" t="s">
        <v>120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164</v>
      </c>
      <c r="C65" s="21"/>
      <c r="D65" s="21"/>
      <c r="E65" s="711"/>
    </row>
    <row r="66" customHeight="1" spans="1:5">
      <c r="A66" s="10">
        <v>1</v>
      </c>
      <c r="B66" s="11" t="s">
        <v>917</v>
      </c>
      <c r="C66" s="17" t="s">
        <v>918</v>
      </c>
      <c r="D66" s="10" t="s">
        <v>124</v>
      </c>
      <c r="E66" s="704">
        <v>270000</v>
      </c>
    </row>
    <row r="67" customHeight="1" spans="1:5">
      <c r="A67" s="10">
        <v>2</v>
      </c>
      <c r="B67" s="351" t="s">
        <v>919</v>
      </c>
      <c r="C67" s="17" t="s">
        <v>920</v>
      </c>
      <c r="D67" s="15" t="s">
        <v>50</v>
      </c>
      <c r="E67" s="704">
        <v>126000</v>
      </c>
    </row>
    <row r="68" customHeight="1" spans="1:5">
      <c r="A68" s="10">
        <v>3</v>
      </c>
      <c r="B68" s="11" t="s">
        <v>167</v>
      </c>
      <c r="C68" s="4" t="s">
        <v>52</v>
      </c>
      <c r="D68" s="10" t="s">
        <v>53</v>
      </c>
      <c r="E68" s="704">
        <v>90000</v>
      </c>
    </row>
    <row r="69" customHeight="1" spans="1:5">
      <c r="A69" s="10">
        <v>4</v>
      </c>
      <c r="B69" s="18" t="s">
        <v>921</v>
      </c>
      <c r="C69" s="17" t="s">
        <v>217</v>
      </c>
      <c r="D69" s="15" t="s">
        <v>601</v>
      </c>
      <c r="E69" s="704">
        <v>0</v>
      </c>
    </row>
    <row r="70" customHeight="1" spans="1:5">
      <c r="A70" s="10">
        <v>7</v>
      </c>
      <c r="B70" s="11" t="s">
        <v>171</v>
      </c>
      <c r="C70" s="4" t="s">
        <v>152</v>
      </c>
      <c r="D70" s="10" t="s">
        <v>131</v>
      </c>
      <c r="E70" s="704">
        <v>68000</v>
      </c>
    </row>
    <row r="71" customHeight="1" spans="1:5">
      <c r="A71" s="10">
        <v>8</v>
      </c>
      <c r="B71" s="11" t="s">
        <v>172</v>
      </c>
      <c r="C71" s="17" t="s">
        <v>72</v>
      </c>
      <c r="D71" s="10" t="s">
        <v>131</v>
      </c>
      <c r="E71" s="704">
        <v>68000</v>
      </c>
    </row>
    <row r="72" customHeight="1" spans="1:5">
      <c r="A72" s="10">
        <v>9</v>
      </c>
      <c r="B72" s="11" t="s">
        <v>174</v>
      </c>
      <c r="C72" s="17" t="s">
        <v>72</v>
      </c>
      <c r="D72" s="10" t="s">
        <v>131</v>
      </c>
      <c r="E72" s="704">
        <v>68000</v>
      </c>
    </row>
    <row r="73" customHeight="1" spans="1:5">
      <c r="A73" s="10">
        <v>10</v>
      </c>
      <c r="B73" s="11" t="s">
        <v>175</v>
      </c>
      <c r="C73" s="4" t="s">
        <v>649</v>
      </c>
      <c r="D73" s="10" t="s">
        <v>70</v>
      </c>
      <c r="E73" s="704">
        <v>68000</v>
      </c>
    </row>
    <row r="74" ht="21.6" customHeight="1" spans="1:5">
      <c r="A74" s="10">
        <v>11</v>
      </c>
      <c r="B74" s="11" t="s">
        <v>179</v>
      </c>
      <c r="C74" s="4" t="s">
        <v>152</v>
      </c>
      <c r="D74" s="10" t="s">
        <v>75</v>
      </c>
      <c r="E74" s="704">
        <v>68000</v>
      </c>
    </row>
    <row r="75" ht="27" customHeight="1" spans="1:5">
      <c r="A75" s="10"/>
      <c r="B75" s="20" t="s">
        <v>120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183</v>
      </c>
      <c r="C77" s="21"/>
      <c r="D77" s="21"/>
      <c r="E77" s="711"/>
    </row>
    <row r="78" customHeight="1" spans="1:5">
      <c r="A78" s="10">
        <v>1</v>
      </c>
      <c r="B78" s="11" t="s">
        <v>184</v>
      </c>
      <c r="C78" s="4" t="s">
        <v>185</v>
      </c>
      <c r="D78" s="10" t="s">
        <v>124</v>
      </c>
      <c r="E78" s="704">
        <v>270000</v>
      </c>
    </row>
    <row r="79" customHeight="1" spans="1:5">
      <c r="A79" s="10">
        <v>2</v>
      </c>
      <c r="B79" s="11" t="s">
        <v>188</v>
      </c>
      <c r="C79" s="4" t="s">
        <v>189</v>
      </c>
      <c r="D79" s="10" t="s">
        <v>42</v>
      </c>
      <c r="E79" s="704">
        <v>126000</v>
      </c>
    </row>
    <row r="80" customHeight="1" spans="1:5">
      <c r="A80" s="10">
        <v>3</v>
      </c>
      <c r="B80" s="11" t="s">
        <v>190</v>
      </c>
      <c r="C80" s="4" t="s">
        <v>191</v>
      </c>
      <c r="D80" s="15" t="s">
        <v>214</v>
      </c>
      <c r="E80" s="704">
        <v>90000</v>
      </c>
    </row>
    <row r="81" customHeight="1" spans="1:5">
      <c r="A81" s="10">
        <v>4</v>
      </c>
      <c r="B81" s="11" t="s">
        <v>197</v>
      </c>
      <c r="C81" s="4" t="s">
        <v>198</v>
      </c>
      <c r="D81" s="10" t="s">
        <v>180</v>
      </c>
      <c r="E81" s="704">
        <v>68000</v>
      </c>
    </row>
    <row r="82" customHeight="1" spans="1:5">
      <c r="A82" s="10">
        <v>5</v>
      </c>
      <c r="B82" s="11" t="s">
        <v>201</v>
      </c>
      <c r="C82" s="4" t="s">
        <v>182</v>
      </c>
      <c r="D82" s="10" t="s">
        <v>99</v>
      </c>
      <c r="E82" s="704">
        <v>54000</v>
      </c>
    </row>
    <row r="83" customHeight="1" spans="1:5">
      <c r="A83" s="10">
        <v>6</v>
      </c>
      <c r="B83" s="11" t="s">
        <v>203</v>
      </c>
      <c r="C83" s="4" t="s">
        <v>204</v>
      </c>
      <c r="D83" s="10" t="s">
        <v>111</v>
      </c>
      <c r="E83" s="704">
        <v>54000</v>
      </c>
    </row>
    <row r="84" customHeight="1" spans="1:5">
      <c r="A84" s="10"/>
      <c r="B84" s="20" t="s">
        <v>120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205</v>
      </c>
      <c r="C86" s="25"/>
      <c r="D86" s="21"/>
      <c r="E86" s="711"/>
    </row>
    <row r="87" customHeight="1" spans="1:5">
      <c r="A87" s="10">
        <v>1</v>
      </c>
      <c r="B87" s="11" t="s">
        <v>208</v>
      </c>
      <c r="C87" s="4" t="s">
        <v>145</v>
      </c>
      <c r="D87" s="10" t="s">
        <v>39</v>
      </c>
      <c r="E87" s="704">
        <v>126000</v>
      </c>
    </row>
    <row r="88" customHeight="1" spans="1:5">
      <c r="A88" s="10">
        <v>2</v>
      </c>
      <c r="B88" s="11" t="s">
        <v>206</v>
      </c>
      <c r="C88" s="4" t="s">
        <v>145</v>
      </c>
      <c r="D88" s="10" t="s">
        <v>39</v>
      </c>
      <c r="E88" s="704">
        <v>126000</v>
      </c>
    </row>
    <row r="89" customHeight="1" spans="1:5">
      <c r="A89" s="10">
        <v>3</v>
      </c>
      <c r="B89" s="11" t="s">
        <v>479</v>
      </c>
      <c r="C89" s="4" t="s">
        <v>145</v>
      </c>
      <c r="D89" s="10" t="s">
        <v>42</v>
      </c>
      <c r="E89" s="704">
        <v>126000</v>
      </c>
    </row>
    <row r="90" ht="21.6" customHeight="1" spans="1:5">
      <c r="A90" s="10">
        <v>4</v>
      </c>
      <c r="B90" s="11" t="s">
        <v>211</v>
      </c>
      <c r="C90" s="4" t="s">
        <v>52</v>
      </c>
      <c r="D90" s="15" t="s">
        <v>53</v>
      </c>
      <c r="E90" s="704">
        <v>90000</v>
      </c>
    </row>
    <row r="91" ht="21.6" customHeight="1" spans="1:5">
      <c r="A91" s="10">
        <v>5</v>
      </c>
      <c r="B91" s="11" t="s">
        <v>212</v>
      </c>
      <c r="C91" s="4" t="s">
        <v>52</v>
      </c>
      <c r="D91" s="15" t="s">
        <v>53</v>
      </c>
      <c r="E91" s="704">
        <v>90000</v>
      </c>
    </row>
    <row r="92" ht="21.6" customHeight="1" spans="1:5">
      <c r="A92" s="10">
        <v>6</v>
      </c>
      <c r="B92" s="11" t="s">
        <v>213</v>
      </c>
      <c r="C92" s="12" t="s">
        <v>52</v>
      </c>
      <c r="D92" s="15" t="s">
        <v>600</v>
      </c>
      <c r="E92" s="704">
        <v>90000</v>
      </c>
    </row>
    <row r="93" ht="21.6" customHeight="1" spans="1:5">
      <c r="A93" s="10">
        <v>7</v>
      </c>
      <c r="B93" s="11" t="s">
        <v>215</v>
      </c>
      <c r="C93" s="17" t="s">
        <v>72</v>
      </c>
      <c r="D93" s="15" t="s">
        <v>131</v>
      </c>
      <c r="E93" s="704">
        <v>68000</v>
      </c>
    </row>
    <row r="94" ht="21.6" customHeight="1" spans="1:5">
      <c r="A94" s="10">
        <v>8</v>
      </c>
      <c r="B94" s="11" t="s">
        <v>216</v>
      </c>
      <c r="C94" s="17" t="s">
        <v>217</v>
      </c>
      <c r="D94" s="15" t="s">
        <v>67</v>
      </c>
      <c r="E94" s="704">
        <v>90000</v>
      </c>
    </row>
    <row r="95" ht="21.6" customHeight="1" spans="1:5">
      <c r="A95" s="10">
        <v>9</v>
      </c>
      <c r="B95" s="11" t="s">
        <v>220</v>
      </c>
      <c r="C95" s="4" t="s">
        <v>221</v>
      </c>
      <c r="D95" s="10" t="s">
        <v>75</v>
      </c>
      <c r="E95" s="714">
        <v>68000</v>
      </c>
    </row>
    <row r="96" ht="21.6" customHeight="1" spans="1:5">
      <c r="A96" s="10">
        <v>10</v>
      </c>
      <c r="B96" s="11" t="s">
        <v>224</v>
      </c>
      <c r="C96" s="17" t="s">
        <v>505</v>
      </c>
      <c r="D96" s="15" t="s">
        <v>108</v>
      </c>
      <c r="E96" s="714">
        <v>54000</v>
      </c>
    </row>
    <row r="97" customHeight="1" spans="1:5">
      <c r="A97" s="10"/>
      <c r="B97" s="20" t="s">
        <v>120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226</v>
      </c>
      <c r="C99" s="21"/>
      <c r="D99" s="21"/>
      <c r="E99" s="711"/>
    </row>
    <row r="100" customHeight="1" spans="1:5">
      <c r="A100" s="10">
        <v>1</v>
      </c>
      <c r="B100" s="14" t="s">
        <v>227</v>
      </c>
      <c r="C100" s="4" t="s">
        <v>650</v>
      </c>
      <c r="D100" s="16" t="s">
        <v>304</v>
      </c>
      <c r="E100" s="704">
        <v>270000</v>
      </c>
    </row>
    <row r="101" customHeight="1" spans="1:5">
      <c r="A101" s="10">
        <v>2</v>
      </c>
      <c r="B101" s="11" t="s">
        <v>229</v>
      </c>
      <c r="C101" s="4" t="s">
        <v>230</v>
      </c>
      <c r="D101" s="15" t="s">
        <v>214</v>
      </c>
      <c r="E101" s="704">
        <v>90000</v>
      </c>
    </row>
    <row r="102" customHeight="1" spans="1:5">
      <c r="A102" s="10">
        <v>3</v>
      </c>
      <c r="B102" s="11" t="s">
        <v>235</v>
      </c>
      <c r="C102" s="4" t="s">
        <v>651</v>
      </c>
      <c r="D102" s="15" t="s">
        <v>70</v>
      </c>
      <c r="E102" s="704">
        <v>68000</v>
      </c>
    </row>
    <row r="103" customHeight="1" spans="1:5">
      <c r="A103" s="10">
        <v>4</v>
      </c>
      <c r="B103" s="11" t="s">
        <v>236</v>
      </c>
      <c r="C103" s="4" t="s">
        <v>200</v>
      </c>
      <c r="D103" s="15" t="s">
        <v>75</v>
      </c>
      <c r="E103" s="714">
        <v>68000</v>
      </c>
    </row>
    <row r="104" customHeight="1" spans="1:5">
      <c r="A104" s="4"/>
      <c r="B104" s="20" t="s">
        <v>120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239</v>
      </c>
      <c r="C106" s="4"/>
      <c r="D106" s="4"/>
      <c r="E106" s="715"/>
    </row>
    <row r="107" customHeight="1" spans="1:5">
      <c r="A107" s="4">
        <v>1</v>
      </c>
      <c r="B107" s="11" t="s">
        <v>652</v>
      </c>
      <c r="C107" s="12" t="s">
        <v>241</v>
      </c>
      <c r="D107" s="15" t="s">
        <v>124</v>
      </c>
      <c r="E107" s="704">
        <v>270000</v>
      </c>
    </row>
    <row r="108" customHeight="1" spans="1:5">
      <c r="A108" s="4">
        <v>2</v>
      </c>
      <c r="B108" s="11" t="s">
        <v>242</v>
      </c>
      <c r="C108" s="4" t="s">
        <v>243</v>
      </c>
      <c r="D108" s="16" t="s">
        <v>36</v>
      </c>
      <c r="E108" s="704">
        <v>180000</v>
      </c>
    </row>
    <row r="109" customHeight="1" spans="1:5">
      <c r="A109" s="4">
        <v>3</v>
      </c>
      <c r="B109" s="11" t="s">
        <v>244</v>
      </c>
      <c r="C109" s="4" t="s">
        <v>653</v>
      </c>
      <c r="D109" s="10" t="s">
        <v>56</v>
      </c>
      <c r="E109" s="704">
        <v>90000</v>
      </c>
    </row>
    <row r="110" customHeight="1" spans="1:5">
      <c r="A110" s="4">
        <v>4</v>
      </c>
      <c r="B110" s="11" t="s">
        <v>246</v>
      </c>
      <c r="C110" s="4" t="s">
        <v>653</v>
      </c>
      <c r="D110" s="10" t="s">
        <v>56</v>
      </c>
      <c r="E110" s="704">
        <v>90000</v>
      </c>
    </row>
    <row r="111" customHeight="1" spans="1:5">
      <c r="A111" s="4">
        <v>5</v>
      </c>
      <c r="B111" s="11" t="s">
        <v>249</v>
      </c>
      <c r="C111" s="4" t="s">
        <v>250</v>
      </c>
      <c r="D111" s="15" t="s">
        <v>928</v>
      </c>
      <c r="E111" s="714">
        <v>54000</v>
      </c>
    </row>
    <row r="112" customHeight="1" spans="1:5">
      <c r="A112" s="4">
        <v>6</v>
      </c>
      <c r="B112" s="18" t="s">
        <v>252</v>
      </c>
      <c r="C112" s="4" t="s">
        <v>250</v>
      </c>
      <c r="D112" s="10" t="s">
        <v>506</v>
      </c>
      <c r="E112" s="714">
        <v>54000</v>
      </c>
    </row>
    <row r="113" customHeight="1" spans="1:5">
      <c r="A113" s="4">
        <v>7</v>
      </c>
      <c r="B113" s="18" t="s">
        <v>253</v>
      </c>
      <c r="C113" s="4" t="s">
        <v>250</v>
      </c>
      <c r="D113" s="15" t="s">
        <v>108</v>
      </c>
      <c r="E113" s="714">
        <v>54000</v>
      </c>
    </row>
    <row r="114" ht="25.5" customHeight="1" spans="1:5">
      <c r="A114" s="4"/>
      <c r="B114" s="20" t="s">
        <v>120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257</v>
      </c>
      <c r="C116" s="21"/>
      <c r="D116" s="21"/>
      <c r="E116" s="711"/>
    </row>
    <row r="117" customHeight="1" spans="1:5">
      <c r="A117" s="10">
        <v>1</v>
      </c>
      <c r="B117" s="14" t="s">
        <v>165</v>
      </c>
      <c r="C117" s="4" t="s">
        <v>145</v>
      </c>
      <c r="D117" s="10" t="s">
        <v>50</v>
      </c>
      <c r="E117" s="704">
        <v>126000</v>
      </c>
    </row>
    <row r="118" ht="18.75" customHeight="1" spans="1:5">
      <c r="A118" s="10">
        <v>2</v>
      </c>
      <c r="B118" s="11" t="s">
        <v>259</v>
      </c>
      <c r="C118" s="4" t="s">
        <v>260</v>
      </c>
      <c r="D118" s="15" t="s">
        <v>70</v>
      </c>
      <c r="E118" s="704">
        <v>68000</v>
      </c>
    </row>
    <row r="119" customHeight="1" spans="1:5">
      <c r="A119" s="10">
        <v>3</v>
      </c>
      <c r="B119" s="11" t="s">
        <v>193</v>
      </c>
      <c r="C119" s="12" t="s">
        <v>194</v>
      </c>
      <c r="D119" s="15" t="s">
        <v>67</v>
      </c>
      <c r="E119" s="704">
        <v>90000</v>
      </c>
    </row>
    <row r="120" ht="24.75" customHeight="1" spans="1:5">
      <c r="A120" s="4"/>
      <c r="B120" s="20" t="s">
        <v>120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268</v>
      </c>
      <c r="C122" s="21"/>
      <c r="D122" s="21"/>
      <c r="E122" s="711"/>
    </row>
    <row r="123" ht="24.75" customHeight="1" spans="1:5">
      <c r="A123" s="10">
        <v>1</v>
      </c>
      <c r="B123" s="14" t="s">
        <v>1005</v>
      </c>
      <c r="C123" s="4" t="s">
        <v>1006</v>
      </c>
      <c r="D123" s="10" t="s">
        <v>275</v>
      </c>
      <c r="E123" s="704">
        <v>54000</v>
      </c>
    </row>
    <row r="124" ht="24.75" customHeight="1" spans="1:5">
      <c r="A124" s="10">
        <v>2</v>
      </c>
      <c r="B124" s="11" t="s">
        <v>271</v>
      </c>
      <c r="C124" s="4" t="s">
        <v>272</v>
      </c>
      <c r="D124" s="10" t="s">
        <v>275</v>
      </c>
      <c r="E124" s="704">
        <v>54000</v>
      </c>
    </row>
    <row r="125" ht="24.75" customHeight="1" spans="1:5">
      <c r="A125" s="10">
        <v>3</v>
      </c>
      <c r="B125" s="11" t="s">
        <v>276</v>
      </c>
      <c r="C125" s="4" t="s">
        <v>277</v>
      </c>
      <c r="D125" s="10" t="s">
        <v>275</v>
      </c>
      <c r="E125" s="704">
        <v>54000</v>
      </c>
    </row>
    <row r="126" customHeight="1" spans="1:5">
      <c r="A126" s="4"/>
      <c r="B126" s="20" t="s">
        <v>120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278</v>
      </c>
      <c r="C128" s="21"/>
      <c r="D128" s="21"/>
      <c r="E128" s="711"/>
    </row>
    <row r="129" customHeight="1" spans="1:5">
      <c r="A129" s="4">
        <v>1</v>
      </c>
      <c r="B129" s="11" t="s">
        <v>279</v>
      </c>
      <c r="C129" s="12" t="s">
        <v>280</v>
      </c>
      <c r="D129" s="15" t="s">
        <v>124</v>
      </c>
      <c r="E129" s="704">
        <v>270000</v>
      </c>
    </row>
    <row r="130" customHeight="1" spans="1:5">
      <c r="A130" s="4">
        <v>2</v>
      </c>
      <c r="B130" s="11" t="s">
        <v>281</v>
      </c>
      <c r="C130" s="12" t="s">
        <v>654</v>
      </c>
      <c r="D130" s="15" t="s">
        <v>210</v>
      </c>
      <c r="E130" s="704">
        <v>180000</v>
      </c>
    </row>
    <row r="131" customHeight="1" spans="1:5">
      <c r="A131" s="4">
        <v>3</v>
      </c>
      <c r="B131" s="14" t="s">
        <v>283</v>
      </c>
      <c r="C131" s="12" t="s">
        <v>655</v>
      </c>
      <c r="D131" s="15" t="s">
        <v>39</v>
      </c>
      <c r="E131" s="704">
        <v>126000</v>
      </c>
    </row>
    <row r="132" customHeight="1" spans="1:5">
      <c r="A132" s="4">
        <v>4</v>
      </c>
      <c r="B132" s="11" t="s">
        <v>286</v>
      </c>
      <c r="C132" s="12" t="s">
        <v>288</v>
      </c>
      <c r="D132" s="15" t="s">
        <v>47</v>
      </c>
      <c r="E132" s="704">
        <v>90000</v>
      </c>
    </row>
    <row r="133" customHeight="1" spans="1:5">
      <c r="A133" s="4">
        <v>5</v>
      </c>
      <c r="B133" s="11" t="s">
        <v>287</v>
      </c>
      <c r="C133" s="12" t="s">
        <v>656</v>
      </c>
      <c r="D133" s="15" t="s">
        <v>53</v>
      </c>
      <c r="E133" s="704">
        <v>90000</v>
      </c>
    </row>
    <row r="134" customHeight="1" spans="1:5">
      <c r="A134" s="4">
        <v>6</v>
      </c>
      <c r="B134" s="11" t="s">
        <v>289</v>
      </c>
      <c r="C134" s="12" t="s">
        <v>288</v>
      </c>
      <c r="D134" s="15" t="s">
        <v>214</v>
      </c>
      <c r="E134" s="704">
        <v>90000</v>
      </c>
    </row>
    <row r="135" customHeight="1" spans="1:5">
      <c r="A135" s="4">
        <v>7</v>
      </c>
      <c r="B135" s="11" t="s">
        <v>292</v>
      </c>
      <c r="C135" s="12" t="s">
        <v>657</v>
      </c>
      <c r="D135" s="10" t="s">
        <v>86</v>
      </c>
      <c r="E135" s="704">
        <v>54000</v>
      </c>
    </row>
    <row r="136" customHeight="1" spans="1:5">
      <c r="A136" s="4">
        <v>8</v>
      </c>
      <c r="B136" s="18" t="s">
        <v>294</v>
      </c>
      <c r="C136" s="12" t="s">
        <v>295</v>
      </c>
      <c r="D136" s="15" t="s">
        <v>111</v>
      </c>
      <c r="E136" s="704">
        <v>54000</v>
      </c>
    </row>
    <row r="137" customHeight="1" spans="1:5">
      <c r="A137" s="4">
        <v>9</v>
      </c>
      <c r="B137" s="18" t="s">
        <v>296</v>
      </c>
      <c r="C137" s="12" t="s">
        <v>291</v>
      </c>
      <c r="D137" s="15" t="s">
        <v>111</v>
      </c>
      <c r="E137" s="704">
        <v>54000</v>
      </c>
    </row>
    <row r="138" customHeight="1" spans="1:5">
      <c r="A138" s="4">
        <v>10</v>
      </c>
      <c r="B138" s="18" t="s">
        <v>297</v>
      </c>
      <c r="C138" s="12" t="s">
        <v>295</v>
      </c>
      <c r="D138" s="15" t="s">
        <v>275</v>
      </c>
      <c r="E138" s="704">
        <v>54000</v>
      </c>
    </row>
    <row r="139" ht="28.5" customHeight="1" spans="1:5">
      <c r="A139" s="4"/>
      <c r="B139" s="20" t="s">
        <v>120</v>
      </c>
      <c r="C139" s="26" t="s">
        <v>658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299</v>
      </c>
      <c r="C141" s="12"/>
      <c r="D141" s="15"/>
      <c r="E141" s="704"/>
    </row>
    <row r="142" customHeight="1" spans="1:5">
      <c r="A142" s="27">
        <v>1</v>
      </c>
      <c r="B142" s="11" t="s">
        <v>931</v>
      </c>
      <c r="C142" s="12" t="s">
        <v>932</v>
      </c>
      <c r="D142" s="15" t="s">
        <v>124</v>
      </c>
      <c r="E142" s="704">
        <v>270000</v>
      </c>
    </row>
    <row r="143" customHeight="1" spans="1:5">
      <c r="A143" s="27">
        <v>2</v>
      </c>
      <c r="B143" s="14" t="s">
        <v>302</v>
      </c>
      <c r="C143" s="4" t="s">
        <v>488</v>
      </c>
      <c r="D143" s="16" t="s">
        <v>36</v>
      </c>
      <c r="E143" s="704">
        <v>180000</v>
      </c>
    </row>
    <row r="144" customHeight="1" spans="1:5">
      <c r="A144" s="27">
        <v>3</v>
      </c>
      <c r="B144" s="11" t="s">
        <v>305</v>
      </c>
      <c r="C144" s="12" t="s">
        <v>306</v>
      </c>
      <c r="D144" s="15" t="s">
        <v>42</v>
      </c>
      <c r="E144" s="704">
        <v>126000</v>
      </c>
    </row>
    <row r="145" customHeight="1" spans="1:5">
      <c r="A145" s="27">
        <v>4</v>
      </c>
      <c r="B145" s="11" t="s">
        <v>307</v>
      </c>
      <c r="C145" s="4" t="s">
        <v>489</v>
      </c>
      <c r="D145" s="15" t="s">
        <v>42</v>
      </c>
      <c r="E145" s="704">
        <v>126000</v>
      </c>
    </row>
    <row r="146" customHeight="1" spans="1:5">
      <c r="A146" s="27">
        <v>5</v>
      </c>
      <c r="B146" s="11" t="s">
        <v>309</v>
      </c>
      <c r="C146" s="4" t="s">
        <v>489</v>
      </c>
      <c r="D146" s="15" t="s">
        <v>42</v>
      </c>
      <c r="E146" s="704">
        <v>126000</v>
      </c>
    </row>
    <row r="147" customHeight="1" spans="1:5">
      <c r="A147" s="27">
        <v>6</v>
      </c>
      <c r="B147" s="11" t="s">
        <v>231</v>
      </c>
      <c r="C147" s="12" t="s">
        <v>232</v>
      </c>
      <c r="D147" s="15" t="s">
        <v>67</v>
      </c>
      <c r="E147" s="704">
        <v>90000</v>
      </c>
    </row>
    <row r="148" customHeight="1" spans="1:5">
      <c r="A148" s="27">
        <v>7</v>
      </c>
      <c r="B148" s="11" t="s">
        <v>312</v>
      </c>
      <c r="C148" s="12" t="s">
        <v>232</v>
      </c>
      <c r="D148" s="15" t="s">
        <v>67</v>
      </c>
      <c r="E148" s="704">
        <v>90000</v>
      </c>
    </row>
    <row r="149" customHeight="1" spans="1:5">
      <c r="A149" s="27">
        <v>8</v>
      </c>
      <c r="B149" s="11" t="s">
        <v>313</v>
      </c>
      <c r="C149" s="4" t="s">
        <v>659</v>
      </c>
      <c r="D149" s="15" t="s">
        <v>67</v>
      </c>
      <c r="E149" s="704">
        <v>90000</v>
      </c>
    </row>
    <row r="150" customHeight="1" spans="1:5">
      <c r="A150" s="27">
        <v>9</v>
      </c>
      <c r="B150" s="11" t="s">
        <v>315</v>
      </c>
      <c r="C150" s="12" t="s">
        <v>660</v>
      </c>
      <c r="D150" s="15" t="s">
        <v>70</v>
      </c>
      <c r="E150" s="704">
        <v>68000</v>
      </c>
    </row>
    <row r="151" customHeight="1" spans="1:5">
      <c r="A151" s="27">
        <v>10</v>
      </c>
      <c r="B151" s="11" t="s">
        <v>317</v>
      </c>
      <c r="C151" s="12" t="s">
        <v>318</v>
      </c>
      <c r="D151" s="15" t="s">
        <v>131</v>
      </c>
      <c r="E151" s="704">
        <v>68000</v>
      </c>
    </row>
    <row r="152" customHeight="1" spans="1:5">
      <c r="A152" s="27">
        <v>11</v>
      </c>
      <c r="B152" s="11" t="s">
        <v>62</v>
      </c>
      <c r="C152" s="12" t="s">
        <v>938</v>
      </c>
      <c r="D152" s="15" t="s">
        <v>173</v>
      </c>
      <c r="E152" s="704">
        <v>68000</v>
      </c>
    </row>
    <row r="153" customHeight="1" spans="1:5">
      <c r="A153" s="27">
        <v>12</v>
      </c>
      <c r="B153" s="18" t="s">
        <v>319</v>
      </c>
      <c r="C153" s="4" t="s">
        <v>320</v>
      </c>
      <c r="D153" s="15" t="s">
        <v>180</v>
      </c>
      <c r="E153" s="704">
        <v>68000</v>
      </c>
    </row>
    <row r="154" customHeight="1" spans="1:5">
      <c r="A154" s="27">
        <v>13</v>
      </c>
      <c r="B154" s="11" t="s">
        <v>321</v>
      </c>
      <c r="C154" s="4" t="s">
        <v>320</v>
      </c>
      <c r="D154" s="15" t="s">
        <v>180</v>
      </c>
      <c r="E154" s="704">
        <v>68000</v>
      </c>
    </row>
    <row r="155" customHeight="1" spans="1:5">
      <c r="A155" s="27">
        <v>14</v>
      </c>
      <c r="B155" s="11" t="s">
        <v>322</v>
      </c>
      <c r="C155" s="4" t="s">
        <v>320</v>
      </c>
      <c r="D155" s="15" t="s">
        <v>180</v>
      </c>
      <c r="E155" s="704">
        <v>68000</v>
      </c>
    </row>
    <row r="156" customHeight="1" spans="1:5">
      <c r="A156" s="27">
        <v>15</v>
      </c>
      <c r="B156" s="11" t="s">
        <v>324</v>
      </c>
      <c r="C156" s="4" t="s">
        <v>320</v>
      </c>
      <c r="D156" s="15" t="s">
        <v>180</v>
      </c>
      <c r="E156" s="704">
        <v>68000</v>
      </c>
    </row>
    <row r="157" customHeight="1" spans="1:5">
      <c r="A157" s="27">
        <v>16</v>
      </c>
      <c r="B157" s="11" t="s">
        <v>325</v>
      </c>
      <c r="C157" s="12" t="s">
        <v>326</v>
      </c>
      <c r="D157" s="15" t="s">
        <v>75</v>
      </c>
      <c r="E157" s="704">
        <v>68000</v>
      </c>
    </row>
    <row r="158" customHeight="1" spans="1:5">
      <c r="A158" s="27">
        <v>17</v>
      </c>
      <c r="B158" s="11" t="s">
        <v>327</v>
      </c>
      <c r="C158" s="12" t="s">
        <v>328</v>
      </c>
      <c r="D158" s="10" t="s">
        <v>99</v>
      </c>
      <c r="E158" s="704">
        <v>54000</v>
      </c>
    </row>
    <row r="159" customHeight="1" spans="1:5">
      <c r="A159" s="27">
        <v>18</v>
      </c>
      <c r="B159" s="11" t="s">
        <v>329</v>
      </c>
      <c r="C159" s="12" t="s">
        <v>661</v>
      </c>
      <c r="D159" s="15" t="s">
        <v>78</v>
      </c>
      <c r="E159" s="714">
        <v>68000</v>
      </c>
    </row>
    <row r="160" customHeight="1" spans="1:5">
      <c r="A160" s="27">
        <v>19</v>
      </c>
      <c r="B160" s="11" t="s">
        <v>331</v>
      </c>
      <c r="C160" s="12" t="s">
        <v>662</v>
      </c>
      <c r="D160" s="15" t="s">
        <v>86</v>
      </c>
      <c r="E160" s="714">
        <v>54000</v>
      </c>
    </row>
    <row r="161" customHeight="1" spans="1:5">
      <c r="A161" s="27">
        <v>20</v>
      </c>
      <c r="B161" s="11" t="s">
        <v>333</v>
      </c>
      <c r="C161" s="12" t="s">
        <v>663</v>
      </c>
      <c r="D161" s="15" t="s">
        <v>78</v>
      </c>
      <c r="E161" s="714">
        <v>68000</v>
      </c>
    </row>
    <row r="162" customHeight="1" spans="1:5">
      <c r="A162" s="27">
        <v>21</v>
      </c>
      <c r="B162" s="11" t="s">
        <v>334</v>
      </c>
      <c r="C162" s="12" t="s">
        <v>664</v>
      </c>
      <c r="D162" s="15" t="s">
        <v>86</v>
      </c>
      <c r="E162" s="714">
        <v>54000</v>
      </c>
    </row>
    <row r="163" customHeight="1" spans="1:5">
      <c r="A163" s="27">
        <v>22</v>
      </c>
      <c r="B163" s="18" t="s">
        <v>336</v>
      </c>
      <c r="C163" s="12" t="s">
        <v>337</v>
      </c>
      <c r="D163" s="15" t="s">
        <v>225</v>
      </c>
      <c r="E163" s="714">
        <v>54000</v>
      </c>
    </row>
    <row r="164" customHeight="1" spans="1:5">
      <c r="A164" s="27">
        <v>23</v>
      </c>
      <c r="B164" s="18" t="s">
        <v>338</v>
      </c>
      <c r="C164" s="12" t="s">
        <v>337</v>
      </c>
      <c r="D164" s="15" t="s">
        <v>225</v>
      </c>
      <c r="E164" s="714">
        <v>54000</v>
      </c>
    </row>
    <row r="165" customHeight="1" spans="1:5">
      <c r="A165" s="27">
        <v>24</v>
      </c>
      <c r="B165" s="18" t="s">
        <v>343</v>
      </c>
      <c r="C165" s="12" t="s">
        <v>344</v>
      </c>
      <c r="D165" s="15" t="s">
        <v>111</v>
      </c>
      <c r="E165" s="714">
        <v>54000</v>
      </c>
    </row>
    <row r="166" customHeight="1" spans="1:5">
      <c r="A166" s="27">
        <v>25</v>
      </c>
      <c r="B166" s="18" t="s">
        <v>345</v>
      </c>
      <c r="C166" s="12" t="s">
        <v>346</v>
      </c>
      <c r="D166" s="15" t="s">
        <v>111</v>
      </c>
      <c r="E166" s="714">
        <v>54000</v>
      </c>
    </row>
    <row r="167" customHeight="1" spans="1:5">
      <c r="A167" s="27">
        <v>26</v>
      </c>
      <c r="B167" s="18" t="s">
        <v>347</v>
      </c>
      <c r="C167" s="12" t="s">
        <v>348</v>
      </c>
      <c r="D167" s="15" t="s">
        <v>111</v>
      </c>
      <c r="E167" s="714">
        <v>54000</v>
      </c>
    </row>
    <row r="168" customHeight="1" spans="1:5">
      <c r="A168" s="27">
        <v>27</v>
      </c>
      <c r="B168" s="18" t="s">
        <v>349</v>
      </c>
      <c r="C168" s="12" t="s">
        <v>665</v>
      </c>
      <c r="D168" s="15" t="s">
        <v>108</v>
      </c>
      <c r="E168" s="714">
        <v>54000</v>
      </c>
    </row>
    <row r="169" customHeight="1" spans="1:5">
      <c r="A169" s="27">
        <v>28</v>
      </c>
      <c r="B169" s="18" t="s">
        <v>350</v>
      </c>
      <c r="C169" s="12" t="s">
        <v>346</v>
      </c>
      <c r="D169" s="15" t="s">
        <v>111</v>
      </c>
      <c r="E169" s="714">
        <v>54000</v>
      </c>
    </row>
    <row r="170" customHeight="1" spans="1:5">
      <c r="A170" s="27">
        <v>29</v>
      </c>
      <c r="B170" s="18" t="s">
        <v>351</v>
      </c>
      <c r="C170" s="12" t="s">
        <v>352</v>
      </c>
      <c r="D170" s="15" t="s">
        <v>275</v>
      </c>
      <c r="E170" s="714">
        <v>54000</v>
      </c>
    </row>
    <row r="171" customHeight="1" spans="1:5">
      <c r="A171" s="27">
        <v>30</v>
      </c>
      <c r="B171" s="18" t="s">
        <v>353</v>
      </c>
      <c r="C171" s="12" t="s">
        <v>352</v>
      </c>
      <c r="D171" s="15" t="s">
        <v>275</v>
      </c>
      <c r="E171" s="714">
        <v>54000</v>
      </c>
    </row>
    <row r="172" customHeight="1" spans="1:5">
      <c r="A172" s="27">
        <v>31</v>
      </c>
      <c r="B172" s="11" t="s">
        <v>359</v>
      </c>
      <c r="C172" s="12" t="s">
        <v>512</v>
      </c>
      <c r="D172" s="15" t="s">
        <v>384</v>
      </c>
      <c r="E172" s="714">
        <v>36000</v>
      </c>
    </row>
    <row r="173" customHeight="1" spans="1:5">
      <c r="A173" s="27">
        <v>32</v>
      </c>
      <c r="B173" s="11" t="s">
        <v>362</v>
      </c>
      <c r="C173" s="12" t="s">
        <v>512</v>
      </c>
      <c r="D173" s="15" t="s">
        <v>384</v>
      </c>
      <c r="E173" s="714">
        <v>36000</v>
      </c>
    </row>
    <row r="174" customHeight="1" spans="1:5">
      <c r="A174" s="27">
        <v>33</v>
      </c>
      <c r="B174" s="11" t="s">
        <v>666</v>
      </c>
      <c r="C174" s="12" t="s">
        <v>512</v>
      </c>
      <c r="D174" s="15" t="s">
        <v>384</v>
      </c>
      <c r="E174" s="714">
        <v>36000</v>
      </c>
    </row>
    <row r="175" customHeight="1" spans="1:5">
      <c r="A175" s="27">
        <v>34</v>
      </c>
      <c r="B175" s="11" t="s">
        <v>363</v>
      </c>
      <c r="C175" s="12" t="s">
        <v>512</v>
      </c>
      <c r="D175" s="15" t="s">
        <v>384</v>
      </c>
      <c r="E175" s="714">
        <v>36000</v>
      </c>
    </row>
    <row r="176" customHeight="1" spans="1:5">
      <c r="A176" s="27">
        <v>35</v>
      </c>
      <c r="B176" s="11" t="s">
        <v>364</v>
      </c>
      <c r="C176" s="12" t="s">
        <v>512</v>
      </c>
      <c r="D176" s="15" t="s">
        <v>384</v>
      </c>
      <c r="E176" s="714">
        <v>36000</v>
      </c>
    </row>
    <row r="177" customHeight="1" spans="1:5">
      <c r="A177" s="27">
        <v>36</v>
      </c>
      <c r="B177" s="11" t="s">
        <v>365</v>
      </c>
      <c r="C177" s="12" t="s">
        <v>512</v>
      </c>
      <c r="D177" s="15" t="s">
        <v>377</v>
      </c>
      <c r="E177" s="714">
        <v>36000</v>
      </c>
    </row>
    <row r="178" customHeight="1" spans="1:5">
      <c r="A178" s="27">
        <v>37</v>
      </c>
      <c r="B178" s="11" t="s">
        <v>367</v>
      </c>
      <c r="C178" s="12" t="s">
        <v>512</v>
      </c>
      <c r="D178" s="15" t="s">
        <v>377</v>
      </c>
      <c r="E178" s="714">
        <v>36000</v>
      </c>
    </row>
    <row r="179" customHeight="1" spans="1:5">
      <c r="A179" s="27">
        <v>38</v>
      </c>
      <c r="B179" s="14" t="s">
        <v>368</v>
      </c>
      <c r="C179" s="12" t="s">
        <v>512</v>
      </c>
      <c r="D179" s="15" t="s">
        <v>377</v>
      </c>
      <c r="E179" s="714">
        <v>36000</v>
      </c>
    </row>
    <row r="180" customHeight="1" spans="1:5">
      <c r="A180" s="27">
        <v>39</v>
      </c>
      <c r="B180" s="11" t="s">
        <v>369</v>
      </c>
      <c r="C180" s="12" t="s">
        <v>512</v>
      </c>
      <c r="D180" s="15" t="s">
        <v>377</v>
      </c>
      <c r="E180" s="714">
        <v>36000</v>
      </c>
    </row>
    <row r="181" customHeight="1" spans="1:5">
      <c r="A181" s="27">
        <v>40</v>
      </c>
      <c r="B181" s="18" t="s">
        <v>370</v>
      </c>
      <c r="C181" s="12" t="s">
        <v>512</v>
      </c>
      <c r="D181" s="15" t="s">
        <v>377</v>
      </c>
      <c r="E181" s="714">
        <v>36000</v>
      </c>
    </row>
    <row r="182" customHeight="1" spans="1:5">
      <c r="A182" s="27">
        <v>41</v>
      </c>
      <c r="B182" s="18" t="s">
        <v>357</v>
      </c>
      <c r="C182" s="12" t="s">
        <v>512</v>
      </c>
      <c r="D182" s="15" t="s">
        <v>377</v>
      </c>
      <c r="E182" s="714">
        <v>36000</v>
      </c>
    </row>
    <row r="183" customHeight="1" spans="1:5">
      <c r="A183" s="27">
        <v>42</v>
      </c>
      <c r="B183" s="11" t="s">
        <v>371</v>
      </c>
      <c r="C183" s="12" t="s">
        <v>360</v>
      </c>
      <c r="D183" s="15" t="s">
        <v>607</v>
      </c>
      <c r="E183" s="714">
        <v>36000</v>
      </c>
    </row>
    <row r="184" customHeight="1" spans="1:5">
      <c r="A184" s="27">
        <v>43</v>
      </c>
      <c r="B184" s="11" t="s">
        <v>373</v>
      </c>
      <c r="C184" s="12" t="s">
        <v>360</v>
      </c>
      <c r="D184" s="15" t="s">
        <v>607</v>
      </c>
      <c r="E184" s="714">
        <v>36000</v>
      </c>
    </row>
    <row r="185" customHeight="1" spans="1:5">
      <c r="A185" s="27">
        <v>44</v>
      </c>
      <c r="B185" s="18" t="s">
        <v>374</v>
      </c>
      <c r="C185" s="12" t="s">
        <v>360</v>
      </c>
      <c r="D185" s="15" t="s">
        <v>606</v>
      </c>
      <c r="E185" s="714">
        <v>36000</v>
      </c>
    </row>
    <row r="186" customHeight="1" spans="1:5">
      <c r="A186" s="27">
        <v>45</v>
      </c>
      <c r="B186" s="11" t="s">
        <v>376</v>
      </c>
      <c r="C186" s="12" t="s">
        <v>360</v>
      </c>
      <c r="D186" s="15" t="s">
        <v>607</v>
      </c>
      <c r="E186" s="714">
        <v>36000</v>
      </c>
    </row>
    <row r="187" customHeight="1" spans="1:5">
      <c r="A187" s="27">
        <v>46</v>
      </c>
      <c r="B187" s="11" t="s">
        <v>378</v>
      </c>
      <c r="C187" s="12" t="s">
        <v>514</v>
      </c>
      <c r="D187" s="15" t="s">
        <v>669</v>
      </c>
      <c r="E187" s="714">
        <v>36000</v>
      </c>
    </row>
    <row r="188" customHeight="1" spans="1:5">
      <c r="A188" s="27">
        <v>47</v>
      </c>
      <c r="B188" s="11" t="s">
        <v>379</v>
      </c>
      <c r="C188" s="12" t="s">
        <v>514</v>
      </c>
      <c r="D188" s="15" t="s">
        <v>669</v>
      </c>
      <c r="E188" s="714">
        <v>36000</v>
      </c>
    </row>
    <row r="189" customHeight="1" spans="1:5">
      <c r="A189" s="27">
        <v>48</v>
      </c>
      <c r="B189" s="11" t="s">
        <v>380</v>
      </c>
      <c r="C189" s="12" t="s">
        <v>514</v>
      </c>
      <c r="D189" s="15" t="s">
        <v>669</v>
      </c>
      <c r="E189" s="714">
        <v>36000</v>
      </c>
    </row>
    <row r="190" customHeight="1" spans="1:5">
      <c r="A190" s="27">
        <v>49</v>
      </c>
      <c r="B190" s="11" t="s">
        <v>381</v>
      </c>
      <c r="C190" s="12" t="s">
        <v>514</v>
      </c>
      <c r="D190" s="15" t="s">
        <v>669</v>
      </c>
      <c r="E190" s="714">
        <v>36000</v>
      </c>
    </row>
    <row r="191" customHeight="1" spans="1:5">
      <c r="A191" s="27">
        <v>50</v>
      </c>
      <c r="B191" s="11" t="s">
        <v>382</v>
      </c>
      <c r="C191" s="12" t="s">
        <v>514</v>
      </c>
      <c r="D191" s="15" t="s">
        <v>669</v>
      </c>
      <c r="E191" s="714">
        <v>36000</v>
      </c>
    </row>
    <row r="192" customHeight="1" spans="1:5">
      <c r="A192" s="27">
        <v>51</v>
      </c>
      <c r="B192" s="18" t="s">
        <v>383</v>
      </c>
      <c r="C192" s="12" t="s">
        <v>514</v>
      </c>
      <c r="D192" s="15" t="s">
        <v>669</v>
      </c>
      <c r="E192" s="714">
        <v>36000</v>
      </c>
    </row>
    <row r="193" customHeight="1" spans="1:5">
      <c r="A193" s="27">
        <v>52</v>
      </c>
      <c r="B193" s="18" t="s">
        <v>385</v>
      </c>
      <c r="C193" s="12" t="s">
        <v>514</v>
      </c>
      <c r="D193" s="15" t="s">
        <v>669</v>
      </c>
      <c r="E193" s="714">
        <v>36000</v>
      </c>
    </row>
    <row r="194" customHeight="1" spans="1:5">
      <c r="A194" s="27">
        <v>53</v>
      </c>
      <c r="B194" s="11" t="s">
        <v>668</v>
      </c>
      <c r="C194" s="12" t="s">
        <v>387</v>
      </c>
      <c r="D194" s="15" t="s">
        <v>669</v>
      </c>
      <c r="E194" s="714">
        <v>36000</v>
      </c>
    </row>
    <row r="195" customHeight="1" spans="1:5">
      <c r="A195" s="27">
        <v>54</v>
      </c>
      <c r="B195" s="11" t="s">
        <v>386</v>
      </c>
      <c r="C195" s="12" t="s">
        <v>387</v>
      </c>
      <c r="D195" s="15" t="s">
        <v>669</v>
      </c>
      <c r="E195" s="714">
        <v>36000</v>
      </c>
    </row>
    <row r="196" customHeight="1" spans="1:5">
      <c r="A196" s="27">
        <v>55</v>
      </c>
      <c r="B196" s="18" t="s">
        <v>358</v>
      </c>
      <c r="C196" s="12" t="s">
        <v>390</v>
      </c>
      <c r="D196" s="15" t="s">
        <v>391</v>
      </c>
      <c r="E196" s="714">
        <v>36000</v>
      </c>
    </row>
    <row r="197" customHeight="1" spans="1:5">
      <c r="A197" s="27">
        <v>56</v>
      </c>
      <c r="B197" s="18" t="s">
        <v>389</v>
      </c>
      <c r="C197" s="12" t="s">
        <v>390</v>
      </c>
      <c r="D197" s="15" t="s">
        <v>395</v>
      </c>
      <c r="E197" s="714">
        <v>36000</v>
      </c>
    </row>
    <row r="198" customHeight="1" spans="1:5">
      <c r="A198" s="27">
        <v>57</v>
      </c>
      <c r="B198" s="18" t="s">
        <v>392</v>
      </c>
      <c r="C198" s="12" t="s">
        <v>360</v>
      </c>
      <c r="D198" s="15" t="s">
        <v>607</v>
      </c>
      <c r="E198" s="714">
        <v>36000</v>
      </c>
    </row>
    <row r="199" customHeight="1" spans="1:5">
      <c r="A199" s="27">
        <v>58</v>
      </c>
      <c r="B199" s="18" t="s">
        <v>396</v>
      </c>
      <c r="C199" s="12" t="s">
        <v>397</v>
      </c>
      <c r="D199" s="15" t="s">
        <v>940</v>
      </c>
      <c r="E199" s="714">
        <v>36000</v>
      </c>
    </row>
    <row r="200" customHeight="1" spans="1:5">
      <c r="A200" s="27">
        <v>59</v>
      </c>
      <c r="B200" s="18" t="s">
        <v>399</v>
      </c>
      <c r="C200" s="12" t="s">
        <v>397</v>
      </c>
      <c r="D200" s="15" t="s">
        <v>940</v>
      </c>
      <c r="E200" s="714">
        <v>36000</v>
      </c>
    </row>
    <row r="201" customHeight="1" spans="1:5">
      <c r="A201" s="27">
        <v>60</v>
      </c>
      <c r="B201" s="18" t="s">
        <v>400</v>
      </c>
      <c r="C201" s="12" t="s">
        <v>397</v>
      </c>
      <c r="D201" s="15" t="s">
        <v>940</v>
      </c>
      <c r="E201" s="714">
        <v>36000</v>
      </c>
    </row>
    <row r="202" customHeight="1" spans="1:5">
      <c r="A202" s="27">
        <v>61</v>
      </c>
      <c r="B202" s="18" t="s">
        <v>401</v>
      </c>
      <c r="C202" s="12" t="s">
        <v>402</v>
      </c>
      <c r="D202" s="15" t="s">
        <v>393</v>
      </c>
      <c r="E202" s="714">
        <v>36000</v>
      </c>
    </row>
    <row r="203" customHeight="1" spans="1:5">
      <c r="A203" s="27">
        <v>62</v>
      </c>
      <c r="B203" s="18" t="s">
        <v>404</v>
      </c>
      <c r="C203" s="12" t="s">
        <v>402</v>
      </c>
      <c r="D203" s="15" t="s">
        <v>393</v>
      </c>
      <c r="E203" s="714">
        <v>36000</v>
      </c>
    </row>
    <row r="204" ht="30.75" customHeight="1" spans="1:5">
      <c r="A204" s="27"/>
      <c r="B204" s="8" t="s">
        <v>120</v>
      </c>
      <c r="C204" s="28" t="s">
        <v>1066</v>
      </c>
      <c r="D204" s="29"/>
      <c r="E204" s="709">
        <f>SUM(E142:E203)</f>
        <v>3578000</v>
      </c>
    </row>
    <row r="205" ht="33.95" customHeight="1" spans="1:5">
      <c r="A205" s="4"/>
      <c r="B205" s="30" t="s">
        <v>406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1:5">
      <c r="B206" s="33"/>
      <c r="D206" s="34"/>
      <c r="E206" s="34"/>
    </row>
    <row r="207" ht="36.75" customHeight="1" spans="1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1067</v>
      </c>
      <c r="B1" s="721"/>
      <c r="C1" s="721"/>
    </row>
    <row r="2" ht="23.1" customHeight="1" spans="1:3">
      <c r="A2" s="722">
        <v>1</v>
      </c>
      <c r="B2" s="722" t="s">
        <v>491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492</v>
      </c>
      <c r="C3" s="610">
        <f>'[4]Christmas 2024'!$E$58</f>
        <v>1470000</v>
      </c>
    </row>
    <row r="4" ht="23.1" customHeight="1" spans="1:3">
      <c r="A4" s="722">
        <v>3</v>
      </c>
      <c r="B4" s="722" t="s">
        <v>493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494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495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496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497</v>
      </c>
      <c r="C8" s="610">
        <f>'[5]WELFARE - OTHERS'!$C$95</f>
        <v>1555000</v>
      </c>
    </row>
    <row r="9" ht="23.1" customHeight="1" spans="1:3">
      <c r="A9" s="722"/>
      <c r="B9" s="267" t="s">
        <v>498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6">
      <c r="A1" s="76" t="s">
        <v>0</v>
      </c>
      <c r="B1" s="76"/>
      <c r="C1" s="76"/>
      <c r="D1" s="76"/>
    </row>
    <row r="2" ht="33.75" customHeight="1" spans="1:6">
      <c r="A2" s="350" t="s">
        <v>1068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1069</v>
      </c>
    </row>
    <row r="5" ht="17.25" customHeight="1" spans="1:6">
      <c r="C5" s="8"/>
      <c r="D5" s="8"/>
      <c r="E5" s="701" t="s">
        <v>21</v>
      </c>
      <c r="F5" s="702" t="s">
        <v>21</v>
      </c>
    </row>
    <row r="6" customHeight="1" spans="1:6">
      <c r="A6" s="9" t="s">
        <v>22</v>
      </c>
      <c r="B6" s="8" t="s">
        <v>23</v>
      </c>
      <c r="C6" s="8"/>
      <c r="D6" s="8"/>
      <c r="E6" s="701"/>
      <c r="F6" s="703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27</v>
      </c>
      <c r="C8" s="12" t="s">
        <v>28</v>
      </c>
      <c r="D8" s="10" t="s">
        <v>29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30</v>
      </c>
      <c r="C9" s="4" t="s">
        <v>31</v>
      </c>
      <c r="D9" s="10" t="s">
        <v>29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32</v>
      </c>
      <c r="C10" s="17" t="s">
        <v>33</v>
      </c>
      <c r="D10" s="10" t="s">
        <v>29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300</v>
      </c>
      <c r="C11" s="4" t="s">
        <v>907</v>
      </c>
      <c r="D11" s="10" t="s">
        <v>29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34</v>
      </c>
      <c r="C12" s="12" t="s">
        <v>910</v>
      </c>
      <c r="D12" s="15" t="s">
        <v>39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37</v>
      </c>
      <c r="C13" s="4" t="s">
        <v>38</v>
      </c>
      <c r="D13" s="10" t="s">
        <v>42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40</v>
      </c>
      <c r="C14" s="4" t="s">
        <v>643</v>
      </c>
      <c r="D14" s="15" t="s">
        <v>192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43</v>
      </c>
      <c r="C15" s="17" t="s">
        <v>44</v>
      </c>
      <c r="D15" s="15" t="s">
        <v>42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45</v>
      </c>
      <c r="C16" s="4" t="s">
        <v>46</v>
      </c>
      <c r="D16" s="10" t="s">
        <v>53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48</v>
      </c>
      <c r="C17" s="4" t="s">
        <v>49</v>
      </c>
      <c r="D17" s="10" t="s">
        <v>42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51</v>
      </c>
      <c r="C18" s="12" t="s">
        <v>61</v>
      </c>
      <c r="D18" s="15" t="s">
        <v>601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54</v>
      </c>
      <c r="C19" s="4" t="s">
        <v>55</v>
      </c>
      <c r="D19" s="15" t="s">
        <v>59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57</v>
      </c>
      <c r="C20" s="4" t="s">
        <v>58</v>
      </c>
      <c r="D20" s="15" t="s">
        <v>1001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60</v>
      </c>
      <c r="C21" s="4" t="s">
        <v>61</v>
      </c>
      <c r="D21" s="15" t="s">
        <v>1001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65</v>
      </c>
      <c r="C22" s="12" t="s">
        <v>178</v>
      </c>
      <c r="D22" s="15" t="s">
        <v>70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68</v>
      </c>
      <c r="C23" s="17" t="s">
        <v>69</v>
      </c>
      <c r="D23" s="10" t="s">
        <v>180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71</v>
      </c>
      <c r="C24" s="17" t="s">
        <v>72</v>
      </c>
      <c r="D24" s="15" t="s">
        <v>180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73</v>
      </c>
      <c r="C25" s="17" t="s">
        <v>74</v>
      </c>
      <c r="D25" s="10" t="s">
        <v>81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76</v>
      </c>
      <c r="C26" s="17" t="s">
        <v>77</v>
      </c>
      <c r="D26" s="10" t="s">
        <v>81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478</v>
      </c>
      <c r="C27" s="4" t="s">
        <v>94</v>
      </c>
      <c r="D27" s="10" t="s">
        <v>86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79</v>
      </c>
      <c r="C28" s="12" t="s">
        <v>94</v>
      </c>
      <c r="D28" s="15" t="s">
        <v>86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82</v>
      </c>
      <c r="C29" s="17" t="s">
        <v>69</v>
      </c>
      <c r="D29" s="10" t="s">
        <v>86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84</v>
      </c>
      <c r="C30" s="12" t="s">
        <v>85</v>
      </c>
      <c r="D30" s="15" t="s">
        <v>99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87</v>
      </c>
      <c r="C31" s="4" t="s">
        <v>88</v>
      </c>
      <c r="D31" s="10" t="s">
        <v>225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89</v>
      </c>
      <c r="C32" s="4" t="s">
        <v>88</v>
      </c>
      <c r="D32" s="10" t="s">
        <v>225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91</v>
      </c>
      <c r="C33" s="17" t="s">
        <v>646</v>
      </c>
      <c r="D33" s="15" t="s">
        <v>86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93</v>
      </c>
      <c r="C34" s="4" t="s">
        <v>94</v>
      </c>
      <c r="D34" s="10" t="s">
        <v>225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95</v>
      </c>
      <c r="C35" s="4" t="s">
        <v>647</v>
      </c>
      <c r="D35" s="10" t="s">
        <v>225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103</v>
      </c>
      <c r="C36" s="12" t="s">
        <v>104</v>
      </c>
      <c r="D36" s="15" t="s">
        <v>111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106</v>
      </c>
      <c r="C37" s="12" t="s">
        <v>107</v>
      </c>
      <c r="D37" s="15" t="s">
        <v>275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120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121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122</v>
      </c>
      <c r="C41" s="4" t="s">
        <v>123</v>
      </c>
      <c r="D41" s="10" t="s">
        <v>124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127</v>
      </c>
      <c r="C42" s="4" t="s">
        <v>128</v>
      </c>
      <c r="D42" s="10" t="s">
        <v>81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129</v>
      </c>
      <c r="C43" s="4" t="s">
        <v>128</v>
      </c>
      <c r="D43" s="15" t="s">
        <v>75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133</v>
      </c>
      <c r="C44" s="4" t="s">
        <v>134</v>
      </c>
      <c r="D44" s="15" t="s">
        <v>225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137</v>
      </c>
      <c r="C47" s="5"/>
      <c r="D47" s="24"/>
      <c r="E47" s="707"/>
      <c r="F47" s="708"/>
    </row>
    <row r="48" customHeight="1" spans="1:6">
      <c r="A48" s="10">
        <v>1</v>
      </c>
      <c r="B48" s="11" t="s">
        <v>912</v>
      </c>
      <c r="C48" s="4" t="s">
        <v>913</v>
      </c>
      <c r="D48" s="10" t="s">
        <v>124</v>
      </c>
      <c r="E48" s="704">
        <f>'APRIL 2026'!J75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914</v>
      </c>
      <c r="C49" s="4" t="s">
        <v>44</v>
      </c>
      <c r="D49" s="10" t="s">
        <v>39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138</v>
      </c>
      <c r="C50" s="4" t="s">
        <v>648</v>
      </c>
      <c r="D50" s="10" t="s">
        <v>210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141</v>
      </c>
      <c r="C51" s="4" t="s">
        <v>145</v>
      </c>
      <c r="D51" s="10" t="s">
        <v>39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144</v>
      </c>
      <c r="C52" s="4" t="s">
        <v>145</v>
      </c>
      <c r="D52" s="10" t="s">
        <v>39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146</v>
      </c>
      <c r="C53" s="4" t="s">
        <v>145</v>
      </c>
      <c r="D53" s="10" t="s">
        <v>42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147</v>
      </c>
      <c r="C54" s="4" t="s">
        <v>145</v>
      </c>
      <c r="D54" s="10" t="s">
        <v>42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151</v>
      </c>
      <c r="C55" s="4" t="s">
        <v>152</v>
      </c>
      <c r="D55" s="10" t="s">
        <v>75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155</v>
      </c>
      <c r="C56" s="4" t="s">
        <v>152</v>
      </c>
      <c r="D56" s="10" t="s">
        <v>99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157</v>
      </c>
      <c r="C57" s="4" t="s">
        <v>152</v>
      </c>
      <c r="D57" s="10" t="s">
        <v>99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120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159</v>
      </c>
      <c r="C60" s="21"/>
      <c r="D60" s="21"/>
      <c r="E60" s="711"/>
      <c r="F60" s="712"/>
    </row>
    <row r="61" customHeight="1" spans="1:6">
      <c r="A61" s="10">
        <v>1</v>
      </c>
      <c r="B61" s="11" t="s">
        <v>916</v>
      </c>
      <c r="C61" s="12" t="s">
        <v>161</v>
      </c>
      <c r="D61" s="15" t="s">
        <v>124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162</v>
      </c>
      <c r="C62" s="12" t="s">
        <v>485</v>
      </c>
      <c r="D62" s="15" t="s">
        <v>486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120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164</v>
      </c>
      <c r="C65" s="21"/>
      <c r="D65" s="21"/>
      <c r="E65" s="711"/>
      <c r="F65" s="712"/>
    </row>
    <row r="66" customHeight="1" spans="1:6">
      <c r="A66" s="10">
        <v>1</v>
      </c>
      <c r="B66" s="11" t="s">
        <v>917</v>
      </c>
      <c r="C66" s="17" t="s">
        <v>918</v>
      </c>
      <c r="D66" s="10" t="s">
        <v>124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919</v>
      </c>
      <c r="C67" s="17" t="s">
        <v>920</v>
      </c>
      <c r="D67" s="15" t="s">
        <v>50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167</v>
      </c>
      <c r="C68" s="4" t="s">
        <v>52</v>
      </c>
      <c r="D68" s="10" t="s">
        <v>53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921</v>
      </c>
      <c r="C69" s="17" t="s">
        <v>217</v>
      </c>
      <c r="D69" s="15" t="s">
        <v>601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171</v>
      </c>
      <c r="C70" s="4" t="s">
        <v>152</v>
      </c>
      <c r="D70" s="10" t="s">
        <v>131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172</v>
      </c>
      <c r="C71" s="17" t="s">
        <v>72</v>
      </c>
      <c r="D71" s="10" t="s">
        <v>131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174</v>
      </c>
      <c r="C72" s="17" t="s">
        <v>72</v>
      </c>
      <c r="D72" s="10" t="s">
        <v>131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175</v>
      </c>
      <c r="C73" s="4" t="s">
        <v>649</v>
      </c>
      <c r="D73" s="10" t="s">
        <v>70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179</v>
      </c>
      <c r="C74" s="4" t="s">
        <v>152</v>
      </c>
      <c r="D74" s="10" t="s">
        <v>75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120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183</v>
      </c>
      <c r="C77" s="21"/>
      <c r="D77" s="21"/>
      <c r="E77" s="711"/>
      <c r="F77" s="712"/>
    </row>
    <row r="78" customHeight="1" spans="1:6">
      <c r="A78" s="10">
        <v>1</v>
      </c>
      <c r="B78" s="11" t="s">
        <v>184</v>
      </c>
      <c r="C78" s="4" t="s">
        <v>185</v>
      </c>
      <c r="D78" s="10" t="s">
        <v>124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188</v>
      </c>
      <c r="C79" s="4" t="s">
        <v>189</v>
      </c>
      <c r="D79" s="10" t="s">
        <v>42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190</v>
      </c>
      <c r="C80" s="4" t="s">
        <v>191</v>
      </c>
      <c r="D80" s="15" t="s">
        <v>214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197</v>
      </c>
      <c r="C81" s="4" t="s">
        <v>198</v>
      </c>
      <c r="D81" s="10" t="s">
        <v>180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201</v>
      </c>
      <c r="C82" s="4" t="s">
        <v>182</v>
      </c>
      <c r="D82" s="10" t="s">
        <v>99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203</v>
      </c>
      <c r="C83" s="4" t="s">
        <v>204</v>
      </c>
      <c r="D83" s="10" t="s">
        <v>111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120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205</v>
      </c>
      <c r="C86" s="25"/>
      <c r="D86" s="21"/>
      <c r="E86" s="711"/>
      <c r="F86" s="712"/>
    </row>
    <row r="87" customHeight="1" spans="1:6">
      <c r="A87" s="10">
        <v>1</v>
      </c>
      <c r="B87" s="11" t="s">
        <v>208</v>
      </c>
      <c r="C87" s="4" t="s">
        <v>145</v>
      </c>
      <c r="D87" s="10" t="s">
        <v>39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206</v>
      </c>
      <c r="C88" s="4" t="s">
        <v>145</v>
      </c>
      <c r="D88" s="10" t="s">
        <v>39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479</v>
      </c>
      <c r="C89" s="4" t="s">
        <v>145</v>
      </c>
      <c r="D89" s="10" t="s">
        <v>42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211</v>
      </c>
      <c r="C90" s="4" t="s">
        <v>52</v>
      </c>
      <c r="D90" s="15" t="s">
        <v>53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212</v>
      </c>
      <c r="C91" s="4" t="s">
        <v>52</v>
      </c>
      <c r="D91" s="15" t="s">
        <v>53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213</v>
      </c>
      <c r="C92" s="12" t="s">
        <v>52</v>
      </c>
      <c r="D92" s="15" t="s">
        <v>600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215</v>
      </c>
      <c r="C93" s="17" t="s">
        <v>72</v>
      </c>
      <c r="D93" s="15" t="s">
        <v>131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216</v>
      </c>
      <c r="C94" s="17" t="s">
        <v>217</v>
      </c>
      <c r="D94" s="15" t="s">
        <v>67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220</v>
      </c>
      <c r="C95" s="4" t="s">
        <v>221</v>
      </c>
      <c r="D95" s="10" t="s">
        <v>75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224</v>
      </c>
      <c r="C96" s="17" t="s">
        <v>505</v>
      </c>
      <c r="D96" s="15" t="s">
        <v>108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120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226</v>
      </c>
      <c r="C99" s="21"/>
      <c r="D99" s="21"/>
      <c r="E99" s="711"/>
      <c r="F99" s="712"/>
    </row>
    <row r="100" customHeight="1" spans="1:6">
      <c r="A100" s="10">
        <v>1</v>
      </c>
      <c r="B100" s="14" t="s">
        <v>227</v>
      </c>
      <c r="C100" s="4" t="s">
        <v>650</v>
      </c>
      <c r="D100" s="16" t="s">
        <v>304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229</v>
      </c>
      <c r="C101" s="4" t="s">
        <v>230</v>
      </c>
      <c r="D101" s="15" t="s">
        <v>214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235</v>
      </c>
      <c r="C102" s="4" t="s">
        <v>651</v>
      </c>
      <c r="D102" s="15" t="s">
        <v>70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236</v>
      </c>
      <c r="C103" s="4" t="s">
        <v>200</v>
      </c>
      <c r="D103" s="15" t="s">
        <v>75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120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239</v>
      </c>
      <c r="C106" s="4"/>
      <c r="D106" s="4"/>
      <c r="E106" s="715"/>
      <c r="F106" s="716"/>
    </row>
    <row r="107" customHeight="1" spans="1:6">
      <c r="A107" s="4">
        <v>1</v>
      </c>
      <c r="B107" s="11" t="s">
        <v>652</v>
      </c>
      <c r="C107" s="12" t="s">
        <v>241</v>
      </c>
      <c r="D107" s="15" t="s">
        <v>124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242</v>
      </c>
      <c r="C108" s="4" t="s">
        <v>243</v>
      </c>
      <c r="D108" s="16" t="s">
        <v>36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244</v>
      </c>
      <c r="C109" s="4" t="s">
        <v>653</v>
      </c>
      <c r="D109" s="10" t="s">
        <v>56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246</v>
      </c>
      <c r="C110" s="4" t="s">
        <v>653</v>
      </c>
      <c r="D110" s="10" t="s">
        <v>56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249</v>
      </c>
      <c r="C111" s="4" t="s">
        <v>250</v>
      </c>
      <c r="D111" s="15" t="s">
        <v>928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252</v>
      </c>
      <c r="C112" s="4" t="s">
        <v>250</v>
      </c>
      <c r="D112" s="10" t="s">
        <v>506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253</v>
      </c>
      <c r="C113" s="4" t="s">
        <v>250</v>
      </c>
      <c r="D113" s="15" t="s">
        <v>108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120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257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165</v>
      </c>
      <c r="C117" s="4" t="s">
        <v>145</v>
      </c>
      <c r="D117" s="10" t="s">
        <v>50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259</v>
      </c>
      <c r="C118" s="4" t="s">
        <v>260</v>
      </c>
      <c r="D118" s="15" t="s">
        <v>70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193</v>
      </c>
      <c r="C119" s="12" t="s">
        <v>194</v>
      </c>
      <c r="D119" s="15" t="s">
        <v>67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120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268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1005</v>
      </c>
      <c r="C123" s="4" t="s">
        <v>1006</v>
      </c>
      <c r="D123" s="10" t="s">
        <v>275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271</v>
      </c>
      <c r="C124" s="4" t="s">
        <v>272</v>
      </c>
      <c r="D124" s="10" t="s">
        <v>275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276</v>
      </c>
      <c r="C125" s="4" t="s">
        <v>277</v>
      </c>
      <c r="D125" s="10" t="s">
        <v>275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120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278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279</v>
      </c>
      <c r="C129" s="12" t="s">
        <v>280</v>
      </c>
      <c r="D129" s="15" t="s">
        <v>124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281</v>
      </c>
      <c r="C130" s="12" t="s">
        <v>654</v>
      </c>
      <c r="D130" s="15" t="s">
        <v>210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283</v>
      </c>
      <c r="C131" s="12" t="s">
        <v>655</v>
      </c>
      <c r="D131" s="15" t="s">
        <v>39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286</v>
      </c>
      <c r="C132" s="12" t="s">
        <v>288</v>
      </c>
      <c r="D132" s="15" t="s">
        <v>47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287</v>
      </c>
      <c r="C133" s="12" t="s">
        <v>656</v>
      </c>
      <c r="D133" s="15" t="s">
        <v>53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289</v>
      </c>
      <c r="C134" s="12" t="s">
        <v>288</v>
      </c>
      <c r="D134" s="15" t="s">
        <v>214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292</v>
      </c>
      <c r="C135" s="12" t="s">
        <v>657</v>
      </c>
      <c r="D135" s="10" t="s">
        <v>86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294</v>
      </c>
      <c r="C136" s="12" t="s">
        <v>295</v>
      </c>
      <c r="D136" s="15" t="s">
        <v>111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296</v>
      </c>
      <c r="C137" s="12" t="s">
        <v>291</v>
      </c>
      <c r="D137" s="15" t="s">
        <v>111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297</v>
      </c>
      <c r="C138" s="12" t="s">
        <v>295</v>
      </c>
      <c r="D138" s="15" t="s">
        <v>275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120</v>
      </c>
      <c r="C139" s="26" t="s">
        <v>658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299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931</v>
      </c>
      <c r="C142" s="12" t="s">
        <v>932</v>
      </c>
      <c r="D142" s="15" t="s">
        <v>124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302</v>
      </c>
      <c r="C143" s="4" t="s">
        <v>488</v>
      </c>
      <c r="D143" s="16" t="s">
        <v>36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305</v>
      </c>
      <c r="C144" s="12" t="s">
        <v>306</v>
      </c>
      <c r="D144" s="15" t="s">
        <v>42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307</v>
      </c>
      <c r="C145" s="4" t="s">
        <v>489</v>
      </c>
      <c r="D145" s="15" t="s">
        <v>42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309</v>
      </c>
      <c r="C146" s="4" t="s">
        <v>489</v>
      </c>
      <c r="D146" s="15" t="s">
        <v>42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231</v>
      </c>
      <c r="C147" s="12" t="s">
        <v>232</v>
      </c>
      <c r="D147" s="15" t="s">
        <v>67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312</v>
      </c>
      <c r="C148" s="12" t="s">
        <v>232</v>
      </c>
      <c r="D148" s="15" t="s">
        <v>67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313</v>
      </c>
      <c r="C149" s="4" t="s">
        <v>659</v>
      </c>
      <c r="D149" s="15" t="s">
        <v>67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315</v>
      </c>
      <c r="C150" s="12" t="s">
        <v>660</v>
      </c>
      <c r="D150" s="15" t="s">
        <v>70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317</v>
      </c>
      <c r="C151" s="12" t="s">
        <v>318</v>
      </c>
      <c r="D151" s="15" t="s">
        <v>131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62</v>
      </c>
      <c r="C152" s="12" t="s">
        <v>938</v>
      </c>
      <c r="D152" s="15" t="s">
        <v>173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319</v>
      </c>
      <c r="C153" s="4" t="s">
        <v>320</v>
      </c>
      <c r="D153" s="15" t="s">
        <v>180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321</v>
      </c>
      <c r="C154" s="4" t="s">
        <v>320</v>
      </c>
      <c r="D154" s="15" t="s">
        <v>180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322</v>
      </c>
      <c r="C155" s="4" t="s">
        <v>320</v>
      </c>
      <c r="D155" s="15" t="s">
        <v>180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324</v>
      </c>
      <c r="C156" s="4" t="s">
        <v>320</v>
      </c>
      <c r="D156" s="15" t="s">
        <v>180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325</v>
      </c>
      <c r="C157" s="12" t="s">
        <v>326</v>
      </c>
      <c r="D157" s="15" t="s">
        <v>75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327</v>
      </c>
      <c r="C158" s="12" t="s">
        <v>328</v>
      </c>
      <c r="D158" s="10" t="s">
        <v>99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329</v>
      </c>
      <c r="C159" s="12" t="s">
        <v>661</v>
      </c>
      <c r="D159" s="15" t="s">
        <v>78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331</v>
      </c>
      <c r="C160" s="12" t="s">
        <v>662</v>
      </c>
      <c r="D160" s="15" t="s">
        <v>86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333</v>
      </c>
      <c r="C161" s="12" t="s">
        <v>663</v>
      </c>
      <c r="D161" s="15" t="s">
        <v>78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334</v>
      </c>
      <c r="C162" s="12" t="s">
        <v>664</v>
      </c>
      <c r="D162" s="15" t="s">
        <v>86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336</v>
      </c>
      <c r="C163" s="12" t="s">
        <v>337</v>
      </c>
      <c r="D163" s="15" t="s">
        <v>225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338</v>
      </c>
      <c r="C164" s="12" t="s">
        <v>337</v>
      </c>
      <c r="D164" s="15" t="s">
        <v>225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343</v>
      </c>
      <c r="C165" s="12" t="s">
        <v>344</v>
      </c>
      <c r="D165" s="15" t="s">
        <v>111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345</v>
      </c>
      <c r="C166" s="12" t="s">
        <v>346</v>
      </c>
      <c r="D166" s="15" t="s">
        <v>111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347</v>
      </c>
      <c r="C167" s="12" t="s">
        <v>348</v>
      </c>
      <c r="D167" s="15" t="s">
        <v>111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349</v>
      </c>
      <c r="C168" s="12" t="s">
        <v>665</v>
      </c>
      <c r="D168" s="15" t="s">
        <v>108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350</v>
      </c>
      <c r="C169" s="12" t="s">
        <v>346</v>
      </c>
      <c r="D169" s="15" t="s">
        <v>111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351</v>
      </c>
      <c r="C170" s="12" t="s">
        <v>352</v>
      </c>
      <c r="D170" s="15" t="s">
        <v>275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353</v>
      </c>
      <c r="C171" s="12" t="s">
        <v>352</v>
      </c>
      <c r="D171" s="15" t="s">
        <v>275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359</v>
      </c>
      <c r="C172" s="12" t="s">
        <v>512</v>
      </c>
      <c r="D172" s="15" t="s">
        <v>384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362</v>
      </c>
      <c r="C173" s="12" t="s">
        <v>512</v>
      </c>
      <c r="D173" s="15" t="s">
        <v>384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666</v>
      </c>
      <c r="C174" s="12" t="s">
        <v>512</v>
      </c>
      <c r="D174" s="15" t="s">
        <v>384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363</v>
      </c>
      <c r="C175" s="12" t="s">
        <v>512</v>
      </c>
      <c r="D175" s="15" t="s">
        <v>384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364</v>
      </c>
      <c r="C176" s="12" t="s">
        <v>512</v>
      </c>
      <c r="D176" s="15" t="s">
        <v>384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365</v>
      </c>
      <c r="C177" s="12" t="s">
        <v>512</v>
      </c>
      <c r="D177" s="15" t="s">
        <v>377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367</v>
      </c>
      <c r="C178" s="12" t="s">
        <v>512</v>
      </c>
      <c r="D178" s="15" t="s">
        <v>377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368</v>
      </c>
      <c r="C179" s="12" t="s">
        <v>512</v>
      </c>
      <c r="D179" s="15" t="s">
        <v>377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369</v>
      </c>
      <c r="C180" s="12" t="s">
        <v>512</v>
      </c>
      <c r="D180" s="15" t="s">
        <v>377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370</v>
      </c>
      <c r="C181" s="12" t="s">
        <v>512</v>
      </c>
      <c r="D181" s="15" t="s">
        <v>377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357</v>
      </c>
      <c r="C182" s="12" t="s">
        <v>512</v>
      </c>
      <c r="D182" s="15" t="s">
        <v>377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371</v>
      </c>
      <c r="C183" s="12" t="s">
        <v>360</v>
      </c>
      <c r="D183" s="15" t="s">
        <v>607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373</v>
      </c>
      <c r="C184" s="12" t="s">
        <v>360</v>
      </c>
      <c r="D184" s="15" t="s">
        <v>607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374</v>
      </c>
      <c r="C185" s="12" t="s">
        <v>360</v>
      </c>
      <c r="D185" s="15" t="s">
        <v>606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376</v>
      </c>
      <c r="C186" s="12" t="s">
        <v>360</v>
      </c>
      <c r="D186" s="15" t="s">
        <v>607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378</v>
      </c>
      <c r="C187" s="12" t="s">
        <v>514</v>
      </c>
      <c r="D187" s="15" t="s">
        <v>669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379</v>
      </c>
      <c r="C188" s="12" t="s">
        <v>514</v>
      </c>
      <c r="D188" s="15" t="s">
        <v>669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380</v>
      </c>
      <c r="C189" s="12" t="s">
        <v>514</v>
      </c>
      <c r="D189" s="15" t="s">
        <v>669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381</v>
      </c>
      <c r="C190" s="12" t="s">
        <v>514</v>
      </c>
      <c r="D190" s="15" t="s">
        <v>669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382</v>
      </c>
      <c r="C191" s="12" t="s">
        <v>514</v>
      </c>
      <c r="D191" s="15" t="s">
        <v>669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383</v>
      </c>
      <c r="C192" s="12" t="s">
        <v>514</v>
      </c>
      <c r="D192" s="15" t="s">
        <v>669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385</v>
      </c>
      <c r="C193" s="12" t="s">
        <v>514</v>
      </c>
      <c r="D193" s="15" t="s">
        <v>669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668</v>
      </c>
      <c r="C194" s="12" t="s">
        <v>387</v>
      </c>
      <c r="D194" s="15" t="s">
        <v>669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386</v>
      </c>
      <c r="C195" s="12" t="s">
        <v>387</v>
      </c>
      <c r="D195" s="15" t="s">
        <v>669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358</v>
      </c>
      <c r="C196" s="12" t="s">
        <v>390</v>
      </c>
      <c r="D196" s="15" t="s">
        <v>391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389</v>
      </c>
      <c r="C197" s="12" t="s">
        <v>390</v>
      </c>
      <c r="D197" s="15" t="s">
        <v>395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392</v>
      </c>
      <c r="C198" s="12" t="s">
        <v>360</v>
      </c>
      <c r="D198" s="15" t="s">
        <v>607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396</v>
      </c>
      <c r="C199" s="12" t="s">
        <v>397</v>
      </c>
      <c r="D199" s="15" t="s">
        <v>940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399</v>
      </c>
      <c r="C200" s="12" t="s">
        <v>397</v>
      </c>
      <c r="D200" s="15" t="s">
        <v>940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400</v>
      </c>
      <c r="C201" s="12" t="s">
        <v>397</v>
      </c>
      <c r="D201" s="15" t="s">
        <v>940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401</v>
      </c>
      <c r="C202" s="12" t="s">
        <v>402</v>
      </c>
      <c r="D202" s="15" t="s">
        <v>393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404</v>
      </c>
      <c r="C203" s="12" t="s">
        <v>402</v>
      </c>
      <c r="D203" s="15" t="s">
        <v>393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120</v>
      </c>
      <c r="C204" s="28" t="s">
        <v>1066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406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1:6">
      <c r="B206" s="33"/>
      <c r="D206" s="34"/>
      <c r="E206" s="34"/>
      <c r="F206" s="34"/>
    </row>
    <row r="207" ht="36.75" customHeight="1" spans="1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4">
      <c r="A1" s="41" t="s">
        <v>1070</v>
      </c>
      <c r="B1" s="41"/>
      <c r="C1" s="41"/>
    </row>
    <row r="2" ht="30" customHeight="1" spans="1:4">
      <c r="A2" s="46">
        <v>1</v>
      </c>
      <c r="B2" s="46" t="s">
        <v>491</v>
      </c>
      <c r="C2" s="107">
        <f>'Staff Bonus'!F205</f>
        <v>40610914.2293428</v>
      </c>
      <c r="D2" s="46"/>
    </row>
    <row r="3" ht="30" customHeight="1" spans="1:4">
      <c r="A3" s="46">
        <v>2</v>
      </c>
      <c r="B3" s="46" t="s">
        <v>492</v>
      </c>
      <c r="C3" s="107">
        <f>'[4]NEW STAFF BONUS'!$F$57</f>
        <v>3962895.74666667</v>
      </c>
      <c r="D3" s="46"/>
    </row>
    <row r="4" ht="30" customHeight="1" spans="1:4">
      <c r="A4" s="46">
        <v>3</v>
      </c>
      <c r="B4" s="46" t="s">
        <v>493</v>
      </c>
      <c r="C4" s="107">
        <f>'[5]BONUS CONTRACT'!$F$21</f>
        <v>4618070.67666667</v>
      </c>
      <c r="D4" s="46"/>
    </row>
    <row r="5" ht="30" customHeight="1" spans="1:4">
      <c r="A5" s="46">
        <v>4</v>
      </c>
      <c r="B5" s="46" t="s">
        <v>494</v>
      </c>
      <c r="C5" s="107">
        <f>'[5]NEW CONTR BONUS'!$F$30</f>
        <v>4681559.76833333</v>
      </c>
      <c r="D5" s="46"/>
    </row>
    <row r="6" ht="30" customHeight="1" spans="1:4">
      <c r="A6" s="46">
        <v>5</v>
      </c>
      <c r="B6" s="46" t="s">
        <v>495</v>
      </c>
      <c r="C6" s="107">
        <f>'[5]CAS. SABB. NYSC BONUS'!$E$67</f>
        <v>4877192.37333333</v>
      </c>
      <c r="D6" s="46"/>
    </row>
    <row r="7" ht="30" customHeight="1" spans="1:4">
      <c r="A7" s="46">
        <v>6</v>
      </c>
      <c r="B7" s="46" t="s">
        <v>1071</v>
      </c>
      <c r="C7" s="697">
        <f>'[5]CONSULTANCY BONUS'!$E$28</f>
        <v>2750000</v>
      </c>
      <c r="D7" s="46"/>
    </row>
    <row r="8" ht="30" customHeight="1" spans="1:4">
      <c r="A8" s="46"/>
      <c r="B8" s="258" t="s">
        <v>498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694</v>
      </c>
      <c r="AA4" s="466"/>
      <c r="AB4" s="466" t="s">
        <v>883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967493.0835</v>
      </c>
      <c r="D6" s="469">
        <v>12</v>
      </c>
      <c r="E6" s="470">
        <f t="shared" ref="E6:E36" si="0">C6*D6</f>
        <v>11609917.002</v>
      </c>
      <c r="F6" s="470"/>
      <c r="G6" s="470"/>
      <c r="H6" s="470"/>
      <c r="I6" s="470">
        <f t="shared" ref="I6:I36" si="1">E6-F6-G6-H6</f>
        <v>11609917.002</v>
      </c>
      <c r="J6" s="470">
        <v>200000</v>
      </c>
      <c r="K6" s="470">
        <v>0.2</v>
      </c>
      <c r="L6" s="470">
        <f t="shared" ref="L6:L36" si="2">I6*K6</f>
        <v>2321983.4004</v>
      </c>
      <c r="M6" s="470">
        <f t="shared" ref="M6:M36" si="3">J6+L6</f>
        <v>2521983.4004</v>
      </c>
      <c r="N6" s="470">
        <f t="shared" ref="N6:N36" si="4">F6+G6+H6+M6</f>
        <v>2521983.4004</v>
      </c>
      <c r="O6" s="470">
        <f t="shared" ref="O6:O36" si="5">E6-N6</f>
        <v>9087933.6016</v>
      </c>
      <c r="P6" s="470">
        <f t="shared" ref="P6:P36" si="6">IF(O6&lt;300000,0.07*O6,21000)</f>
        <v>21000</v>
      </c>
      <c r="Q6" s="470">
        <f t="shared" ref="Q6:Q36" si="7">IF((O6-300000)&lt;0,0,IF((O6-300000)&lt;300000,0.11*(O6-300000),33000))</f>
        <v>33000</v>
      </c>
      <c r="R6" s="470">
        <f t="shared" ref="R6:R36" si="8">IF((O6-600000)&lt;0,0,IF((O6-600000)&lt;500000,0.15*(O6-600000),75000))</f>
        <v>75000</v>
      </c>
      <c r="S6" s="470">
        <f t="shared" ref="S6:S36" si="9">IF((O6-1100000)&lt;0,0,IF((O6-1100000)&lt;500000,0.19*(O6-1100000),95000))</f>
        <v>95000</v>
      </c>
      <c r="T6" s="470">
        <f t="shared" ref="T6:T36" si="10">IF((O6-1600000)&lt;0,0,IF((O6-1600000)&lt;1600000,0.21*(O6-1600000),336000))</f>
        <v>336000</v>
      </c>
      <c r="U6" s="470">
        <f t="shared" ref="U6:U15" si="11">24%*(O6-3200000)</f>
        <v>1413104.064384</v>
      </c>
      <c r="V6" s="470">
        <f t="shared" ref="V6:V36" si="12">P6+Q6+R6+S6+T6+U6</f>
        <v>1973104.064384</v>
      </c>
      <c r="W6" s="471">
        <v>12</v>
      </c>
      <c r="X6" s="470">
        <f t="shared" ref="X6:X36" si="13">V6/W6</f>
        <v>164425.338698667</v>
      </c>
      <c r="Y6" s="470"/>
      <c r="Z6" s="470">
        <f t="shared" ref="Z6:Z36" si="14">X6</f>
        <v>164425.338698667</v>
      </c>
      <c r="AA6" s="473">
        <v>201165.835946667</v>
      </c>
      <c r="AB6" s="473">
        <f t="shared" ref="AB6:AB32" si="15">Z6-AA6</f>
        <v>-36740.4972480003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v>476186.583333333</v>
      </c>
      <c r="D7" s="469">
        <v>12</v>
      </c>
      <c r="E7" s="470">
        <f t="shared" si="0"/>
        <v>5714239</v>
      </c>
      <c r="F7" s="470"/>
      <c r="G7" s="470">
        <v>731878.24</v>
      </c>
      <c r="H7" s="470"/>
      <c r="I7" s="470">
        <f t="shared" si="1"/>
        <v>4982360.76</v>
      </c>
      <c r="J7" s="470">
        <v>200000</v>
      </c>
      <c r="K7" s="470">
        <v>0.2</v>
      </c>
      <c r="L7" s="470">
        <f t="shared" si="2"/>
        <v>996472.151999999</v>
      </c>
      <c r="M7" s="470">
        <f t="shared" si="3"/>
        <v>1196472.152</v>
      </c>
      <c r="N7" s="470">
        <f t="shared" si="4"/>
        <v>1928350.392</v>
      </c>
      <c r="O7" s="470">
        <f t="shared" si="5"/>
        <v>3785888.608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140613.265919999</v>
      </c>
      <c r="V7" s="470">
        <f t="shared" si="12"/>
        <v>700613.265919999</v>
      </c>
      <c r="W7" s="471">
        <v>12</v>
      </c>
      <c r="X7" s="470">
        <f t="shared" si="13"/>
        <v>58384.4388266666</v>
      </c>
      <c r="Y7" s="470"/>
      <c r="Z7" s="470">
        <f t="shared" si="14"/>
        <v>58384.4388266666</v>
      </c>
      <c r="AA7" s="473">
        <v>82627.9514186667</v>
      </c>
      <c r="AB7" s="473">
        <f t="shared" si="15"/>
        <v>-24243.5125920001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v>576186.583333333</v>
      </c>
      <c r="D8" s="469">
        <v>12</v>
      </c>
      <c r="E8" s="470">
        <f t="shared" si="0"/>
        <v>6914239</v>
      </c>
      <c r="F8" s="470"/>
      <c r="G8" s="470">
        <v>0</v>
      </c>
      <c r="H8" s="470"/>
      <c r="I8" s="470">
        <f t="shared" si="1"/>
        <v>6914239</v>
      </c>
      <c r="J8" s="470">
        <v>200000</v>
      </c>
      <c r="K8" s="470">
        <v>0.2</v>
      </c>
      <c r="L8" s="470">
        <f t="shared" si="2"/>
        <v>1382847.8</v>
      </c>
      <c r="M8" s="470">
        <f t="shared" si="3"/>
        <v>1582847.8</v>
      </c>
      <c r="N8" s="470">
        <f t="shared" si="4"/>
        <v>1582847.8</v>
      </c>
      <c r="O8" s="470">
        <f t="shared" si="5"/>
        <v>5331391.2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511533.887999999</v>
      </c>
      <c r="V8" s="470">
        <f t="shared" si="12"/>
        <v>1071533.888</v>
      </c>
      <c r="W8" s="471">
        <v>12</v>
      </c>
      <c r="X8" s="470">
        <f t="shared" si="13"/>
        <v>89294.4906666666</v>
      </c>
      <c r="Y8" s="470"/>
      <c r="Z8" s="470">
        <f t="shared" si="14"/>
        <v>89294.4906666666</v>
      </c>
      <c r="AA8" s="473">
        <v>121027.951418667</v>
      </c>
      <c r="AB8" s="473">
        <f t="shared" si="15"/>
        <v>-31733.4607520004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471186.583333333</v>
      </c>
      <c r="D9" s="469">
        <v>12</v>
      </c>
      <c r="E9" s="470">
        <f t="shared" si="0"/>
        <v>5654239</v>
      </c>
      <c r="F9" s="470">
        <f>'[6]JANUARY 2024'!$V$10*12</f>
        <v>12795.951</v>
      </c>
      <c r="G9" s="470">
        <v>731878.24</v>
      </c>
      <c r="H9" s="470"/>
      <c r="I9" s="470">
        <f t="shared" si="1"/>
        <v>4909564.809</v>
      </c>
      <c r="J9" s="470">
        <v>200000</v>
      </c>
      <c r="K9" s="470">
        <v>0.2</v>
      </c>
      <c r="L9" s="470">
        <f t="shared" si="2"/>
        <v>981912.961799999</v>
      </c>
      <c r="M9" s="470">
        <f t="shared" si="3"/>
        <v>1181912.9618</v>
      </c>
      <c r="N9" s="470">
        <f t="shared" si="4"/>
        <v>1926587.1528</v>
      </c>
      <c r="O9" s="470">
        <f t="shared" si="5"/>
        <v>3727651.8472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126636.443327999</v>
      </c>
      <c r="V9" s="470">
        <f t="shared" si="12"/>
        <v>686636.443327999</v>
      </c>
      <c r="W9" s="471">
        <v>12</v>
      </c>
      <c r="X9" s="470">
        <f t="shared" si="13"/>
        <v>57219.7036106666</v>
      </c>
      <c r="Y9" s="470"/>
      <c r="Z9" s="470">
        <f t="shared" si="14"/>
        <v>57219.7036106666</v>
      </c>
      <c r="AA9" s="473">
        <v>99703.2162026667</v>
      </c>
      <c r="AB9" s="473">
        <f t="shared" si="15"/>
        <v>-42483.5125920001</v>
      </c>
      <c r="AC9" s="473"/>
      <c r="AD9" s="473"/>
      <c r="AE9" s="473"/>
    </row>
    <row r="10" ht="18" spans="1:31">
      <c r="A10" s="467">
        <v>7</v>
      </c>
      <c r="B10" s="14" t="s">
        <v>300</v>
      </c>
      <c r="C10" s="468">
        <v>551186.583333333</v>
      </c>
      <c r="D10" s="469">
        <v>12</v>
      </c>
      <c r="E10" s="470">
        <f t="shared" si="0"/>
        <v>6614239</v>
      </c>
      <c r="F10" s="470">
        <f>'[6]JANUARY 2024'!$V$10*12</f>
        <v>12795.951</v>
      </c>
      <c r="G10" s="470">
        <v>731878.24</v>
      </c>
      <c r="H10" s="470"/>
      <c r="I10" s="470">
        <f t="shared" si="1"/>
        <v>5869564.809</v>
      </c>
      <c r="J10" s="470">
        <v>200000</v>
      </c>
      <c r="K10" s="470">
        <v>0.2</v>
      </c>
      <c r="L10" s="470">
        <f t="shared" si="2"/>
        <v>1173912.9618</v>
      </c>
      <c r="M10" s="470">
        <f t="shared" si="3"/>
        <v>1373912.9618</v>
      </c>
      <c r="N10" s="470">
        <f t="shared" si="4"/>
        <v>2118587.1528</v>
      </c>
      <c r="O10" s="470">
        <f t="shared" si="5"/>
        <v>4495651.8472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310956.443327999</v>
      </c>
      <c r="V10" s="470">
        <f t="shared" si="12"/>
        <v>870956.443327999</v>
      </c>
      <c r="W10" s="471">
        <v>12</v>
      </c>
      <c r="X10" s="470">
        <f t="shared" si="13"/>
        <v>72579.7036106666</v>
      </c>
      <c r="Y10" s="470"/>
      <c r="Z10" s="470">
        <f t="shared" si="14"/>
        <v>72579.7036106666</v>
      </c>
      <c r="AA10" s="473">
        <v>111223.216202667</v>
      </c>
      <c r="AB10" s="473">
        <f t="shared" si="15"/>
        <v>-38643.5125920004</v>
      </c>
      <c r="AC10" s="473"/>
      <c r="AD10" s="473"/>
      <c r="AE10" s="473"/>
    </row>
    <row r="11" ht="18" spans="1:31">
      <c r="A11" s="467">
        <v>8</v>
      </c>
      <c r="B11" s="11" t="s">
        <v>34</v>
      </c>
      <c r="C11" s="468">
        <v>375337.791666667</v>
      </c>
      <c r="D11" s="469">
        <v>12</v>
      </c>
      <c r="E11" s="470">
        <f t="shared" si="0"/>
        <v>4504053.5</v>
      </c>
      <c r="F11" s="470"/>
      <c r="G11" s="470">
        <v>0</v>
      </c>
      <c r="H11" s="470"/>
      <c r="I11" s="470">
        <f t="shared" si="1"/>
        <v>4504053.5</v>
      </c>
      <c r="J11" s="470">
        <v>200000</v>
      </c>
      <c r="K11" s="470">
        <v>0.2</v>
      </c>
      <c r="L11" s="470">
        <f t="shared" si="2"/>
        <v>900810.700000001</v>
      </c>
      <c r="M11" s="470">
        <f t="shared" si="3"/>
        <v>1100810.7</v>
      </c>
      <c r="N11" s="470">
        <f t="shared" si="4"/>
        <v>1100810.7</v>
      </c>
      <c r="O11" s="470">
        <f t="shared" si="5"/>
        <v>3403242.8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48778.2720000007</v>
      </c>
      <c r="V11" s="470">
        <f t="shared" si="12"/>
        <v>608778.272000001</v>
      </c>
      <c r="W11" s="471">
        <v>12</v>
      </c>
      <c r="X11" s="470">
        <f t="shared" si="13"/>
        <v>50731.5226666667</v>
      </c>
      <c r="Y11" s="470"/>
      <c r="Z11" s="470">
        <f t="shared" si="14"/>
        <v>50731.5226666667</v>
      </c>
      <c r="AA11" s="473">
        <v>101827.951418667</v>
      </c>
      <c r="AB11" s="473">
        <f t="shared" si="15"/>
        <v>-51096.4287520003</v>
      </c>
      <c r="AC11" s="473"/>
      <c r="AD11" s="473"/>
      <c r="AE11" s="473"/>
    </row>
    <row r="12" ht="18" spans="1:31">
      <c r="A12" s="467">
        <v>9</v>
      </c>
      <c r="B12" s="11" t="s">
        <v>37</v>
      </c>
      <c r="C12" s="468">
        <v>471059.041666667</v>
      </c>
      <c r="D12" s="469">
        <v>12</v>
      </c>
      <c r="E12" s="470">
        <f t="shared" si="0"/>
        <v>5652708.5</v>
      </c>
      <c r="F12" s="470">
        <f>'[6]JANUARY 2024'!$V$13*12</f>
        <v>10052.25</v>
      </c>
      <c r="G12" s="470">
        <v>595848.56</v>
      </c>
      <c r="H12" s="470"/>
      <c r="I12" s="470">
        <f t="shared" si="1"/>
        <v>5046807.69</v>
      </c>
      <c r="J12" s="470">
        <v>200000</v>
      </c>
      <c r="K12" s="470">
        <v>0.2</v>
      </c>
      <c r="L12" s="470">
        <f t="shared" si="2"/>
        <v>1009361.538</v>
      </c>
      <c r="M12" s="470">
        <f t="shared" si="3"/>
        <v>1209361.538</v>
      </c>
      <c r="N12" s="470">
        <f t="shared" si="4"/>
        <v>1815262.348</v>
      </c>
      <c r="O12" s="470">
        <f t="shared" si="5"/>
        <v>3837446.152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152987.076480001</v>
      </c>
      <c r="V12" s="470">
        <f t="shared" si="12"/>
        <v>712987.076480001</v>
      </c>
      <c r="W12" s="471">
        <v>12</v>
      </c>
      <c r="X12" s="470">
        <f t="shared" si="13"/>
        <v>59415.5897066667</v>
      </c>
      <c r="Y12" s="470"/>
      <c r="Z12" s="470">
        <f t="shared" si="14"/>
        <v>59415.5897066667</v>
      </c>
      <c r="AA12" s="473">
        <v>74036.1031466667</v>
      </c>
      <c r="AB12" s="473">
        <f t="shared" si="15"/>
        <v>-14620.51344</v>
      </c>
      <c r="AC12" s="473"/>
      <c r="AD12" s="473"/>
      <c r="AE12" s="473"/>
    </row>
    <row r="13" ht="18" spans="1:31">
      <c r="A13" s="467">
        <v>10</v>
      </c>
      <c r="B13" s="11" t="s">
        <v>40</v>
      </c>
      <c r="C13" s="468">
        <v>277186.875</v>
      </c>
      <c r="D13" s="469">
        <v>12</v>
      </c>
      <c r="E13" s="470">
        <f t="shared" si="0"/>
        <v>3326242.5</v>
      </c>
      <c r="F13" s="470">
        <f>'[6]JANUARY 2024'!$V$14*12</f>
        <v>9305.952</v>
      </c>
      <c r="G13" s="470">
        <v>558833.36</v>
      </c>
      <c r="H13" s="470"/>
      <c r="I13" s="470">
        <f t="shared" si="1"/>
        <v>2758103.188</v>
      </c>
      <c r="J13" s="470">
        <v>200000</v>
      </c>
      <c r="K13" s="470">
        <v>0.2</v>
      </c>
      <c r="L13" s="470">
        <f t="shared" si="2"/>
        <v>551620.6376</v>
      </c>
      <c r="M13" s="470">
        <f t="shared" si="3"/>
        <v>751620.6376</v>
      </c>
      <c r="N13" s="470">
        <f t="shared" si="4"/>
        <v>1319759.9496</v>
      </c>
      <c r="O13" s="470">
        <f t="shared" si="5"/>
        <v>2006482.5504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85361.335584</v>
      </c>
      <c r="U13" s="470"/>
      <c r="V13" s="470">
        <f t="shared" si="12"/>
        <v>309361.335584</v>
      </c>
      <c r="W13" s="471">
        <v>12</v>
      </c>
      <c r="X13" s="470">
        <f t="shared" si="13"/>
        <v>25780.1112986667</v>
      </c>
      <c r="Y13" s="470"/>
      <c r="Z13" s="470">
        <f t="shared" si="14"/>
        <v>25780.1112986667</v>
      </c>
      <c r="AA13" s="473">
        <v>94625.7820586667</v>
      </c>
      <c r="AB13" s="473">
        <f t="shared" si="15"/>
        <v>-68845.67076</v>
      </c>
      <c r="AC13" s="473"/>
      <c r="AD13" s="473"/>
      <c r="AE13" s="473"/>
    </row>
    <row r="14" ht="18" spans="1:31">
      <c r="A14" s="467">
        <v>11</v>
      </c>
      <c r="B14" s="14" t="s">
        <v>43</v>
      </c>
      <c r="C14" s="468">
        <v>446059.041666667</v>
      </c>
      <c r="D14" s="469">
        <v>12</v>
      </c>
      <c r="E14" s="470">
        <f t="shared" si="0"/>
        <v>5352708.5</v>
      </c>
      <c r="F14" s="470"/>
      <c r="G14" s="470">
        <v>464998.8</v>
      </c>
      <c r="H14" s="470"/>
      <c r="I14" s="470">
        <f t="shared" si="1"/>
        <v>4887709.7</v>
      </c>
      <c r="J14" s="470">
        <v>200000</v>
      </c>
      <c r="K14" s="470">
        <v>0.2</v>
      </c>
      <c r="L14" s="470">
        <f t="shared" si="2"/>
        <v>977541.940000001</v>
      </c>
      <c r="M14" s="470">
        <f t="shared" si="3"/>
        <v>1177541.94</v>
      </c>
      <c r="N14" s="470">
        <f t="shared" si="4"/>
        <v>1642540.74</v>
      </c>
      <c r="O14" s="470">
        <f t="shared" si="5"/>
        <v>3710167.76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122440.262400001</v>
      </c>
      <c r="V14" s="470">
        <f t="shared" si="12"/>
        <v>682440.262400001</v>
      </c>
      <c r="W14" s="471">
        <v>12</v>
      </c>
      <c r="X14" s="470">
        <f t="shared" si="13"/>
        <v>56870.0218666667</v>
      </c>
      <c r="Y14" s="470"/>
      <c r="Z14" s="470">
        <f t="shared" si="14"/>
        <v>56870.0218666667</v>
      </c>
      <c r="AA14" s="473">
        <v>44846.6165886667</v>
      </c>
      <c r="AB14" s="473">
        <f t="shared" si="15"/>
        <v>12023.405278</v>
      </c>
      <c r="AC14" s="473"/>
      <c r="AD14" s="473"/>
      <c r="AE14" s="473"/>
    </row>
    <row r="15" ht="18" spans="1:31">
      <c r="A15" s="467">
        <v>12</v>
      </c>
      <c r="B15" s="11" t="s">
        <v>45</v>
      </c>
      <c r="C15" s="468">
        <v>416373.25</v>
      </c>
      <c r="D15" s="469">
        <v>12</v>
      </c>
      <c r="E15" s="470">
        <f t="shared" si="0"/>
        <v>4996479</v>
      </c>
      <c r="F15" s="470"/>
      <c r="G15" s="474">
        <v>451678.08</v>
      </c>
      <c r="H15" s="470"/>
      <c r="I15" s="470">
        <f t="shared" si="1"/>
        <v>4544800.92</v>
      </c>
      <c r="J15" s="470">
        <v>200000</v>
      </c>
      <c r="K15" s="470">
        <v>0.2</v>
      </c>
      <c r="L15" s="470">
        <f t="shared" si="2"/>
        <v>908960.184</v>
      </c>
      <c r="M15" s="470">
        <f t="shared" si="3"/>
        <v>1108960.184</v>
      </c>
      <c r="N15" s="470">
        <f t="shared" si="4"/>
        <v>1560638.264</v>
      </c>
      <c r="O15" s="470">
        <f t="shared" si="5"/>
        <v>3435840.736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56601.77664</v>
      </c>
      <c r="V15" s="470">
        <f t="shared" si="12"/>
        <v>616601.77664</v>
      </c>
      <c r="W15" s="471">
        <v>12</v>
      </c>
      <c r="X15" s="470">
        <f t="shared" si="13"/>
        <v>51383.4813866667</v>
      </c>
      <c r="Y15" s="470"/>
      <c r="Z15" s="470">
        <f t="shared" si="14"/>
        <v>51383.4813866667</v>
      </c>
      <c r="AA15" s="473">
        <v>46666.6666666667</v>
      </c>
      <c r="AB15" s="473">
        <f t="shared" si="15"/>
        <v>4716.81471999997</v>
      </c>
      <c r="AC15" s="473"/>
      <c r="AD15" s="473"/>
      <c r="AE15" s="473"/>
    </row>
    <row r="16" ht="18" spans="1:31">
      <c r="A16" s="467">
        <v>13</v>
      </c>
      <c r="B16" s="11" t="s">
        <v>48</v>
      </c>
      <c r="C16" s="468">
        <v>331059.041666667</v>
      </c>
      <c r="D16" s="469">
        <v>12</v>
      </c>
      <c r="E16" s="470">
        <f t="shared" si="0"/>
        <v>3972708.5</v>
      </c>
      <c r="F16" s="470"/>
      <c r="G16" s="470">
        <v>425036.64</v>
      </c>
      <c r="H16" s="470"/>
      <c r="I16" s="470">
        <f t="shared" si="1"/>
        <v>3547671.86</v>
      </c>
      <c r="J16" s="470">
        <v>200000</v>
      </c>
      <c r="K16" s="470">
        <v>0.2</v>
      </c>
      <c r="L16" s="470">
        <f t="shared" si="2"/>
        <v>709534.372000001</v>
      </c>
      <c r="M16" s="470">
        <f t="shared" si="3"/>
        <v>909534.372000001</v>
      </c>
      <c r="N16" s="470">
        <f t="shared" si="4"/>
        <v>1334571.012</v>
      </c>
      <c r="O16" s="470">
        <f t="shared" si="5"/>
        <v>2638137.488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218008.872480001</v>
      </c>
      <c r="U16" s="470"/>
      <c r="V16" s="470">
        <f t="shared" si="12"/>
        <v>442008.872480001</v>
      </c>
      <c r="W16" s="471">
        <v>12</v>
      </c>
      <c r="X16" s="470">
        <f t="shared" si="13"/>
        <v>36834.0727066667</v>
      </c>
      <c r="Y16" s="470"/>
      <c r="Z16" s="470">
        <f t="shared" si="14"/>
        <v>36834.0727066667</v>
      </c>
      <c r="AA16" s="473">
        <v>46666.6666666667</v>
      </c>
      <c r="AB16" s="473">
        <f t="shared" si="15"/>
        <v>-9832.59395999999</v>
      </c>
      <c r="AC16" s="473"/>
      <c r="AD16" s="473"/>
      <c r="AE16" s="473"/>
    </row>
    <row r="17" ht="18" spans="1:31">
      <c r="A17" s="467">
        <v>14</v>
      </c>
      <c r="B17" s="11" t="s">
        <v>51</v>
      </c>
      <c r="C17" s="468">
        <v>274457.958333333</v>
      </c>
      <c r="D17" s="469">
        <v>12</v>
      </c>
      <c r="E17" s="470">
        <f t="shared" si="0"/>
        <v>3293495.5</v>
      </c>
      <c r="F17" s="470"/>
      <c r="G17" s="470">
        <v>424132.72</v>
      </c>
      <c r="H17" s="470"/>
      <c r="I17" s="470">
        <f t="shared" si="1"/>
        <v>2869362.78</v>
      </c>
      <c r="J17" s="470">
        <v>200000</v>
      </c>
      <c r="K17" s="470">
        <v>0.2</v>
      </c>
      <c r="L17" s="470">
        <f t="shared" si="2"/>
        <v>573872.555999999</v>
      </c>
      <c r="M17" s="470">
        <f t="shared" si="3"/>
        <v>773872.555999999</v>
      </c>
      <c r="N17" s="470">
        <f t="shared" si="4"/>
        <v>1198005.276</v>
      </c>
      <c r="O17" s="470">
        <f t="shared" si="5"/>
        <v>2095490.224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104052.947039999</v>
      </c>
      <c r="U17" s="470"/>
      <c r="V17" s="470">
        <f t="shared" si="12"/>
        <v>328052.947039999</v>
      </c>
      <c r="W17" s="471">
        <v>12</v>
      </c>
      <c r="X17" s="470">
        <f t="shared" si="13"/>
        <v>27337.7455866666</v>
      </c>
      <c r="Y17" s="470"/>
      <c r="Z17" s="470">
        <f t="shared" si="14"/>
        <v>27337.7455866666</v>
      </c>
      <c r="AA17" s="473">
        <v>42046.0636866667</v>
      </c>
      <c r="AB17" s="473">
        <f t="shared" si="15"/>
        <v>-14708.3181000001</v>
      </c>
      <c r="AC17" s="473"/>
      <c r="AD17" s="473"/>
      <c r="AE17" s="473"/>
    </row>
    <row r="18" ht="18" spans="1:31">
      <c r="A18" s="467">
        <v>15</v>
      </c>
      <c r="B18" s="18" t="s">
        <v>54</v>
      </c>
      <c r="C18" s="468">
        <v>368013.458333333</v>
      </c>
      <c r="D18" s="469">
        <v>12</v>
      </c>
      <c r="E18" s="470">
        <f t="shared" si="0"/>
        <v>4416161.5</v>
      </c>
      <c r="F18" s="470"/>
      <c r="G18" s="470">
        <v>411759.28</v>
      </c>
      <c r="H18" s="470"/>
      <c r="I18" s="470">
        <f t="shared" si="1"/>
        <v>4004402.22</v>
      </c>
      <c r="J18" s="470">
        <v>200000</v>
      </c>
      <c r="K18" s="470">
        <v>0.2</v>
      </c>
      <c r="L18" s="470">
        <f t="shared" si="2"/>
        <v>800880.443999999</v>
      </c>
      <c r="M18" s="470">
        <f t="shared" si="3"/>
        <v>1000880.444</v>
      </c>
      <c r="N18" s="470">
        <f t="shared" si="4"/>
        <v>1412639.724</v>
      </c>
      <c r="O18" s="470">
        <f t="shared" si="5"/>
        <v>3003521.776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294739.572959999</v>
      </c>
      <c r="U18" s="470"/>
      <c r="V18" s="470">
        <f t="shared" si="12"/>
        <v>518739.572959999</v>
      </c>
      <c r="W18" s="471">
        <v>12</v>
      </c>
      <c r="X18" s="470">
        <f t="shared" si="13"/>
        <v>43228.2977466666</v>
      </c>
      <c r="Y18" s="470"/>
      <c r="Z18" s="470">
        <f t="shared" si="14"/>
        <v>43228.2977466666</v>
      </c>
      <c r="AA18" s="473">
        <v>46666.6666666667</v>
      </c>
      <c r="AB18" s="473">
        <f t="shared" si="15"/>
        <v>-3438.36892000009</v>
      </c>
      <c r="AC18" s="473"/>
      <c r="AD18" s="473"/>
      <c r="AE18" s="473"/>
    </row>
    <row r="19" ht="18" spans="1:31">
      <c r="A19" s="467">
        <v>16</v>
      </c>
      <c r="B19" s="18" t="s">
        <v>57</v>
      </c>
      <c r="C19" s="468">
        <v>230124.458333333</v>
      </c>
      <c r="D19" s="469">
        <v>12</v>
      </c>
      <c r="E19" s="470">
        <f t="shared" si="0"/>
        <v>2761493.5</v>
      </c>
      <c r="F19" s="470">
        <f>618.53*12</f>
        <v>7422.36</v>
      </c>
      <c r="G19" s="470">
        <v>399385.84</v>
      </c>
      <c r="H19" s="470"/>
      <c r="I19" s="470">
        <f t="shared" si="1"/>
        <v>2354685.3</v>
      </c>
      <c r="J19" s="470">
        <v>200000</v>
      </c>
      <c r="K19" s="470">
        <v>0.2</v>
      </c>
      <c r="L19" s="470">
        <f t="shared" si="2"/>
        <v>470937.059999999</v>
      </c>
      <c r="M19" s="470">
        <f t="shared" si="3"/>
        <v>670937.059999999</v>
      </c>
      <c r="N19" s="470">
        <f t="shared" si="4"/>
        <v>1077745.26</v>
      </c>
      <c r="O19" s="470">
        <f t="shared" si="5"/>
        <v>1683748.24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17587.1303999993</v>
      </c>
      <c r="U19" s="470"/>
      <c r="V19" s="470">
        <f t="shared" si="12"/>
        <v>241587.130399999</v>
      </c>
      <c r="W19" s="471">
        <v>12</v>
      </c>
      <c r="X19" s="470">
        <f t="shared" si="13"/>
        <v>20132.2608666666</v>
      </c>
      <c r="Y19" s="470"/>
      <c r="Z19" s="470">
        <f t="shared" si="14"/>
        <v>20132.2608666666</v>
      </c>
      <c r="AA19" s="473">
        <v>46666.6666666667</v>
      </c>
      <c r="AB19" s="473">
        <f t="shared" si="15"/>
        <v>-26534.4058000001</v>
      </c>
      <c r="AC19" s="473"/>
      <c r="AD19" s="473"/>
      <c r="AE19" s="473"/>
    </row>
    <row r="20" ht="18" spans="1:31">
      <c r="A20" s="467">
        <v>17</v>
      </c>
      <c r="B20" s="18" t="s">
        <v>60</v>
      </c>
      <c r="C20" s="468">
        <v>255124.458333333</v>
      </c>
      <c r="D20" s="469">
        <v>12</v>
      </c>
      <c r="E20" s="470">
        <f t="shared" si="0"/>
        <v>3061493.5</v>
      </c>
      <c r="F20" s="470"/>
      <c r="G20" s="470">
        <v>362779.36</v>
      </c>
      <c r="H20" s="470"/>
      <c r="I20" s="470">
        <f t="shared" si="1"/>
        <v>2698714.14</v>
      </c>
      <c r="J20" s="470">
        <v>200000</v>
      </c>
      <c r="K20" s="470">
        <v>0.2</v>
      </c>
      <c r="L20" s="470">
        <f t="shared" si="2"/>
        <v>539742.827999999</v>
      </c>
      <c r="M20" s="470">
        <f t="shared" si="3"/>
        <v>739742.827999999</v>
      </c>
      <c r="N20" s="470">
        <f t="shared" si="4"/>
        <v>1102522.188</v>
      </c>
      <c r="O20" s="470">
        <f t="shared" si="5"/>
        <v>1958971.312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75383.9755199993</v>
      </c>
      <c r="U20" s="470"/>
      <c r="V20" s="470">
        <f t="shared" si="12"/>
        <v>299383.975519999</v>
      </c>
      <c r="W20" s="471">
        <v>12</v>
      </c>
      <c r="X20" s="470">
        <f t="shared" si="13"/>
        <v>24948.6646266666</v>
      </c>
      <c r="Y20" s="470"/>
      <c r="Z20" s="470">
        <f t="shared" si="14"/>
        <v>24948.6646266666</v>
      </c>
      <c r="AA20" s="473">
        <v>52497.7703786666</v>
      </c>
      <c r="AB20" s="473">
        <f t="shared" si="15"/>
        <v>-27549.105752</v>
      </c>
      <c r="AC20" s="473"/>
      <c r="AD20" s="473"/>
      <c r="AE20" s="473"/>
    </row>
    <row r="21" ht="18" spans="1:31">
      <c r="A21" s="467">
        <v>18</v>
      </c>
      <c r="B21" s="11" t="s">
        <v>65</v>
      </c>
      <c r="C21" s="468">
        <v>293947.583333333</v>
      </c>
      <c r="D21" s="469">
        <v>12</v>
      </c>
      <c r="E21" s="470">
        <f t="shared" si="0"/>
        <v>3527371</v>
      </c>
      <c r="F21" s="470"/>
      <c r="G21" s="470">
        <v>339372</v>
      </c>
      <c r="H21" s="470"/>
      <c r="I21" s="470">
        <f t="shared" si="1"/>
        <v>3187999</v>
      </c>
      <c r="J21" s="470">
        <v>200000</v>
      </c>
      <c r="K21" s="470">
        <v>0.2</v>
      </c>
      <c r="L21" s="470">
        <f t="shared" si="2"/>
        <v>637599.799999999</v>
      </c>
      <c r="M21" s="470">
        <f t="shared" si="3"/>
        <v>837599.799999999</v>
      </c>
      <c r="N21" s="470">
        <f t="shared" si="4"/>
        <v>1176971.8</v>
      </c>
      <c r="O21" s="470">
        <f t="shared" si="5"/>
        <v>2350399.2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157583.831999999</v>
      </c>
      <c r="U21" s="470"/>
      <c r="V21" s="470">
        <f t="shared" si="12"/>
        <v>381583.831999999</v>
      </c>
      <c r="W21" s="471">
        <v>12</v>
      </c>
      <c r="X21" s="470">
        <f t="shared" si="13"/>
        <v>31798.6526666666</v>
      </c>
      <c r="Y21" s="470"/>
      <c r="Z21" s="470">
        <f t="shared" si="14"/>
        <v>31798.6526666666</v>
      </c>
      <c r="AA21" s="473">
        <v>46666.6666666667</v>
      </c>
      <c r="AB21" s="473">
        <f t="shared" si="15"/>
        <v>-14868.0140000001</v>
      </c>
      <c r="AC21" s="473"/>
      <c r="AD21" s="473"/>
      <c r="AE21" s="473"/>
    </row>
    <row r="22" ht="18" spans="1:31">
      <c r="A22" s="467">
        <v>19</v>
      </c>
      <c r="B22" s="14" t="s">
        <v>68</v>
      </c>
      <c r="C22" s="468">
        <v>326756.25</v>
      </c>
      <c r="D22" s="469">
        <v>12</v>
      </c>
      <c r="E22" s="470">
        <f t="shared" si="0"/>
        <v>3921075</v>
      </c>
      <c r="F22" s="470"/>
      <c r="G22" s="470">
        <v>339372</v>
      </c>
      <c r="H22" s="470"/>
      <c r="I22" s="470">
        <f t="shared" si="1"/>
        <v>3581703</v>
      </c>
      <c r="J22" s="470">
        <v>200000</v>
      </c>
      <c r="K22" s="470">
        <v>0.2</v>
      </c>
      <c r="L22" s="470">
        <f t="shared" si="2"/>
        <v>716340.6</v>
      </c>
      <c r="M22" s="470">
        <f t="shared" si="3"/>
        <v>916340.6</v>
      </c>
      <c r="N22" s="470">
        <f t="shared" si="4"/>
        <v>1255712.6</v>
      </c>
      <c r="O22" s="470">
        <f t="shared" si="5"/>
        <v>2665362.4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223726.104</v>
      </c>
      <c r="U22" s="470"/>
      <c r="V22" s="470">
        <f t="shared" si="12"/>
        <v>447726.104</v>
      </c>
      <c r="W22" s="471">
        <v>12</v>
      </c>
      <c r="X22" s="470">
        <f t="shared" si="13"/>
        <v>37310.5086666667</v>
      </c>
      <c r="Y22" s="470"/>
      <c r="Z22" s="470">
        <f t="shared" si="14"/>
        <v>37310.5086666667</v>
      </c>
      <c r="AA22" s="473">
        <v>46666.6666666667</v>
      </c>
      <c r="AB22" s="473">
        <f t="shared" si="15"/>
        <v>-9356.15800000004</v>
      </c>
      <c r="AC22" s="473"/>
      <c r="AD22" s="473"/>
      <c r="AE22" s="473"/>
    </row>
    <row r="23" ht="18" spans="1:31">
      <c r="A23" s="467">
        <v>20</v>
      </c>
      <c r="B23" s="11" t="s">
        <v>71</v>
      </c>
      <c r="C23" s="468">
        <v>231756.25</v>
      </c>
      <c r="D23" s="469">
        <v>12</v>
      </c>
      <c r="E23" s="470">
        <f t="shared" si="0"/>
        <v>2781075</v>
      </c>
      <c r="F23" s="470"/>
      <c r="G23" s="470">
        <v>281308.48</v>
      </c>
      <c r="H23" s="470"/>
      <c r="I23" s="470">
        <f t="shared" si="1"/>
        <v>2499766.52</v>
      </c>
      <c r="J23" s="470">
        <v>200000</v>
      </c>
      <c r="K23" s="470">
        <v>0.2</v>
      </c>
      <c r="L23" s="470">
        <f t="shared" si="2"/>
        <v>499953.304</v>
      </c>
      <c r="M23" s="470">
        <f t="shared" si="3"/>
        <v>699953.304</v>
      </c>
      <c r="N23" s="470">
        <f t="shared" si="4"/>
        <v>981261.784</v>
      </c>
      <c r="O23" s="470">
        <f t="shared" si="5"/>
        <v>1799813.216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41960.77536</v>
      </c>
      <c r="U23" s="470"/>
      <c r="V23" s="470">
        <f t="shared" si="12"/>
        <v>265960.77536</v>
      </c>
      <c r="W23" s="471">
        <v>12</v>
      </c>
      <c r="X23" s="470">
        <f t="shared" si="13"/>
        <v>22163.3979466667</v>
      </c>
      <c r="Y23" s="470"/>
      <c r="Z23" s="470">
        <f t="shared" si="14"/>
        <v>22163.3979466667</v>
      </c>
      <c r="AA23" s="473">
        <v>42371.8157286667</v>
      </c>
      <c r="AB23" s="473">
        <f t="shared" si="15"/>
        <v>-20208.417782</v>
      </c>
      <c r="AC23" s="473"/>
      <c r="AD23" s="473"/>
      <c r="AE23" s="473"/>
    </row>
    <row r="24" ht="18" spans="1:31">
      <c r="A24" s="467">
        <v>21</v>
      </c>
      <c r="B24" s="14" t="s">
        <v>73</v>
      </c>
      <c r="C24" s="468">
        <v>276514.833333333</v>
      </c>
      <c r="D24" s="469">
        <v>12</v>
      </c>
      <c r="E24" s="470">
        <f t="shared" si="0"/>
        <v>3318178</v>
      </c>
      <c r="F24" s="470"/>
      <c r="G24" s="470">
        <v>259662.4</v>
      </c>
      <c r="H24" s="470"/>
      <c r="I24" s="470">
        <f t="shared" si="1"/>
        <v>3058515.6</v>
      </c>
      <c r="J24" s="470">
        <v>200000</v>
      </c>
      <c r="K24" s="470">
        <v>0.2</v>
      </c>
      <c r="L24" s="470">
        <f t="shared" si="2"/>
        <v>611703.119999999</v>
      </c>
      <c r="M24" s="470">
        <f t="shared" si="3"/>
        <v>811703.119999999</v>
      </c>
      <c r="N24" s="470">
        <f t="shared" si="4"/>
        <v>1071365.52</v>
      </c>
      <c r="O24" s="470">
        <f t="shared" si="5"/>
        <v>2246812.48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135830.620799999</v>
      </c>
      <c r="U24" s="470"/>
      <c r="V24" s="470">
        <f t="shared" si="12"/>
        <v>359830.620799999</v>
      </c>
      <c r="W24" s="471">
        <v>12</v>
      </c>
      <c r="X24" s="470">
        <f t="shared" si="13"/>
        <v>29985.8850666666</v>
      </c>
      <c r="Y24" s="470"/>
      <c r="Z24" s="470">
        <f t="shared" si="14"/>
        <v>29985.8850666666</v>
      </c>
      <c r="AA24" s="473">
        <v>23036.0123466667</v>
      </c>
      <c r="AB24" s="473">
        <f t="shared" si="15"/>
        <v>6949.87271999991</v>
      </c>
      <c r="AC24" s="473"/>
      <c r="AD24" s="473"/>
      <c r="AE24" s="473"/>
    </row>
    <row r="25" ht="18" spans="1:31">
      <c r="A25" s="467">
        <v>22</v>
      </c>
      <c r="B25" s="14" t="s">
        <v>76</v>
      </c>
      <c r="C25" s="468">
        <v>176514.833333333</v>
      </c>
      <c r="D25" s="469">
        <v>12</v>
      </c>
      <c r="E25" s="470">
        <f t="shared" si="0"/>
        <v>2118178</v>
      </c>
      <c r="F25" s="470"/>
      <c r="G25" s="470">
        <v>259662.4</v>
      </c>
      <c r="H25" s="470"/>
      <c r="I25" s="470">
        <f t="shared" si="1"/>
        <v>1858515.6</v>
      </c>
      <c r="J25" s="470">
        <v>200000</v>
      </c>
      <c r="K25" s="470">
        <v>0.2</v>
      </c>
      <c r="L25" s="470">
        <f t="shared" si="2"/>
        <v>371703.119999999</v>
      </c>
      <c r="M25" s="470">
        <f t="shared" si="3"/>
        <v>571703.119999999</v>
      </c>
      <c r="N25" s="470">
        <f t="shared" si="4"/>
        <v>831365.519999999</v>
      </c>
      <c r="O25" s="470">
        <f t="shared" si="5"/>
        <v>1286812.48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35494.3711999994</v>
      </c>
      <c r="T25" s="470">
        <f t="shared" si="10"/>
        <v>0</v>
      </c>
      <c r="U25" s="470"/>
      <c r="V25" s="470">
        <f t="shared" si="12"/>
        <v>164494.371199999</v>
      </c>
      <c r="W25" s="471">
        <v>12</v>
      </c>
      <c r="X25" s="470">
        <f t="shared" si="13"/>
        <v>13707.8642666666</v>
      </c>
      <c r="Y25" s="470"/>
      <c r="Z25" s="470">
        <f t="shared" si="14"/>
        <v>13707.8642666666</v>
      </c>
      <c r="AA25" s="473">
        <v>23036.0123466667</v>
      </c>
      <c r="AB25" s="473">
        <f t="shared" si="15"/>
        <v>-9328.14808000008</v>
      </c>
      <c r="AC25" s="473"/>
      <c r="AD25" s="473"/>
      <c r="AE25" s="473"/>
    </row>
    <row r="26" ht="18" spans="1:31">
      <c r="A26" s="467">
        <v>23</v>
      </c>
      <c r="B26" s="4" t="s">
        <v>478</v>
      </c>
      <c r="C26" s="468">
        <v>165240.833333333</v>
      </c>
      <c r="D26" s="469">
        <v>12</v>
      </c>
      <c r="E26" s="470">
        <f t="shared" si="0"/>
        <v>1982890</v>
      </c>
      <c r="F26" s="470"/>
      <c r="G26" s="470">
        <v>259662.4</v>
      </c>
      <c r="H26" s="470"/>
      <c r="I26" s="470">
        <f t="shared" si="1"/>
        <v>1723227.6</v>
      </c>
      <c r="J26" s="470">
        <v>200000</v>
      </c>
      <c r="K26" s="470">
        <v>0.2</v>
      </c>
      <c r="L26" s="470">
        <f t="shared" si="2"/>
        <v>344645.519999999</v>
      </c>
      <c r="M26" s="470">
        <f t="shared" si="3"/>
        <v>544645.519999999</v>
      </c>
      <c r="N26" s="470">
        <f t="shared" si="4"/>
        <v>804307.919999999</v>
      </c>
      <c r="O26" s="470">
        <f t="shared" si="5"/>
        <v>1178582.08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14930.5951999994</v>
      </c>
      <c r="T26" s="470">
        <f t="shared" si="10"/>
        <v>0</v>
      </c>
      <c r="U26" s="470"/>
      <c r="V26" s="470">
        <f t="shared" si="12"/>
        <v>143930.595199999</v>
      </c>
      <c r="W26" s="471">
        <v>12</v>
      </c>
      <c r="X26" s="470">
        <f t="shared" si="13"/>
        <v>11994.2162666666</v>
      </c>
      <c r="Y26" s="470"/>
      <c r="Z26" s="470">
        <f t="shared" si="14"/>
        <v>11994.2162666666</v>
      </c>
      <c r="AA26" s="473">
        <v>29756.0123466667</v>
      </c>
      <c r="AB26" s="473">
        <f t="shared" si="15"/>
        <v>-17761.7960800001</v>
      </c>
      <c r="AC26" s="473"/>
      <c r="AD26" s="473"/>
      <c r="AE26" s="473"/>
    </row>
    <row r="27" ht="18" spans="1:31">
      <c r="A27" s="467">
        <v>24</v>
      </c>
      <c r="B27" s="18" t="s">
        <v>79</v>
      </c>
      <c r="C27" s="468">
        <v>165240.833333333</v>
      </c>
      <c r="D27" s="469">
        <v>12</v>
      </c>
      <c r="E27" s="470">
        <f t="shared" si="0"/>
        <v>1982890</v>
      </c>
      <c r="F27" s="470"/>
      <c r="G27" s="470">
        <v>252638.72</v>
      </c>
      <c r="H27" s="470"/>
      <c r="I27" s="470">
        <f t="shared" si="1"/>
        <v>1730251.28</v>
      </c>
      <c r="J27" s="470">
        <v>200000</v>
      </c>
      <c r="K27" s="470">
        <v>0.2</v>
      </c>
      <c r="L27" s="470">
        <f t="shared" si="2"/>
        <v>346050.255999999</v>
      </c>
      <c r="M27" s="470">
        <f t="shared" si="3"/>
        <v>546050.255999999</v>
      </c>
      <c r="N27" s="470">
        <f t="shared" si="4"/>
        <v>798688.975999999</v>
      </c>
      <c r="O27" s="470">
        <f t="shared" si="5"/>
        <v>1184201.024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15998.1945599994</v>
      </c>
      <c r="T27" s="470">
        <f t="shared" si="10"/>
        <v>0</v>
      </c>
      <c r="U27" s="470"/>
      <c r="V27" s="470">
        <f t="shared" si="12"/>
        <v>144998.194559999</v>
      </c>
      <c r="W27" s="471">
        <v>12</v>
      </c>
      <c r="X27" s="470">
        <f t="shared" si="13"/>
        <v>12083.1828799999</v>
      </c>
      <c r="Y27" s="470"/>
      <c r="Z27" s="470">
        <f t="shared" si="14"/>
        <v>12083.1828799999</v>
      </c>
      <c r="AA27" s="473">
        <v>22338.4826046667</v>
      </c>
      <c r="AB27" s="473">
        <f t="shared" si="15"/>
        <v>-10255.2997246668</v>
      </c>
      <c r="AC27" s="473"/>
      <c r="AD27" s="473"/>
      <c r="AE27" s="473"/>
    </row>
    <row r="28" ht="18" spans="1:31">
      <c r="A28" s="467">
        <v>25</v>
      </c>
      <c r="B28" s="11" t="s">
        <v>82</v>
      </c>
      <c r="C28" s="468">
        <v>185240.833333333</v>
      </c>
      <c r="D28" s="469">
        <v>12</v>
      </c>
      <c r="E28" s="470">
        <f t="shared" si="0"/>
        <v>2222890</v>
      </c>
      <c r="F28" s="470"/>
      <c r="G28" s="470">
        <v>245615.04</v>
      </c>
      <c r="H28" s="470"/>
      <c r="I28" s="470">
        <f t="shared" si="1"/>
        <v>1977274.96</v>
      </c>
      <c r="J28" s="470">
        <v>200000</v>
      </c>
      <c r="K28" s="470">
        <v>0.2</v>
      </c>
      <c r="L28" s="470">
        <f t="shared" si="2"/>
        <v>395454.991999999</v>
      </c>
      <c r="M28" s="470">
        <f t="shared" si="3"/>
        <v>595454.991999999</v>
      </c>
      <c r="N28" s="470">
        <f t="shared" si="4"/>
        <v>841070.031999999</v>
      </c>
      <c r="O28" s="470">
        <f t="shared" si="5"/>
        <v>1381819.968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53545.7939199994</v>
      </c>
      <c r="T28" s="470">
        <f t="shared" si="10"/>
        <v>0</v>
      </c>
      <c r="U28" s="470"/>
      <c r="V28" s="470">
        <f t="shared" si="12"/>
        <v>182545.793919999</v>
      </c>
      <c r="W28" s="471">
        <v>12</v>
      </c>
      <c r="X28" s="470">
        <f t="shared" si="13"/>
        <v>15212.1494933333</v>
      </c>
      <c r="Y28" s="470"/>
      <c r="Z28" s="470">
        <f t="shared" si="14"/>
        <v>15212.1494933333</v>
      </c>
      <c r="AA28" s="473">
        <v>21640.9528626667</v>
      </c>
      <c r="AB28" s="473">
        <f t="shared" si="15"/>
        <v>-6428.80336933342</v>
      </c>
      <c r="AC28" s="473"/>
      <c r="AD28" s="473"/>
      <c r="AE28" s="473"/>
    </row>
    <row r="29" ht="18" spans="1:31">
      <c r="A29" s="467">
        <v>26</v>
      </c>
      <c r="B29" s="18" t="s">
        <v>84</v>
      </c>
      <c r="C29" s="468">
        <v>161582.666666667</v>
      </c>
      <c r="D29" s="469">
        <v>12</v>
      </c>
      <c r="E29" s="470">
        <f t="shared" si="0"/>
        <v>1938992</v>
      </c>
      <c r="F29" s="470"/>
      <c r="G29" s="470">
        <v>245615.04</v>
      </c>
      <c r="H29" s="470"/>
      <c r="I29" s="470">
        <f t="shared" si="1"/>
        <v>1693376.96</v>
      </c>
      <c r="J29" s="470">
        <v>200000</v>
      </c>
      <c r="K29" s="470">
        <v>0.2</v>
      </c>
      <c r="L29" s="470">
        <f t="shared" si="2"/>
        <v>338675.392000001</v>
      </c>
      <c r="M29" s="470">
        <f t="shared" si="3"/>
        <v>538675.392000001</v>
      </c>
      <c r="N29" s="470">
        <f t="shared" si="4"/>
        <v>784290.432000001</v>
      </c>
      <c r="O29" s="470">
        <f t="shared" si="5"/>
        <v>1154701.568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10393.2979200006</v>
      </c>
      <c r="T29" s="470">
        <f t="shared" si="10"/>
        <v>0</v>
      </c>
      <c r="U29" s="470"/>
      <c r="V29" s="470">
        <f t="shared" si="12"/>
        <v>139393.297920001</v>
      </c>
      <c r="W29" s="471">
        <v>12</v>
      </c>
      <c r="X29" s="470">
        <f t="shared" si="13"/>
        <v>11616.1081600001</v>
      </c>
      <c r="Y29" s="470"/>
      <c r="Z29" s="470">
        <f t="shared" si="14"/>
        <v>11616.1081600001</v>
      </c>
      <c r="AA29" s="473">
        <v>21640.9528626667</v>
      </c>
      <c r="AB29" s="473">
        <f t="shared" si="15"/>
        <v>-10024.8447026666</v>
      </c>
      <c r="AC29" s="473"/>
      <c r="AD29" s="473"/>
      <c r="AE29" s="473"/>
    </row>
    <row r="30" ht="18" spans="1:31">
      <c r="A30" s="467">
        <v>27</v>
      </c>
      <c r="B30" s="18" t="s">
        <v>87</v>
      </c>
      <c r="C30" s="468">
        <v>157924.5</v>
      </c>
      <c r="D30" s="469">
        <v>12</v>
      </c>
      <c r="E30" s="470">
        <f t="shared" si="0"/>
        <v>1895094</v>
      </c>
      <c r="F30" s="470"/>
      <c r="G30" s="470">
        <v>259662.4</v>
      </c>
      <c r="H30" s="470"/>
      <c r="I30" s="470">
        <f t="shared" si="1"/>
        <v>1635431.6</v>
      </c>
      <c r="J30" s="470">
        <v>200000</v>
      </c>
      <c r="K30" s="470">
        <v>0.2</v>
      </c>
      <c r="L30" s="470">
        <f t="shared" si="2"/>
        <v>327086.32</v>
      </c>
      <c r="M30" s="470">
        <f t="shared" si="3"/>
        <v>527086.32</v>
      </c>
      <c r="N30" s="470">
        <f t="shared" si="4"/>
        <v>786748.72</v>
      </c>
      <c r="O30" s="470">
        <f t="shared" si="5"/>
        <v>1108345.28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1585.60319999996</v>
      </c>
      <c r="T30" s="470">
        <f t="shared" si="10"/>
        <v>0</v>
      </c>
      <c r="U30" s="470"/>
      <c r="V30" s="470">
        <f t="shared" si="12"/>
        <v>130585.6032</v>
      </c>
      <c r="W30" s="471">
        <v>12</v>
      </c>
      <c r="X30" s="470">
        <f t="shared" si="13"/>
        <v>10882.1336</v>
      </c>
      <c r="Y30" s="470"/>
      <c r="Z30" s="470">
        <f t="shared" si="14"/>
        <v>10882.1336</v>
      </c>
      <c r="AA30" s="473">
        <v>22338.4826046667</v>
      </c>
      <c r="AB30" s="473">
        <f t="shared" si="15"/>
        <v>-11456.3490046667</v>
      </c>
      <c r="AC30" s="473"/>
      <c r="AD30" s="473"/>
      <c r="AE30" s="473"/>
    </row>
    <row r="31" ht="18" spans="1:31">
      <c r="A31" s="467">
        <v>28</v>
      </c>
      <c r="B31" s="18" t="s">
        <v>89</v>
      </c>
      <c r="C31" s="468">
        <v>157924.5</v>
      </c>
      <c r="D31" s="469">
        <v>12</v>
      </c>
      <c r="E31" s="470">
        <f t="shared" si="0"/>
        <v>1895094</v>
      </c>
      <c r="F31" s="470"/>
      <c r="G31" s="474">
        <v>221406.64</v>
      </c>
      <c r="H31" s="470"/>
      <c r="I31" s="470">
        <f t="shared" si="1"/>
        <v>1673687.36</v>
      </c>
      <c r="J31" s="470">
        <v>200000</v>
      </c>
      <c r="K31" s="470">
        <v>0.2</v>
      </c>
      <c r="L31" s="470">
        <f t="shared" si="2"/>
        <v>334737.472</v>
      </c>
      <c r="M31" s="470">
        <f t="shared" si="3"/>
        <v>534737.472</v>
      </c>
      <c r="N31" s="470">
        <f t="shared" si="4"/>
        <v>756144.112</v>
      </c>
      <c r="O31" s="470">
        <f t="shared" si="5"/>
        <v>1138949.888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7400.47871999996</v>
      </c>
      <c r="T31" s="470">
        <f t="shared" si="10"/>
        <v>0</v>
      </c>
      <c r="U31" s="470"/>
      <c r="V31" s="470">
        <f t="shared" si="12"/>
        <v>136400.47872</v>
      </c>
      <c r="W31" s="471">
        <v>12</v>
      </c>
      <c r="X31" s="470">
        <f t="shared" si="13"/>
        <v>11366.70656</v>
      </c>
      <c r="Y31" s="470"/>
      <c r="Z31" s="470">
        <f t="shared" si="14"/>
        <v>11366.70656</v>
      </c>
      <c r="AA31" s="473">
        <v>17572.8850026667</v>
      </c>
      <c r="AB31" s="473">
        <f t="shared" si="15"/>
        <v>-6206.1784426667</v>
      </c>
      <c r="AC31" s="473"/>
      <c r="AD31" s="473"/>
      <c r="AE31" s="473"/>
    </row>
    <row r="32" ht="18" spans="1:31">
      <c r="A32" s="467">
        <v>29</v>
      </c>
      <c r="B32" s="18" t="s">
        <v>91</v>
      </c>
      <c r="C32" s="468">
        <v>165240.833333333</v>
      </c>
      <c r="D32" s="469">
        <v>12</v>
      </c>
      <c r="E32" s="470">
        <f t="shared" si="0"/>
        <v>1982890</v>
      </c>
      <c r="F32" s="470"/>
      <c r="G32" s="474">
        <f>17956.78*12</f>
        <v>215481.36</v>
      </c>
      <c r="H32" s="470"/>
      <c r="I32" s="470">
        <f t="shared" si="1"/>
        <v>1767408.64</v>
      </c>
      <c r="J32" s="470">
        <v>200000</v>
      </c>
      <c r="K32" s="470">
        <v>0.2</v>
      </c>
      <c r="L32" s="470">
        <f t="shared" si="2"/>
        <v>353481.727999999</v>
      </c>
      <c r="M32" s="470">
        <f t="shared" si="3"/>
        <v>553481.727999999</v>
      </c>
      <c r="N32" s="470">
        <f t="shared" si="4"/>
        <v>768963.087999999</v>
      </c>
      <c r="O32" s="470">
        <f t="shared" si="5"/>
        <v>1213926.912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21646.1132799994</v>
      </c>
      <c r="T32" s="470">
        <f t="shared" si="10"/>
        <v>0</v>
      </c>
      <c r="U32" s="470"/>
      <c r="V32" s="470">
        <f t="shared" si="12"/>
        <v>150646.113279999</v>
      </c>
      <c r="W32" s="471">
        <v>12</v>
      </c>
      <c r="X32" s="470">
        <f t="shared" si="13"/>
        <v>12553.8427733333</v>
      </c>
      <c r="Y32" s="470"/>
      <c r="Z32" s="470">
        <f t="shared" si="14"/>
        <v>12553.8427733333</v>
      </c>
      <c r="AA32" s="473">
        <v>16512.6821906667</v>
      </c>
      <c r="AB32" s="473">
        <f t="shared" si="15"/>
        <v>-3958.83941733342</v>
      </c>
      <c r="AC32" s="473"/>
      <c r="AD32" s="473"/>
      <c r="AE32" s="473"/>
    </row>
    <row r="33" ht="18" spans="1:31">
      <c r="A33" s="467"/>
      <c r="B33" s="18" t="s">
        <v>93</v>
      </c>
      <c r="C33" s="468">
        <v>157924.5</v>
      </c>
      <c r="D33" s="469">
        <v>12</v>
      </c>
      <c r="E33" s="470">
        <f t="shared" si="0"/>
        <v>1895094</v>
      </c>
      <c r="F33" s="470"/>
      <c r="G33" s="474">
        <f>17956.78*12</f>
        <v>215481.36</v>
      </c>
      <c r="H33" s="470"/>
      <c r="I33" s="470">
        <f t="shared" si="1"/>
        <v>1679612.64</v>
      </c>
      <c r="J33" s="470">
        <v>200000</v>
      </c>
      <c r="K33" s="470">
        <v>0.2</v>
      </c>
      <c r="L33" s="470">
        <f t="shared" si="2"/>
        <v>335922.528</v>
      </c>
      <c r="M33" s="470">
        <f t="shared" si="3"/>
        <v>535922.528</v>
      </c>
      <c r="N33" s="470">
        <f t="shared" si="4"/>
        <v>751403.888</v>
      </c>
      <c r="O33" s="470">
        <f t="shared" si="5"/>
        <v>1143690.112</v>
      </c>
      <c r="P33" s="470">
        <f t="shared" si="6"/>
        <v>21000</v>
      </c>
      <c r="Q33" s="470">
        <f t="shared" si="7"/>
        <v>33000</v>
      </c>
      <c r="R33" s="470">
        <f t="shared" si="8"/>
        <v>75000</v>
      </c>
      <c r="S33" s="470">
        <f t="shared" si="9"/>
        <v>8301.12127999999</v>
      </c>
      <c r="T33" s="470">
        <f t="shared" si="10"/>
        <v>0</v>
      </c>
      <c r="U33" s="470"/>
      <c r="V33" s="470">
        <f t="shared" si="12"/>
        <v>137301.12128</v>
      </c>
      <c r="W33" s="471">
        <v>12</v>
      </c>
      <c r="X33" s="470">
        <f t="shared" si="13"/>
        <v>11441.7601066667</v>
      </c>
      <c r="Y33" s="470"/>
      <c r="Z33" s="470">
        <f t="shared" si="14"/>
        <v>11441.7601066667</v>
      </c>
      <c r="AA33" s="473"/>
      <c r="AB33" s="473"/>
      <c r="AC33" s="473"/>
      <c r="AD33" s="473"/>
      <c r="AE33" s="473"/>
    </row>
    <row r="34" ht="18" spans="1:31">
      <c r="A34" s="467"/>
      <c r="B34" s="18" t="s">
        <v>95</v>
      </c>
      <c r="C34" s="468">
        <v>157924.5</v>
      </c>
      <c r="D34" s="469">
        <v>12</v>
      </c>
      <c r="E34" s="470">
        <f t="shared" si="0"/>
        <v>1895094</v>
      </c>
      <c r="F34" s="470"/>
      <c r="G34" s="474">
        <f>17956.78*12</f>
        <v>215481.36</v>
      </c>
      <c r="H34" s="470"/>
      <c r="I34" s="470">
        <f t="shared" si="1"/>
        <v>1679612.64</v>
      </c>
      <c r="J34" s="470">
        <v>200000</v>
      </c>
      <c r="K34" s="470">
        <v>0.2</v>
      </c>
      <c r="L34" s="470">
        <f t="shared" si="2"/>
        <v>335922.528</v>
      </c>
      <c r="M34" s="470">
        <f t="shared" si="3"/>
        <v>535922.528</v>
      </c>
      <c r="N34" s="470">
        <f t="shared" si="4"/>
        <v>751403.888</v>
      </c>
      <c r="O34" s="470">
        <f t="shared" si="5"/>
        <v>1143690.112</v>
      </c>
      <c r="P34" s="470">
        <f t="shared" si="6"/>
        <v>21000</v>
      </c>
      <c r="Q34" s="470">
        <f t="shared" si="7"/>
        <v>33000</v>
      </c>
      <c r="R34" s="470">
        <f t="shared" si="8"/>
        <v>75000</v>
      </c>
      <c r="S34" s="470">
        <f t="shared" si="9"/>
        <v>8301.12127999999</v>
      </c>
      <c r="T34" s="470">
        <f t="shared" si="10"/>
        <v>0</v>
      </c>
      <c r="U34" s="470"/>
      <c r="V34" s="470">
        <f t="shared" si="12"/>
        <v>137301.12128</v>
      </c>
      <c r="W34" s="471">
        <v>12</v>
      </c>
      <c r="X34" s="470">
        <f t="shared" si="13"/>
        <v>11441.7601066667</v>
      </c>
      <c r="Y34" s="470"/>
      <c r="Z34" s="470">
        <f t="shared" si="14"/>
        <v>11441.7601066667</v>
      </c>
      <c r="AA34" s="473"/>
      <c r="AB34" s="473"/>
      <c r="AC34" s="473"/>
      <c r="AD34" s="473"/>
      <c r="AE34" s="473"/>
    </row>
    <row r="35" ht="18" spans="1:31">
      <c r="A35" s="467">
        <v>31</v>
      </c>
      <c r="B35" s="18" t="s">
        <v>103</v>
      </c>
      <c r="C35" s="470">
        <v>137229.875</v>
      </c>
      <c r="D35" s="469">
        <v>12</v>
      </c>
      <c r="E35" s="470">
        <f t="shared" si="0"/>
        <v>1646758.5</v>
      </c>
      <c r="F35" s="476"/>
      <c r="G35" s="474">
        <f>17956.78*12</f>
        <v>215481.36</v>
      </c>
      <c r="H35" s="476"/>
      <c r="I35" s="470">
        <f t="shared" si="1"/>
        <v>1431277.14</v>
      </c>
      <c r="J35" s="470">
        <v>200000</v>
      </c>
      <c r="K35" s="470">
        <v>0.2</v>
      </c>
      <c r="L35" s="470">
        <f t="shared" si="2"/>
        <v>286255.428</v>
      </c>
      <c r="M35" s="470">
        <f t="shared" si="3"/>
        <v>486255.428</v>
      </c>
      <c r="N35" s="470">
        <f t="shared" si="4"/>
        <v>701736.788</v>
      </c>
      <c r="O35" s="470">
        <f t="shared" si="5"/>
        <v>945021.712</v>
      </c>
      <c r="P35" s="470">
        <f t="shared" si="6"/>
        <v>21000</v>
      </c>
      <c r="Q35" s="470">
        <f t="shared" si="7"/>
        <v>33000</v>
      </c>
      <c r="R35" s="470">
        <f t="shared" si="8"/>
        <v>51753.2568</v>
      </c>
      <c r="S35" s="470">
        <f t="shared" si="9"/>
        <v>0</v>
      </c>
      <c r="T35" s="470">
        <f t="shared" si="10"/>
        <v>0</v>
      </c>
      <c r="U35" s="470"/>
      <c r="V35" s="470">
        <f t="shared" si="12"/>
        <v>105753.2568</v>
      </c>
      <c r="W35" s="471">
        <v>12</v>
      </c>
      <c r="X35" s="470">
        <f t="shared" si="13"/>
        <v>8812.7714</v>
      </c>
      <c r="Y35" s="476"/>
      <c r="Z35" s="470">
        <f t="shared" si="14"/>
        <v>8812.7714</v>
      </c>
      <c r="AA35" s="473"/>
      <c r="AB35" s="473"/>
      <c r="AC35" s="473"/>
      <c r="AD35" s="473"/>
      <c r="AE35" s="473"/>
    </row>
    <row r="36" ht="36" spans="1:31">
      <c r="A36" s="467">
        <v>32</v>
      </c>
      <c r="B36" s="18" t="s">
        <v>106</v>
      </c>
      <c r="C36" s="470">
        <v>134143.791666667</v>
      </c>
      <c r="D36" s="469">
        <v>12</v>
      </c>
      <c r="E36" s="470">
        <f t="shared" si="0"/>
        <v>1609725.5</v>
      </c>
      <c r="F36" s="476"/>
      <c r="G36" s="474">
        <f>17956.78*12</f>
        <v>215481.36</v>
      </c>
      <c r="H36" s="476"/>
      <c r="I36" s="470">
        <f t="shared" si="1"/>
        <v>1394244.14</v>
      </c>
      <c r="J36" s="470">
        <v>200000</v>
      </c>
      <c r="K36" s="470">
        <v>0.2</v>
      </c>
      <c r="L36" s="470">
        <f t="shared" si="2"/>
        <v>278848.828000001</v>
      </c>
      <c r="M36" s="470">
        <f t="shared" si="3"/>
        <v>478848.828000001</v>
      </c>
      <c r="N36" s="470">
        <f t="shared" si="4"/>
        <v>694330.188000001</v>
      </c>
      <c r="O36" s="470">
        <f t="shared" si="5"/>
        <v>915395.312000003</v>
      </c>
      <c r="P36" s="470">
        <f t="shared" si="6"/>
        <v>21000</v>
      </c>
      <c r="Q36" s="470">
        <f t="shared" si="7"/>
        <v>33000</v>
      </c>
      <c r="R36" s="470">
        <f t="shared" si="8"/>
        <v>47309.2968000005</v>
      </c>
      <c r="S36" s="470">
        <f t="shared" si="9"/>
        <v>0</v>
      </c>
      <c r="T36" s="470">
        <f t="shared" si="10"/>
        <v>0</v>
      </c>
      <c r="U36" s="470"/>
      <c r="V36" s="470">
        <f t="shared" si="12"/>
        <v>101309.296800001</v>
      </c>
      <c r="W36" s="471">
        <v>12</v>
      </c>
      <c r="X36" s="470">
        <f t="shared" si="13"/>
        <v>8442.44140000004</v>
      </c>
      <c r="Y36" s="476"/>
      <c r="Z36" s="470">
        <f t="shared" si="14"/>
        <v>8442.44140000004</v>
      </c>
      <c r="AA36" s="473"/>
      <c r="AB36" s="473"/>
      <c r="AC36" s="473"/>
      <c r="AD36" s="473"/>
      <c r="AE36" s="473"/>
    </row>
    <row r="37" ht="18" spans="1:31">
      <c r="A37" s="467"/>
      <c r="B37" s="18"/>
      <c r="C37" s="470"/>
      <c r="D37" s="469"/>
      <c r="E37" s="470"/>
      <c r="F37" s="476"/>
      <c r="G37" s="476"/>
      <c r="H37" s="476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1"/>
      <c r="X37" s="470"/>
      <c r="Y37" s="476"/>
      <c r="Z37" s="470"/>
      <c r="AA37" s="473"/>
      <c r="AB37" s="473"/>
      <c r="AC37" s="473"/>
      <c r="AD37" s="473"/>
      <c r="AE37" s="473"/>
    </row>
    <row r="38" ht="18" spans="1:31">
      <c r="A38" s="467"/>
      <c r="B38" s="18"/>
      <c r="C38" s="470"/>
      <c r="D38" s="469"/>
      <c r="E38" s="470"/>
      <c r="F38" s="476"/>
      <c r="G38" s="476"/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8" spans="1:31">
      <c r="A39" s="467"/>
      <c r="B39" s="18" t="s">
        <v>122</v>
      </c>
      <c r="C39" s="479">
        <v>767860</v>
      </c>
      <c r="D39" s="470">
        <v>12</v>
      </c>
      <c r="E39" s="470">
        <f t="shared" ref="E39:E42" si="16">C39*D39</f>
        <v>9214320</v>
      </c>
      <c r="F39" s="470"/>
      <c r="G39" s="474">
        <v>1378291.2</v>
      </c>
      <c r="H39" s="470"/>
      <c r="I39" s="470">
        <f t="shared" ref="I39:I42" si="17">E39-F39-G39-H39</f>
        <v>7836028.8</v>
      </c>
      <c r="J39" s="470">
        <v>200000</v>
      </c>
      <c r="K39" s="470">
        <v>0.2</v>
      </c>
      <c r="L39" s="470">
        <f t="shared" ref="L39:L42" si="18">I39*K39</f>
        <v>1567205.76</v>
      </c>
      <c r="M39" s="470">
        <f t="shared" ref="M39:M42" si="19">J39+L39</f>
        <v>1767205.76</v>
      </c>
      <c r="N39" s="470">
        <f t="shared" ref="N39:N42" si="20">F39+G39+H39+M39</f>
        <v>3145496.96</v>
      </c>
      <c r="O39" s="470">
        <f t="shared" ref="O39:O42" si="21">E39-N39</f>
        <v>6068823.04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>24%*(O39-3200000)</f>
        <v>688517.5296</v>
      </c>
      <c r="V39" s="470">
        <f t="shared" ref="V39:V42" si="27">P39+Q39+R39+S39+T39+U39</f>
        <v>1248517.5296</v>
      </c>
      <c r="W39" s="470">
        <v>12</v>
      </c>
      <c r="X39" s="470">
        <f t="shared" ref="X39:X42" si="28">V39/W39</f>
        <v>104043.127466667</v>
      </c>
      <c r="Y39" s="470"/>
      <c r="Z39" s="470">
        <f t="shared" ref="Z39:Z42" si="29">X39</f>
        <v>104043.127466667</v>
      </c>
      <c r="AA39" s="470">
        <v>161106.806858667</v>
      </c>
      <c r="AB39" s="470">
        <f t="shared" ref="AB39:AB42" si="30">Z39-AA39</f>
        <v>-57063.6793920003</v>
      </c>
      <c r="AC39" s="473"/>
      <c r="AD39" s="473"/>
      <c r="AE39" s="473"/>
    </row>
    <row r="40" ht="18" spans="1:31">
      <c r="A40" s="467"/>
      <c r="B40" s="18" t="s">
        <v>127</v>
      </c>
      <c r="C40" s="479">
        <v>176514.833333333</v>
      </c>
      <c r="D40" s="469">
        <v>12</v>
      </c>
      <c r="E40" s="470">
        <f t="shared" si="16"/>
        <v>2118178</v>
      </c>
      <c r="F40" s="470"/>
      <c r="G40" s="474">
        <v>281308.48</v>
      </c>
      <c r="H40" s="470"/>
      <c r="I40" s="470">
        <f t="shared" si="17"/>
        <v>1836869.52</v>
      </c>
      <c r="J40" s="470">
        <v>200000</v>
      </c>
      <c r="K40" s="470">
        <v>0.2</v>
      </c>
      <c r="L40" s="470">
        <f t="shared" si="18"/>
        <v>367373.903999999</v>
      </c>
      <c r="M40" s="470">
        <f t="shared" si="19"/>
        <v>567373.903999999</v>
      </c>
      <c r="N40" s="470">
        <f t="shared" si="20"/>
        <v>848682.383999999</v>
      </c>
      <c r="O40" s="470">
        <f t="shared" si="21"/>
        <v>1269495.616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32204.1670399994</v>
      </c>
      <c r="T40" s="470">
        <f t="shared" si="26"/>
        <v>0</v>
      </c>
      <c r="U40" s="470"/>
      <c r="V40" s="470">
        <f t="shared" si="27"/>
        <v>161204.167039999</v>
      </c>
      <c r="W40" s="470">
        <v>12</v>
      </c>
      <c r="X40" s="470">
        <f t="shared" si="28"/>
        <v>13433.6805866666</v>
      </c>
      <c r="Y40" s="470"/>
      <c r="Z40" s="470">
        <f t="shared" si="29"/>
        <v>13433.6805866666</v>
      </c>
      <c r="AA40" s="473">
        <v>17042.7138666667</v>
      </c>
      <c r="AB40" s="470">
        <f t="shared" si="30"/>
        <v>-3609.03328000009</v>
      </c>
      <c r="AC40" s="473"/>
      <c r="AD40" s="473"/>
      <c r="AE40" s="473"/>
    </row>
    <row r="41" ht="18" spans="1:31">
      <c r="A41" s="467">
        <v>33</v>
      </c>
      <c r="B41" s="11" t="s">
        <v>129</v>
      </c>
      <c r="C41" s="479">
        <v>180482.791666667</v>
      </c>
      <c r="D41" s="469">
        <v>12</v>
      </c>
      <c r="E41" s="470">
        <f t="shared" si="16"/>
        <v>2165793.5</v>
      </c>
      <c r="F41" s="470"/>
      <c r="G41" s="474">
        <v>288926.96</v>
      </c>
      <c r="H41" s="470"/>
      <c r="I41" s="470">
        <f t="shared" si="17"/>
        <v>1876866.54</v>
      </c>
      <c r="J41" s="470">
        <v>200000</v>
      </c>
      <c r="K41" s="470">
        <v>0.2</v>
      </c>
      <c r="L41" s="470">
        <f t="shared" si="18"/>
        <v>375373.308000001</v>
      </c>
      <c r="M41" s="470">
        <f t="shared" si="19"/>
        <v>575373.308000001</v>
      </c>
      <c r="N41" s="470">
        <f t="shared" si="20"/>
        <v>864300.268000001</v>
      </c>
      <c r="O41" s="470">
        <f t="shared" si="21"/>
        <v>1301493.232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38283.7140800006</v>
      </c>
      <c r="T41" s="470">
        <f t="shared" si="26"/>
        <v>0</v>
      </c>
      <c r="U41" s="470"/>
      <c r="V41" s="470">
        <f t="shared" si="27"/>
        <v>167283.714080001</v>
      </c>
      <c r="W41" s="470">
        <v>12</v>
      </c>
      <c r="X41" s="470">
        <f t="shared" si="28"/>
        <v>13940.3095066667</v>
      </c>
      <c r="Y41" s="470"/>
      <c r="Z41" s="470">
        <f t="shared" si="29"/>
        <v>13940.3095066667</v>
      </c>
      <c r="AA41" s="473">
        <v>26339.0784066667</v>
      </c>
      <c r="AB41" s="470">
        <f t="shared" si="30"/>
        <v>-12398.7689</v>
      </c>
      <c r="AC41" s="473"/>
      <c r="AD41" s="473"/>
      <c r="AE41" s="473"/>
    </row>
    <row r="42" ht="18" spans="1:31">
      <c r="A42" s="467">
        <v>33</v>
      </c>
      <c r="B42" s="11" t="s">
        <v>133</v>
      </c>
      <c r="C42" s="479">
        <v>157924.5</v>
      </c>
      <c r="D42" s="469">
        <v>12</v>
      </c>
      <c r="E42" s="470">
        <f t="shared" si="16"/>
        <v>1895094</v>
      </c>
      <c r="F42" s="470"/>
      <c r="G42" s="474">
        <v>288926.96</v>
      </c>
      <c r="H42" s="470"/>
      <c r="I42" s="470">
        <f t="shared" si="17"/>
        <v>1606167.04</v>
      </c>
      <c r="J42" s="470">
        <v>200000</v>
      </c>
      <c r="K42" s="470">
        <v>0.2</v>
      </c>
      <c r="L42" s="470">
        <f t="shared" si="18"/>
        <v>321233.408</v>
      </c>
      <c r="M42" s="470">
        <f t="shared" si="19"/>
        <v>521233.408</v>
      </c>
      <c r="N42" s="470">
        <f t="shared" si="20"/>
        <v>810160.368</v>
      </c>
      <c r="O42" s="470">
        <f t="shared" si="21"/>
        <v>1084933.632</v>
      </c>
      <c r="P42" s="470">
        <f t="shared" si="22"/>
        <v>21000</v>
      </c>
      <c r="Q42" s="470">
        <f t="shared" si="23"/>
        <v>33000</v>
      </c>
      <c r="R42" s="470">
        <f t="shared" si="24"/>
        <v>72740.0448</v>
      </c>
      <c r="S42" s="470">
        <f t="shared" si="25"/>
        <v>0</v>
      </c>
      <c r="T42" s="470">
        <f t="shared" si="26"/>
        <v>0</v>
      </c>
      <c r="U42" s="470"/>
      <c r="V42" s="470">
        <f t="shared" si="27"/>
        <v>126740.0448</v>
      </c>
      <c r="W42" s="470">
        <v>12</v>
      </c>
      <c r="X42" s="470">
        <f t="shared" si="28"/>
        <v>10561.6704</v>
      </c>
      <c r="Y42" s="470"/>
      <c r="Z42" s="470">
        <f t="shared" si="29"/>
        <v>10561.6704</v>
      </c>
      <c r="AA42" s="473">
        <v>26339.0784066667</v>
      </c>
      <c r="AB42" s="470">
        <f t="shared" si="30"/>
        <v>-15777.4080066667</v>
      </c>
      <c r="AC42" s="473"/>
      <c r="AD42" s="473"/>
      <c r="AE42" s="473"/>
    </row>
    <row r="43" ht="18" spans="1:31">
      <c r="A43" s="467"/>
      <c r="B43" s="14"/>
      <c r="C43" s="479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470"/>
      <c r="AA43" s="473"/>
      <c r="AB43" s="473"/>
      <c r="AC43" s="473"/>
      <c r="AD43" s="473"/>
      <c r="AE43" s="473"/>
    </row>
    <row r="44" ht="17.5" spans="1:31">
      <c r="A44" s="467"/>
      <c r="B44" s="23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470"/>
      <c r="AA44" s="473"/>
      <c r="AB44" s="473"/>
      <c r="AC44" s="473"/>
      <c r="AD44" s="473"/>
      <c r="AE44" s="473"/>
    </row>
    <row r="45" ht="36" spans="1:31">
      <c r="A45" s="467">
        <v>35</v>
      </c>
      <c r="B45" s="11" t="s">
        <v>912</v>
      </c>
      <c r="C45" s="468">
        <v>1635720</v>
      </c>
      <c r="D45" s="469">
        <v>12</v>
      </c>
      <c r="E45" s="470">
        <f t="shared" ref="E45:E54" si="31">C45*D45</f>
        <v>19628640</v>
      </c>
      <c r="F45" s="470"/>
      <c r="G45" s="474">
        <v>1378291.2</v>
      </c>
      <c r="H45" s="470"/>
      <c r="I45" s="470">
        <f t="shared" ref="I45:I54" si="32">E45-F45-G45-H45</f>
        <v>18250348.8</v>
      </c>
      <c r="J45" s="470">
        <v>200000</v>
      </c>
      <c r="K45" s="470">
        <v>0.2</v>
      </c>
      <c r="L45" s="470">
        <f t="shared" ref="L45:L54" si="33">I45*K45</f>
        <v>3650069.76</v>
      </c>
      <c r="M45" s="470">
        <f t="shared" ref="M45:M54" si="34">J45+L45</f>
        <v>3850069.76</v>
      </c>
      <c r="N45" s="470">
        <f t="shared" ref="N45:N54" si="35">F45+G45+H45+M45</f>
        <v>5228360.96</v>
      </c>
      <c r="O45" s="470">
        <f t="shared" ref="O45:O54" si="36">E45-N45</f>
        <v>14400279.04</v>
      </c>
      <c r="P45" s="470">
        <f t="shared" ref="P45:P54" si="37">IF(O45&lt;300000,0.07*O45,21000)</f>
        <v>21000</v>
      </c>
      <c r="Q45" s="470">
        <f t="shared" ref="Q45:Q54" si="38">IF((O45-300000)&lt;0,0,IF((O45-300000)&lt;300000,0.11*(O45-300000),33000))</f>
        <v>33000</v>
      </c>
      <c r="R45" s="470">
        <f t="shared" ref="R45:R54" si="39">IF((O45-600000)&lt;0,0,IF((O45-600000)&lt;500000,0.15*(O45-600000),75000))</f>
        <v>75000</v>
      </c>
      <c r="S45" s="470">
        <f t="shared" ref="S45:S54" si="40">IF((O45-1100000)&lt;0,0,IF((O45-1100000)&lt;500000,0.19*(O45-1100000),95000))</f>
        <v>95000</v>
      </c>
      <c r="T45" s="470">
        <f t="shared" ref="T45:T54" si="41">IF((O45-1600000)&lt;0,0,IF((O45-1600000)&lt;1600000,0.21*(O45-1600000),336000))</f>
        <v>336000</v>
      </c>
      <c r="U45" s="470">
        <f>0.24*(O45-3200000)</f>
        <v>2688066.9696</v>
      </c>
      <c r="V45" s="470">
        <f t="shared" ref="V45:V54" si="42">P45+Q45+R45+S45+T45+U45</f>
        <v>3248066.9696</v>
      </c>
      <c r="W45" s="471">
        <v>12</v>
      </c>
      <c r="X45" s="470">
        <f t="shared" ref="X45:X54" si="43">V45/W45</f>
        <v>270672.247466667</v>
      </c>
      <c r="Y45" s="470"/>
      <c r="Z45" s="470">
        <f t="shared" ref="Z45:Z54" si="44">X45</f>
        <v>270672.247466667</v>
      </c>
      <c r="AA45" s="473">
        <v>180306.806858667</v>
      </c>
      <c r="AB45" s="473">
        <f t="shared" ref="AB45:AB54" si="45">Z45-AA45</f>
        <v>90365.4406079996</v>
      </c>
      <c r="AC45" s="473"/>
      <c r="AD45" s="473"/>
      <c r="AE45" s="473"/>
    </row>
    <row r="46" ht="18" spans="1:31">
      <c r="A46" s="467">
        <v>36</v>
      </c>
      <c r="B46" s="11" t="s">
        <v>914</v>
      </c>
      <c r="C46" s="470">
        <v>780675.583333333</v>
      </c>
      <c r="D46" s="469">
        <v>12</v>
      </c>
      <c r="E46" s="470">
        <f t="shared" si="31"/>
        <v>9368107</v>
      </c>
      <c r="F46" s="476"/>
      <c r="G46" s="474">
        <v>595848.56</v>
      </c>
      <c r="H46" s="476"/>
      <c r="I46" s="470">
        <f t="shared" si="32"/>
        <v>8772258.44</v>
      </c>
      <c r="J46" s="470">
        <v>200000</v>
      </c>
      <c r="K46" s="470">
        <v>0.2</v>
      </c>
      <c r="L46" s="470">
        <f t="shared" si="33"/>
        <v>1754451.688</v>
      </c>
      <c r="M46" s="470">
        <f t="shared" si="34"/>
        <v>1954451.688</v>
      </c>
      <c r="N46" s="470">
        <f t="shared" si="35"/>
        <v>2550300.248</v>
      </c>
      <c r="O46" s="470">
        <f t="shared" si="36"/>
        <v>6817806.752</v>
      </c>
      <c r="P46" s="470">
        <f t="shared" si="37"/>
        <v>21000</v>
      </c>
      <c r="Q46" s="470">
        <f t="shared" si="38"/>
        <v>33000</v>
      </c>
      <c r="R46" s="470">
        <f t="shared" si="39"/>
        <v>75000</v>
      </c>
      <c r="S46" s="470">
        <f t="shared" si="40"/>
        <v>95000</v>
      </c>
      <c r="T46" s="470">
        <f t="shared" si="41"/>
        <v>336000</v>
      </c>
      <c r="U46" s="470">
        <f t="shared" ref="U46:U52" si="46">24%*(O46-3200000)</f>
        <v>868273.620479999</v>
      </c>
      <c r="V46" s="470">
        <f t="shared" si="42"/>
        <v>1428273.62048</v>
      </c>
      <c r="W46" s="471">
        <v>12</v>
      </c>
      <c r="X46" s="470">
        <f t="shared" si="43"/>
        <v>119022.801706667</v>
      </c>
      <c r="Y46" s="476"/>
      <c r="Z46" s="470">
        <f t="shared" si="44"/>
        <v>119022.801706667</v>
      </c>
      <c r="AA46" s="473">
        <v>79956.9391466667</v>
      </c>
      <c r="AB46" s="473">
        <f t="shared" si="45"/>
        <v>39065.8625599999</v>
      </c>
      <c r="AC46" s="473"/>
      <c r="AD46" s="473"/>
      <c r="AE46" s="473"/>
    </row>
    <row r="47" ht="18" spans="1:31">
      <c r="A47" s="467">
        <v>37</v>
      </c>
      <c r="B47" s="11" t="s">
        <v>138</v>
      </c>
      <c r="C47" s="470">
        <v>919203.583333333</v>
      </c>
      <c r="D47" s="469">
        <v>12</v>
      </c>
      <c r="E47" s="470">
        <f t="shared" si="31"/>
        <v>11030443</v>
      </c>
      <c r="F47" s="476"/>
      <c r="G47" s="474">
        <v>709635.44</v>
      </c>
      <c r="H47" s="476"/>
      <c r="I47" s="470">
        <f t="shared" si="32"/>
        <v>10320807.56</v>
      </c>
      <c r="J47" s="470">
        <v>200000</v>
      </c>
      <c r="K47" s="470">
        <v>0.2</v>
      </c>
      <c r="L47" s="470">
        <f t="shared" si="33"/>
        <v>2064161.512</v>
      </c>
      <c r="M47" s="470">
        <f t="shared" si="34"/>
        <v>2264161.512</v>
      </c>
      <c r="N47" s="470">
        <f t="shared" si="35"/>
        <v>2973796.952</v>
      </c>
      <c r="O47" s="470">
        <f t="shared" si="36"/>
        <v>8056646.048</v>
      </c>
      <c r="P47" s="470">
        <f t="shared" si="37"/>
        <v>21000</v>
      </c>
      <c r="Q47" s="470">
        <f t="shared" si="38"/>
        <v>33000</v>
      </c>
      <c r="R47" s="470">
        <f t="shared" si="39"/>
        <v>75000</v>
      </c>
      <c r="S47" s="470">
        <f t="shared" si="40"/>
        <v>95000</v>
      </c>
      <c r="T47" s="470">
        <f t="shared" si="41"/>
        <v>336000</v>
      </c>
      <c r="U47" s="470">
        <f t="shared" si="46"/>
        <v>1165595.05152</v>
      </c>
      <c r="V47" s="470">
        <f t="shared" si="42"/>
        <v>1725595.05152</v>
      </c>
      <c r="W47" s="471">
        <v>12</v>
      </c>
      <c r="X47" s="470">
        <f t="shared" si="43"/>
        <v>143799.587626667</v>
      </c>
      <c r="Y47" s="476"/>
      <c r="Z47" s="470">
        <f t="shared" si="44"/>
        <v>143799.587626667</v>
      </c>
      <c r="AA47" s="473">
        <v>97273.5138506667</v>
      </c>
      <c r="AB47" s="473">
        <f t="shared" si="45"/>
        <v>46526.0737759999</v>
      </c>
      <c r="AC47" s="473"/>
      <c r="AD47" s="473"/>
      <c r="AE47" s="473"/>
    </row>
    <row r="48" ht="18" spans="1:31">
      <c r="A48" s="467">
        <v>38</v>
      </c>
      <c r="B48" s="11" t="s">
        <v>141</v>
      </c>
      <c r="C48" s="470">
        <v>780675.583333333</v>
      </c>
      <c r="D48" s="469">
        <v>12</v>
      </c>
      <c r="E48" s="470">
        <f t="shared" si="31"/>
        <v>9368107</v>
      </c>
      <c r="F48" s="476"/>
      <c r="G48" s="474">
        <v>595848.56</v>
      </c>
      <c r="H48" s="476"/>
      <c r="I48" s="470">
        <f t="shared" si="32"/>
        <v>8772258.44</v>
      </c>
      <c r="J48" s="470">
        <v>200000</v>
      </c>
      <c r="K48" s="470">
        <v>0.2</v>
      </c>
      <c r="L48" s="470">
        <f t="shared" si="33"/>
        <v>1754451.688</v>
      </c>
      <c r="M48" s="470">
        <f t="shared" si="34"/>
        <v>1954451.688</v>
      </c>
      <c r="N48" s="470">
        <f t="shared" si="35"/>
        <v>2550300.248</v>
      </c>
      <c r="O48" s="470">
        <f t="shared" si="36"/>
        <v>6817806.752</v>
      </c>
      <c r="P48" s="470">
        <f t="shared" si="37"/>
        <v>21000</v>
      </c>
      <c r="Q48" s="470">
        <f t="shared" si="38"/>
        <v>33000</v>
      </c>
      <c r="R48" s="470">
        <f t="shared" si="39"/>
        <v>75000</v>
      </c>
      <c r="S48" s="470">
        <f t="shared" si="40"/>
        <v>95000</v>
      </c>
      <c r="T48" s="470">
        <f t="shared" si="41"/>
        <v>336000</v>
      </c>
      <c r="U48" s="470">
        <f t="shared" si="46"/>
        <v>868273.620479999</v>
      </c>
      <c r="V48" s="470">
        <f t="shared" si="42"/>
        <v>1428273.62048</v>
      </c>
      <c r="W48" s="471">
        <v>12</v>
      </c>
      <c r="X48" s="470">
        <f t="shared" si="43"/>
        <v>119022.801706667</v>
      </c>
      <c r="Y48" s="476"/>
      <c r="Z48" s="470">
        <f t="shared" si="44"/>
        <v>119022.801706667</v>
      </c>
      <c r="AA48" s="473">
        <v>79956.9391466667</v>
      </c>
      <c r="AB48" s="473">
        <f t="shared" si="45"/>
        <v>39065.8625599999</v>
      </c>
      <c r="AC48" s="473"/>
      <c r="AD48" s="473"/>
      <c r="AE48" s="473"/>
    </row>
    <row r="49" ht="18" spans="1:31">
      <c r="A49" s="467">
        <v>39</v>
      </c>
      <c r="B49" s="11" t="s">
        <v>144</v>
      </c>
      <c r="C49" s="470">
        <v>780675.583333333</v>
      </c>
      <c r="D49" s="469">
        <v>12</v>
      </c>
      <c r="E49" s="470">
        <f t="shared" si="31"/>
        <v>9368107</v>
      </c>
      <c r="F49" s="470">
        <f>'[6]JANUARY 2024'!$V$47*12</f>
        <v>10052.25</v>
      </c>
      <c r="G49" s="474">
        <v>595848.56</v>
      </c>
      <c r="H49" s="476"/>
      <c r="I49" s="470">
        <f t="shared" si="32"/>
        <v>8762206.19</v>
      </c>
      <c r="J49" s="470">
        <v>200000</v>
      </c>
      <c r="K49" s="470">
        <v>0.2</v>
      </c>
      <c r="L49" s="470">
        <f t="shared" si="33"/>
        <v>1752441.238</v>
      </c>
      <c r="M49" s="470">
        <f t="shared" si="34"/>
        <v>1952441.238</v>
      </c>
      <c r="N49" s="470">
        <f t="shared" si="35"/>
        <v>2558342.048</v>
      </c>
      <c r="O49" s="470">
        <f t="shared" si="36"/>
        <v>6809764.952</v>
      </c>
      <c r="P49" s="470">
        <f t="shared" si="37"/>
        <v>21000</v>
      </c>
      <c r="Q49" s="470">
        <f t="shared" si="38"/>
        <v>33000</v>
      </c>
      <c r="R49" s="470">
        <f t="shared" si="39"/>
        <v>75000</v>
      </c>
      <c r="S49" s="470">
        <f t="shared" si="40"/>
        <v>95000</v>
      </c>
      <c r="T49" s="470">
        <f t="shared" si="41"/>
        <v>336000</v>
      </c>
      <c r="U49" s="470">
        <f t="shared" si="46"/>
        <v>866343.588479999</v>
      </c>
      <c r="V49" s="470">
        <f t="shared" si="42"/>
        <v>1426343.58848</v>
      </c>
      <c r="W49" s="471">
        <v>12</v>
      </c>
      <c r="X49" s="470">
        <f t="shared" si="43"/>
        <v>118861.965706667</v>
      </c>
      <c r="Y49" s="476"/>
      <c r="Z49" s="470">
        <f t="shared" si="44"/>
        <v>118861.965706667</v>
      </c>
      <c r="AA49" s="473">
        <v>79796.1031466666</v>
      </c>
      <c r="AB49" s="473">
        <f t="shared" si="45"/>
        <v>39065.86256</v>
      </c>
      <c r="AC49" s="473"/>
      <c r="AD49" s="473"/>
      <c r="AE49" s="473"/>
    </row>
    <row r="50" ht="18" spans="1:31">
      <c r="A50" s="467">
        <v>40</v>
      </c>
      <c r="B50" s="11" t="s">
        <v>146</v>
      </c>
      <c r="C50" s="470">
        <v>742118.083333333</v>
      </c>
      <c r="D50" s="469">
        <v>12</v>
      </c>
      <c r="E50" s="470">
        <f t="shared" si="31"/>
        <v>8905417</v>
      </c>
      <c r="F50" s="470"/>
      <c r="G50" s="474">
        <v>558833.36</v>
      </c>
      <c r="H50" s="476"/>
      <c r="I50" s="470">
        <f t="shared" si="32"/>
        <v>8346583.64</v>
      </c>
      <c r="J50" s="470">
        <v>200000</v>
      </c>
      <c r="K50" s="470">
        <v>0.2</v>
      </c>
      <c r="L50" s="470">
        <f t="shared" si="33"/>
        <v>1669316.728</v>
      </c>
      <c r="M50" s="470">
        <f t="shared" si="34"/>
        <v>1869316.728</v>
      </c>
      <c r="N50" s="470">
        <f t="shared" si="35"/>
        <v>2428150.088</v>
      </c>
      <c r="O50" s="470">
        <f t="shared" si="36"/>
        <v>6477266.912</v>
      </c>
      <c r="P50" s="470">
        <f t="shared" si="37"/>
        <v>21000</v>
      </c>
      <c r="Q50" s="470">
        <f t="shared" si="38"/>
        <v>33000</v>
      </c>
      <c r="R50" s="470">
        <f t="shared" si="39"/>
        <v>75000</v>
      </c>
      <c r="S50" s="470">
        <f t="shared" si="40"/>
        <v>95000</v>
      </c>
      <c r="T50" s="470">
        <f t="shared" si="41"/>
        <v>336000</v>
      </c>
      <c r="U50" s="470">
        <f t="shared" si="46"/>
        <v>786544.058879999</v>
      </c>
      <c r="V50" s="470">
        <f t="shared" si="42"/>
        <v>1346544.05888</v>
      </c>
      <c r="W50" s="471">
        <v>12</v>
      </c>
      <c r="X50" s="470">
        <f t="shared" si="43"/>
        <v>112212.004906667</v>
      </c>
      <c r="Y50" s="476"/>
      <c r="Z50" s="470">
        <f t="shared" si="44"/>
        <v>112212.004906667</v>
      </c>
      <c r="AA50" s="473">
        <v>75572.9156906667</v>
      </c>
      <c r="AB50" s="473">
        <f t="shared" si="45"/>
        <v>36639.0892159999</v>
      </c>
      <c r="AC50" s="473"/>
      <c r="AD50" s="473"/>
      <c r="AE50" s="473"/>
    </row>
    <row r="51" ht="18" spans="1:31">
      <c r="A51" s="467">
        <v>41</v>
      </c>
      <c r="B51" s="14" t="s">
        <v>147</v>
      </c>
      <c r="C51" s="470">
        <v>610498</v>
      </c>
      <c r="D51" s="469">
        <v>12</v>
      </c>
      <c r="E51" s="470">
        <f t="shared" si="31"/>
        <v>7325976</v>
      </c>
      <c r="F51" s="470"/>
      <c r="G51" s="474">
        <v>451678.08</v>
      </c>
      <c r="H51" s="476"/>
      <c r="I51" s="470">
        <f t="shared" si="32"/>
        <v>6874297.92</v>
      </c>
      <c r="J51" s="470">
        <v>200000</v>
      </c>
      <c r="K51" s="470">
        <v>0.2</v>
      </c>
      <c r="L51" s="470">
        <f t="shared" si="33"/>
        <v>1374859.584</v>
      </c>
      <c r="M51" s="470">
        <f t="shared" si="34"/>
        <v>1574859.584</v>
      </c>
      <c r="N51" s="470">
        <f t="shared" si="35"/>
        <v>2026537.664</v>
      </c>
      <c r="O51" s="470">
        <f t="shared" si="36"/>
        <v>5299438.336</v>
      </c>
      <c r="P51" s="470">
        <f t="shared" si="37"/>
        <v>21000</v>
      </c>
      <c r="Q51" s="470">
        <f t="shared" si="38"/>
        <v>33000</v>
      </c>
      <c r="R51" s="470">
        <f t="shared" si="39"/>
        <v>75000</v>
      </c>
      <c r="S51" s="470">
        <f t="shared" si="40"/>
        <v>95000</v>
      </c>
      <c r="T51" s="470">
        <f t="shared" si="41"/>
        <v>336000</v>
      </c>
      <c r="U51" s="470">
        <f t="shared" si="46"/>
        <v>503865.20064</v>
      </c>
      <c r="V51" s="470">
        <f t="shared" si="42"/>
        <v>1063865.20064</v>
      </c>
      <c r="W51" s="471">
        <v>12</v>
      </c>
      <c r="X51" s="470">
        <f t="shared" si="43"/>
        <v>88655.4333866667</v>
      </c>
      <c r="Y51" s="476"/>
      <c r="Z51" s="470">
        <f t="shared" si="44"/>
        <v>88655.4333866667</v>
      </c>
      <c r="AA51" s="473">
        <v>58026.6094346667</v>
      </c>
      <c r="AB51" s="473">
        <f t="shared" si="45"/>
        <v>30628.823952</v>
      </c>
      <c r="AC51" s="473"/>
      <c r="AD51" s="473"/>
      <c r="AE51" s="473"/>
    </row>
    <row r="52" ht="18" spans="1:31">
      <c r="A52" s="467">
        <v>42</v>
      </c>
      <c r="B52" s="11" t="s">
        <v>151</v>
      </c>
      <c r="C52" s="470">
        <v>400965.583333333</v>
      </c>
      <c r="D52" s="469">
        <v>12</v>
      </c>
      <c r="E52" s="470">
        <f t="shared" si="31"/>
        <v>4811587</v>
      </c>
      <c r="F52" s="470"/>
      <c r="G52" s="474">
        <v>288926.96</v>
      </c>
      <c r="H52" s="476"/>
      <c r="I52" s="470">
        <f t="shared" si="32"/>
        <v>4522660.04</v>
      </c>
      <c r="J52" s="470">
        <v>200000</v>
      </c>
      <c r="K52" s="470">
        <v>0.2</v>
      </c>
      <c r="L52" s="470">
        <f t="shared" si="33"/>
        <v>904532.007999999</v>
      </c>
      <c r="M52" s="470">
        <f t="shared" si="34"/>
        <v>1104532.008</v>
      </c>
      <c r="N52" s="470">
        <f t="shared" si="35"/>
        <v>1393458.968</v>
      </c>
      <c r="O52" s="470">
        <f t="shared" si="36"/>
        <v>3418128.032</v>
      </c>
      <c r="P52" s="470">
        <f t="shared" si="37"/>
        <v>21000</v>
      </c>
      <c r="Q52" s="470">
        <f t="shared" si="38"/>
        <v>33000</v>
      </c>
      <c r="R52" s="470">
        <f t="shared" si="39"/>
        <v>75000</v>
      </c>
      <c r="S52" s="470">
        <f t="shared" si="40"/>
        <v>95000</v>
      </c>
      <c r="T52" s="470">
        <f t="shared" si="41"/>
        <v>336000</v>
      </c>
      <c r="U52" s="470">
        <f t="shared" si="46"/>
        <v>52350.7276799992</v>
      </c>
      <c r="V52" s="470">
        <f t="shared" si="42"/>
        <v>612350.727679999</v>
      </c>
      <c r="W52" s="471">
        <v>12</v>
      </c>
      <c r="X52" s="470">
        <f t="shared" si="43"/>
        <v>51029.2273066666</v>
      </c>
      <c r="Y52" s="476"/>
      <c r="Z52" s="470">
        <f t="shared" si="44"/>
        <v>51029.2273066666</v>
      </c>
      <c r="AA52" s="473">
        <v>33059.0784066667</v>
      </c>
      <c r="AB52" s="473">
        <f t="shared" si="45"/>
        <v>17970.1488999999</v>
      </c>
      <c r="AC52" s="473"/>
      <c r="AD52" s="473"/>
      <c r="AE52" s="473"/>
    </row>
    <row r="53" ht="18" spans="1:31">
      <c r="A53" s="467">
        <v>43</v>
      </c>
      <c r="B53" s="11" t="s">
        <v>155</v>
      </c>
      <c r="C53" s="470">
        <v>363165.333333333</v>
      </c>
      <c r="D53" s="469">
        <v>12</v>
      </c>
      <c r="E53" s="470">
        <f t="shared" si="31"/>
        <v>4357984</v>
      </c>
      <c r="F53" s="470"/>
      <c r="G53" s="474">
        <v>252638.72</v>
      </c>
      <c r="H53" s="476"/>
      <c r="I53" s="470">
        <f t="shared" si="32"/>
        <v>4105345.28</v>
      </c>
      <c r="J53" s="470">
        <v>200000</v>
      </c>
      <c r="K53" s="470">
        <v>0.2</v>
      </c>
      <c r="L53" s="470">
        <f t="shared" si="33"/>
        <v>821069.055999999</v>
      </c>
      <c r="M53" s="470">
        <f t="shared" si="34"/>
        <v>1021069.056</v>
      </c>
      <c r="N53" s="470">
        <f t="shared" si="35"/>
        <v>1273707.776</v>
      </c>
      <c r="O53" s="470">
        <f t="shared" si="36"/>
        <v>3084276.224</v>
      </c>
      <c r="P53" s="470">
        <f t="shared" si="37"/>
        <v>21000</v>
      </c>
      <c r="Q53" s="470">
        <f t="shared" si="38"/>
        <v>33000</v>
      </c>
      <c r="R53" s="470">
        <f t="shared" si="39"/>
        <v>75000</v>
      </c>
      <c r="S53" s="470">
        <f t="shared" si="40"/>
        <v>95000</v>
      </c>
      <c r="T53" s="470">
        <f t="shared" si="41"/>
        <v>311698.007039999</v>
      </c>
      <c r="U53" s="470"/>
      <c r="V53" s="470">
        <f t="shared" si="42"/>
        <v>535698.007039999</v>
      </c>
      <c r="W53" s="471">
        <v>12</v>
      </c>
      <c r="X53" s="470">
        <f t="shared" si="43"/>
        <v>44641.5005866666</v>
      </c>
      <c r="Y53" s="476"/>
      <c r="Z53" s="470">
        <f t="shared" si="44"/>
        <v>44641.5005866666</v>
      </c>
      <c r="AA53" s="473">
        <v>29058.4826046667</v>
      </c>
      <c r="AB53" s="473">
        <f t="shared" si="45"/>
        <v>15583.0179819999</v>
      </c>
      <c r="AC53" s="473"/>
      <c r="AD53" s="473"/>
      <c r="AE53" s="473"/>
    </row>
    <row r="54" ht="18" spans="1:31">
      <c r="A54" s="467">
        <v>44</v>
      </c>
      <c r="B54" s="11" t="s">
        <v>157</v>
      </c>
      <c r="C54" s="470">
        <v>363165.333333333</v>
      </c>
      <c r="D54" s="469">
        <v>12</v>
      </c>
      <c r="E54" s="470">
        <f t="shared" si="31"/>
        <v>4357984</v>
      </c>
      <c r="F54" s="470"/>
      <c r="G54" s="474">
        <v>252638.72</v>
      </c>
      <c r="H54" s="476"/>
      <c r="I54" s="470">
        <f t="shared" si="32"/>
        <v>4105345.28</v>
      </c>
      <c r="J54" s="470">
        <v>200000</v>
      </c>
      <c r="K54" s="470">
        <v>0.2</v>
      </c>
      <c r="L54" s="470">
        <f t="shared" si="33"/>
        <v>821069.055999999</v>
      </c>
      <c r="M54" s="470">
        <f t="shared" si="34"/>
        <v>1021069.056</v>
      </c>
      <c r="N54" s="470">
        <f t="shared" si="35"/>
        <v>1273707.776</v>
      </c>
      <c r="O54" s="470">
        <f t="shared" si="36"/>
        <v>3084276.224</v>
      </c>
      <c r="P54" s="470">
        <f t="shared" si="37"/>
        <v>21000</v>
      </c>
      <c r="Q54" s="470">
        <f t="shared" si="38"/>
        <v>33000</v>
      </c>
      <c r="R54" s="470">
        <f t="shared" si="39"/>
        <v>75000</v>
      </c>
      <c r="S54" s="470">
        <f t="shared" si="40"/>
        <v>95000</v>
      </c>
      <c r="T54" s="470">
        <f t="shared" si="41"/>
        <v>311698.007039999</v>
      </c>
      <c r="U54" s="470"/>
      <c r="V54" s="470">
        <f t="shared" si="42"/>
        <v>535698.007039999</v>
      </c>
      <c r="W54" s="471">
        <v>12</v>
      </c>
      <c r="X54" s="470">
        <f t="shared" si="43"/>
        <v>44641.5005866666</v>
      </c>
      <c r="Y54" s="476"/>
      <c r="Z54" s="470">
        <f t="shared" si="44"/>
        <v>44641.5005866666</v>
      </c>
      <c r="AA54" s="473">
        <v>28360.9528626667</v>
      </c>
      <c r="AB54" s="473">
        <f t="shared" si="45"/>
        <v>16280.5477239999</v>
      </c>
      <c r="AC54" s="473"/>
      <c r="AD54" s="473"/>
      <c r="AE54" s="473"/>
    </row>
    <row r="55" ht="17.5" spans="1:31">
      <c r="A55" s="467"/>
      <c r="B55" s="22"/>
      <c r="C55" s="478"/>
      <c r="D55" s="469"/>
      <c r="E55" s="470"/>
      <c r="F55" s="470"/>
      <c r="G55" s="476"/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17.5" spans="1:31">
      <c r="A56" s="467"/>
      <c r="B56" s="22"/>
      <c r="C56" s="478"/>
      <c r="D56" s="469"/>
      <c r="E56" s="470"/>
      <c r="F56" s="470"/>
      <c r="G56" s="476"/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7.5" spans="1:31">
      <c r="A57" s="467"/>
      <c r="B57" s="20" t="s">
        <v>159</v>
      </c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470"/>
      <c r="AA57" s="473"/>
      <c r="AB57" s="473"/>
      <c r="AC57" s="473"/>
      <c r="AD57" s="473"/>
      <c r="AE57" s="473"/>
    </row>
    <row r="58" ht="18" spans="1:31">
      <c r="A58" s="467">
        <v>47</v>
      </c>
      <c r="B58" s="11" t="s">
        <v>160</v>
      </c>
      <c r="C58" s="470">
        <v>1635720</v>
      </c>
      <c r="D58" s="469">
        <v>12</v>
      </c>
      <c r="E58" s="470">
        <f t="shared" ref="E58:E71" si="47">C58*D58</f>
        <v>19628640</v>
      </c>
      <c r="F58" s="470"/>
      <c r="G58" s="474">
        <v>1378291.2</v>
      </c>
      <c r="H58" s="476"/>
      <c r="I58" s="470">
        <f t="shared" ref="I58:I71" si="48">E58-F58-G58-H58</f>
        <v>18250348.8</v>
      </c>
      <c r="J58" s="470">
        <v>200000</v>
      </c>
      <c r="K58" s="470">
        <v>0.2</v>
      </c>
      <c r="L58" s="470">
        <f t="shared" ref="L58:L71" si="49">I58*K58</f>
        <v>3650069.76</v>
      </c>
      <c r="M58" s="470">
        <f t="shared" ref="M58:M71" si="50">J58+L58</f>
        <v>3850069.76</v>
      </c>
      <c r="N58" s="470">
        <f t="shared" ref="N58:N71" si="51">F58+G58+H58+M58</f>
        <v>5228360.96</v>
      </c>
      <c r="O58" s="470">
        <f t="shared" ref="O58:O71" si="52">E58-N58</f>
        <v>14400279.04</v>
      </c>
      <c r="P58" s="470">
        <f t="shared" ref="P58:P71" si="53">IF(O58&lt;300000,0.07*O58,21000)</f>
        <v>21000</v>
      </c>
      <c r="Q58" s="470">
        <f t="shared" ref="Q58:Q71" si="54">IF((O58-300000)&lt;0,0,IF((O58-300000)&lt;300000,0.11*(O58-300000),33000))</f>
        <v>33000</v>
      </c>
      <c r="R58" s="470">
        <f t="shared" ref="R58:R71" si="55">IF((O58-600000)&lt;0,0,IF((O58-600000)&lt;500000,0.15*(O58-600000),75000))</f>
        <v>75000</v>
      </c>
      <c r="S58" s="470">
        <f t="shared" ref="S58:S71" si="56">IF((O58-1100000)&lt;0,0,IF((O58-1100000)&lt;500000,0.19*(O58-1100000),95000))</f>
        <v>95000</v>
      </c>
      <c r="T58" s="470">
        <f t="shared" ref="T58:T71" si="57">IF((O58-1600000)&lt;0,0,IF((O58-1600000)&lt;1600000,0.21*(O58-1600000),336000))</f>
        <v>336000</v>
      </c>
      <c r="U58" s="470">
        <f t="shared" ref="U58:U71" si="58">24%*(O58-3200000)</f>
        <v>2688066.9696</v>
      </c>
      <c r="V58" s="470">
        <f t="shared" ref="V58:V71" si="59">P58+Q58+R58+S58+T58+U58</f>
        <v>3248066.9696</v>
      </c>
      <c r="W58" s="471">
        <v>12</v>
      </c>
      <c r="X58" s="470">
        <f t="shared" ref="X58:X71" si="60">V58/W58</f>
        <v>270672.247466667</v>
      </c>
      <c r="Y58" s="476"/>
      <c r="Z58" s="470">
        <f t="shared" ref="Z58:Z71" si="61">X58</f>
        <v>270672.247466667</v>
      </c>
      <c r="AA58" s="473">
        <v>180306.806858667</v>
      </c>
      <c r="AB58" s="473">
        <f t="shared" ref="AB58:AB71" si="62">Z58-AA58</f>
        <v>90365.4406079996</v>
      </c>
      <c r="AC58" s="473"/>
      <c r="AD58" s="473"/>
      <c r="AE58" s="473"/>
    </row>
    <row r="59" ht="18" spans="1:31">
      <c r="A59" s="467">
        <v>48</v>
      </c>
      <c r="B59" s="11" t="s">
        <v>162</v>
      </c>
      <c r="C59" s="470">
        <v>700675.583333333</v>
      </c>
      <c r="D59" s="469">
        <v>12</v>
      </c>
      <c r="E59" s="470">
        <f t="shared" si="47"/>
        <v>8408107</v>
      </c>
      <c r="F59" s="470"/>
      <c r="G59" s="470">
        <v>595848.56</v>
      </c>
      <c r="H59" s="476"/>
      <c r="I59" s="470">
        <f t="shared" si="48"/>
        <v>7812258.44</v>
      </c>
      <c r="J59" s="470">
        <v>200000</v>
      </c>
      <c r="K59" s="470">
        <v>0.2</v>
      </c>
      <c r="L59" s="470">
        <f t="shared" si="49"/>
        <v>1562451.688</v>
      </c>
      <c r="M59" s="470">
        <f t="shared" si="50"/>
        <v>1762451.688</v>
      </c>
      <c r="N59" s="470">
        <f t="shared" si="51"/>
        <v>2358300.248</v>
      </c>
      <c r="O59" s="470">
        <f t="shared" si="52"/>
        <v>6049806.752</v>
      </c>
      <c r="P59" s="470">
        <f t="shared" si="53"/>
        <v>21000</v>
      </c>
      <c r="Q59" s="470">
        <f t="shared" si="54"/>
        <v>33000</v>
      </c>
      <c r="R59" s="470">
        <f t="shared" si="55"/>
        <v>75000</v>
      </c>
      <c r="S59" s="470">
        <f t="shared" si="56"/>
        <v>95000</v>
      </c>
      <c r="T59" s="470">
        <f t="shared" si="57"/>
        <v>336000</v>
      </c>
      <c r="U59" s="470">
        <f t="shared" si="58"/>
        <v>683953.620479999</v>
      </c>
      <c r="V59" s="470">
        <f t="shared" si="59"/>
        <v>1243953.62048</v>
      </c>
      <c r="W59" s="471">
        <v>12</v>
      </c>
      <c r="X59" s="470">
        <f t="shared" si="60"/>
        <v>103662.801706667</v>
      </c>
      <c r="Y59" s="476"/>
      <c r="Z59" s="470">
        <f t="shared" si="61"/>
        <v>103662.801706667</v>
      </c>
      <c r="AA59" s="473">
        <v>64596.9391466667</v>
      </c>
      <c r="AB59" s="473">
        <f t="shared" si="62"/>
        <v>39065.8625599999</v>
      </c>
      <c r="AC59" s="473"/>
      <c r="AD59" s="473"/>
      <c r="AE59" s="473"/>
    </row>
    <row r="60" ht="17.5" spans="1:31">
      <c r="A60" s="467"/>
      <c r="B60" s="20"/>
      <c r="C60" s="470"/>
      <c r="D60" s="469"/>
      <c r="E60" s="470"/>
      <c r="F60" s="470"/>
      <c r="G60" s="476">
        <v>0</v>
      </c>
      <c r="H60" s="476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1"/>
      <c r="X60" s="470"/>
      <c r="Y60" s="476"/>
      <c r="Z60" s="470"/>
      <c r="AA60" s="473"/>
      <c r="AB60" s="473"/>
      <c r="AC60" s="473"/>
      <c r="AD60" s="473"/>
      <c r="AE60" s="473"/>
    </row>
    <row r="61" ht="35" spans="1:31">
      <c r="A61" s="467">
        <v>49</v>
      </c>
      <c r="B61" s="20" t="s">
        <v>164</v>
      </c>
      <c r="C61" s="470"/>
      <c r="D61" s="469"/>
      <c r="E61" s="470"/>
      <c r="F61" s="470"/>
      <c r="G61" s="476">
        <v>0</v>
      </c>
      <c r="H61" s="476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1"/>
      <c r="X61" s="470"/>
      <c r="Y61" s="476"/>
      <c r="Z61" s="470"/>
      <c r="AA61" s="473"/>
      <c r="AB61" s="473"/>
      <c r="AC61" s="473"/>
      <c r="AD61" s="473"/>
      <c r="AE61" s="473"/>
    </row>
    <row r="62" ht="18" spans="1:31">
      <c r="A62" s="467">
        <v>50</v>
      </c>
      <c r="B62" s="11" t="s">
        <v>917</v>
      </c>
      <c r="C62" s="470">
        <v>1635720</v>
      </c>
      <c r="D62" s="469">
        <v>12</v>
      </c>
      <c r="E62" s="470">
        <f t="shared" si="47"/>
        <v>19628640</v>
      </c>
      <c r="F62" s="470"/>
      <c r="G62" s="474">
        <v>0</v>
      </c>
      <c r="H62" s="476"/>
      <c r="I62" s="470">
        <f t="shared" si="48"/>
        <v>19628640</v>
      </c>
      <c r="J62" s="470">
        <v>200000</v>
      </c>
      <c r="K62" s="470">
        <v>0.2</v>
      </c>
      <c r="L62" s="470">
        <f t="shared" si="49"/>
        <v>3925728</v>
      </c>
      <c r="M62" s="470">
        <f t="shared" si="50"/>
        <v>4125728</v>
      </c>
      <c r="N62" s="470">
        <f t="shared" si="51"/>
        <v>4125728</v>
      </c>
      <c r="O62" s="470">
        <f t="shared" si="52"/>
        <v>15502912</v>
      </c>
      <c r="P62" s="470">
        <f t="shared" si="53"/>
        <v>21000</v>
      </c>
      <c r="Q62" s="470">
        <f t="shared" si="54"/>
        <v>33000</v>
      </c>
      <c r="R62" s="470">
        <f t="shared" si="55"/>
        <v>75000</v>
      </c>
      <c r="S62" s="470">
        <f t="shared" si="56"/>
        <v>95000</v>
      </c>
      <c r="T62" s="470">
        <f t="shared" si="57"/>
        <v>336000</v>
      </c>
      <c r="U62" s="470">
        <f t="shared" si="58"/>
        <v>2952698.88</v>
      </c>
      <c r="V62" s="470">
        <f t="shared" si="59"/>
        <v>3512698.88</v>
      </c>
      <c r="W62" s="471">
        <v>12</v>
      </c>
      <c r="X62" s="470">
        <f t="shared" si="60"/>
        <v>292724.906666667</v>
      </c>
      <c r="Y62" s="476"/>
      <c r="Z62" s="470">
        <f t="shared" si="61"/>
        <v>292724.906666667</v>
      </c>
      <c r="AA62" s="473">
        <v>180306.806858667</v>
      </c>
      <c r="AB62" s="473">
        <f t="shared" si="62"/>
        <v>112418.099808</v>
      </c>
      <c r="AC62" s="473"/>
      <c r="AD62" s="473"/>
      <c r="AE62" s="473"/>
    </row>
    <row r="63" ht="23.25" customHeight="1" spans="1:31">
      <c r="A63" s="467">
        <v>51</v>
      </c>
      <c r="B63" s="351" t="s">
        <v>919</v>
      </c>
      <c r="C63" s="470">
        <v>761396.833333333</v>
      </c>
      <c r="D63" s="469">
        <v>12</v>
      </c>
      <c r="E63" s="470">
        <f t="shared" si="47"/>
        <v>9136762</v>
      </c>
      <c r="F63" s="470"/>
      <c r="G63" s="479">
        <f>48111.7466666667*12</f>
        <v>577340.96</v>
      </c>
      <c r="H63" s="476"/>
      <c r="I63" s="470">
        <f t="shared" si="48"/>
        <v>8559421.04</v>
      </c>
      <c r="J63" s="470">
        <v>200000</v>
      </c>
      <c r="K63" s="470">
        <v>0.2</v>
      </c>
      <c r="L63" s="470">
        <f t="shared" si="49"/>
        <v>1711884.208</v>
      </c>
      <c r="M63" s="470">
        <f t="shared" si="50"/>
        <v>1911884.208</v>
      </c>
      <c r="N63" s="470">
        <f t="shared" si="51"/>
        <v>2489225.168</v>
      </c>
      <c r="O63" s="470">
        <f t="shared" si="52"/>
        <v>6647536.832</v>
      </c>
      <c r="P63" s="470">
        <f t="shared" si="53"/>
        <v>21000</v>
      </c>
      <c r="Q63" s="470">
        <f t="shared" si="54"/>
        <v>33000</v>
      </c>
      <c r="R63" s="470">
        <f t="shared" si="55"/>
        <v>75000</v>
      </c>
      <c r="S63" s="470">
        <f t="shared" si="56"/>
        <v>95000</v>
      </c>
      <c r="T63" s="470">
        <f t="shared" si="57"/>
        <v>336000</v>
      </c>
      <c r="U63" s="470">
        <f t="shared" si="58"/>
        <v>827408.839679999</v>
      </c>
      <c r="V63" s="470">
        <f t="shared" si="59"/>
        <v>1387408.83968</v>
      </c>
      <c r="W63" s="471">
        <v>12</v>
      </c>
      <c r="X63" s="470">
        <f t="shared" si="60"/>
        <v>115617.403306667</v>
      </c>
      <c r="Y63" s="476"/>
      <c r="Z63" s="470">
        <f t="shared" si="61"/>
        <v>115617.403306667</v>
      </c>
      <c r="AA63" s="473">
        <v>77764.9802666667</v>
      </c>
      <c r="AB63" s="473">
        <f t="shared" si="62"/>
        <v>37852.4230399999</v>
      </c>
      <c r="AC63" s="473"/>
      <c r="AD63" s="473"/>
      <c r="AE63" s="473"/>
    </row>
    <row r="64" ht="18" spans="1:31">
      <c r="A64" s="467">
        <v>52</v>
      </c>
      <c r="B64" s="11" t="s">
        <v>167</v>
      </c>
      <c r="C64" s="470">
        <v>582746.5</v>
      </c>
      <c r="D64" s="469">
        <v>12</v>
      </c>
      <c r="E64" s="470">
        <f t="shared" si="47"/>
        <v>6992958</v>
      </c>
      <c r="F64" s="470"/>
      <c r="G64" s="474">
        <v>425036.64</v>
      </c>
      <c r="H64" s="476"/>
      <c r="I64" s="470">
        <f t="shared" si="48"/>
        <v>6567921.36</v>
      </c>
      <c r="J64" s="470">
        <v>200000</v>
      </c>
      <c r="K64" s="470">
        <v>0.2</v>
      </c>
      <c r="L64" s="470">
        <f t="shared" si="49"/>
        <v>1313584.272</v>
      </c>
      <c r="M64" s="470">
        <f t="shared" si="50"/>
        <v>1513584.272</v>
      </c>
      <c r="N64" s="470">
        <f t="shared" si="51"/>
        <v>1938620.912</v>
      </c>
      <c r="O64" s="470">
        <f t="shared" si="52"/>
        <v>5054337.088</v>
      </c>
      <c r="P64" s="470">
        <f t="shared" si="53"/>
        <v>21000</v>
      </c>
      <c r="Q64" s="470">
        <f t="shared" si="54"/>
        <v>33000</v>
      </c>
      <c r="R64" s="470">
        <f t="shared" si="55"/>
        <v>75000</v>
      </c>
      <c r="S64" s="470">
        <f t="shared" si="56"/>
        <v>95000</v>
      </c>
      <c r="T64" s="470">
        <f t="shared" si="57"/>
        <v>336000</v>
      </c>
      <c r="U64" s="470">
        <f t="shared" si="58"/>
        <v>445040.90112</v>
      </c>
      <c r="V64" s="470">
        <f t="shared" si="59"/>
        <v>1005040.90112</v>
      </c>
      <c r="W64" s="471">
        <v>12</v>
      </c>
      <c r="X64" s="470">
        <f t="shared" si="60"/>
        <v>83753.4084266666</v>
      </c>
      <c r="Y64" s="476"/>
      <c r="Z64" s="470">
        <f t="shared" si="61"/>
        <v>83753.4084266666</v>
      </c>
      <c r="AA64" s="473">
        <v>54931.2492266667</v>
      </c>
      <c r="AB64" s="473">
        <f t="shared" si="62"/>
        <v>28822.1591999999</v>
      </c>
      <c r="AC64" s="473"/>
      <c r="AD64" s="473"/>
      <c r="AE64" s="473"/>
    </row>
    <row r="65" ht="18" spans="1:31">
      <c r="A65" s="467">
        <v>53</v>
      </c>
      <c r="B65" s="18" t="s">
        <v>921</v>
      </c>
      <c r="C65" s="470">
        <v>548915.916666667</v>
      </c>
      <c r="D65" s="469">
        <v>12</v>
      </c>
      <c r="E65" s="470">
        <f t="shared" si="47"/>
        <v>6586991</v>
      </c>
      <c r="F65" s="470"/>
      <c r="G65" s="474">
        <v>411759.28</v>
      </c>
      <c r="H65" s="476"/>
      <c r="I65" s="470">
        <f t="shared" si="48"/>
        <v>6175231.72</v>
      </c>
      <c r="J65" s="470">
        <v>200000</v>
      </c>
      <c r="K65" s="470">
        <v>0.2</v>
      </c>
      <c r="L65" s="470">
        <f t="shared" si="49"/>
        <v>1235046.344</v>
      </c>
      <c r="M65" s="470">
        <f t="shared" si="50"/>
        <v>1435046.344</v>
      </c>
      <c r="N65" s="470">
        <f t="shared" si="51"/>
        <v>1846805.624</v>
      </c>
      <c r="O65" s="470">
        <f t="shared" si="52"/>
        <v>4740185.376</v>
      </c>
      <c r="P65" s="470">
        <f t="shared" si="53"/>
        <v>21000</v>
      </c>
      <c r="Q65" s="470">
        <f t="shared" si="54"/>
        <v>33000</v>
      </c>
      <c r="R65" s="470">
        <f t="shared" si="55"/>
        <v>75000</v>
      </c>
      <c r="S65" s="470">
        <f t="shared" si="56"/>
        <v>95000</v>
      </c>
      <c r="T65" s="470">
        <f t="shared" si="57"/>
        <v>336000</v>
      </c>
      <c r="U65" s="470">
        <f t="shared" si="58"/>
        <v>369644.490240001</v>
      </c>
      <c r="V65" s="470">
        <f t="shared" si="59"/>
        <v>929644.490240001</v>
      </c>
      <c r="W65" s="471">
        <v>12</v>
      </c>
      <c r="X65" s="470">
        <f t="shared" si="60"/>
        <v>77470.3741866667</v>
      </c>
      <c r="Y65" s="476"/>
      <c r="Z65" s="470">
        <f t="shared" si="61"/>
        <v>77470.3741866667</v>
      </c>
      <c r="AA65" s="473">
        <v>49548.7761866667</v>
      </c>
      <c r="AB65" s="473">
        <f t="shared" si="62"/>
        <v>27921.598</v>
      </c>
      <c r="AC65" s="473"/>
      <c r="AD65" s="473"/>
      <c r="AE65" s="473"/>
    </row>
    <row r="66" ht="18" spans="1:31">
      <c r="A66" s="467">
        <v>54</v>
      </c>
      <c r="B66" s="14" t="s">
        <v>922</v>
      </c>
      <c r="C66" s="470">
        <v>624373.75</v>
      </c>
      <c r="D66" s="469">
        <v>12</v>
      </c>
      <c r="E66" s="470">
        <f t="shared" si="47"/>
        <v>7492485</v>
      </c>
      <c r="F66" s="470"/>
      <c r="G66" s="474">
        <v>464998.8</v>
      </c>
      <c r="H66" s="476"/>
      <c r="I66" s="470">
        <f t="shared" si="48"/>
        <v>7027486.2</v>
      </c>
      <c r="J66" s="470">
        <v>200000</v>
      </c>
      <c r="K66" s="470">
        <v>0.2</v>
      </c>
      <c r="L66" s="470">
        <f t="shared" si="49"/>
        <v>1405497.24</v>
      </c>
      <c r="M66" s="470">
        <f t="shared" si="50"/>
        <v>1605497.24</v>
      </c>
      <c r="N66" s="470">
        <f t="shared" si="51"/>
        <v>2070496.04</v>
      </c>
      <c r="O66" s="470">
        <f t="shared" si="52"/>
        <v>5421988.96</v>
      </c>
      <c r="P66" s="470">
        <f t="shared" si="53"/>
        <v>21000</v>
      </c>
      <c r="Q66" s="470">
        <f t="shared" si="54"/>
        <v>33000</v>
      </c>
      <c r="R66" s="470">
        <f t="shared" si="55"/>
        <v>75000</v>
      </c>
      <c r="S66" s="470">
        <f t="shared" si="56"/>
        <v>95000</v>
      </c>
      <c r="T66" s="470">
        <f t="shared" si="57"/>
        <v>336000</v>
      </c>
      <c r="U66" s="470">
        <f t="shared" si="58"/>
        <v>533277.3504</v>
      </c>
      <c r="V66" s="470">
        <f t="shared" si="59"/>
        <v>1093277.3504</v>
      </c>
      <c r="W66" s="471">
        <v>12</v>
      </c>
      <c r="X66" s="470">
        <f t="shared" si="60"/>
        <v>91106.4458666667</v>
      </c>
      <c r="Y66" s="476"/>
      <c r="Z66" s="470">
        <f t="shared" si="61"/>
        <v>91106.4458666667</v>
      </c>
      <c r="AA66" s="473">
        <v>46666.6666666667</v>
      </c>
      <c r="AB66" s="473">
        <f t="shared" si="62"/>
        <v>44439.7792</v>
      </c>
      <c r="AC66" s="473"/>
      <c r="AD66" s="473"/>
      <c r="AE66" s="473"/>
    </row>
    <row r="67" ht="18" spans="1:31">
      <c r="A67" s="467">
        <v>55</v>
      </c>
      <c r="B67" s="11" t="s">
        <v>171</v>
      </c>
      <c r="C67" s="470">
        <v>475703.833333333</v>
      </c>
      <c r="D67" s="469">
        <v>12</v>
      </c>
      <c r="E67" s="470">
        <f t="shared" si="47"/>
        <v>5708446</v>
      </c>
      <c r="F67" s="470"/>
      <c r="G67" s="474">
        <v>351075.68</v>
      </c>
      <c r="H67" s="476"/>
      <c r="I67" s="470">
        <f t="shared" si="48"/>
        <v>5357370.32</v>
      </c>
      <c r="J67" s="470">
        <v>200000</v>
      </c>
      <c r="K67" s="470">
        <v>0.2</v>
      </c>
      <c r="L67" s="470">
        <f t="shared" si="49"/>
        <v>1071474.064</v>
      </c>
      <c r="M67" s="470">
        <f t="shared" si="50"/>
        <v>1271474.064</v>
      </c>
      <c r="N67" s="470">
        <f t="shared" si="51"/>
        <v>1622549.744</v>
      </c>
      <c r="O67" s="470">
        <f t="shared" si="52"/>
        <v>4085896.256</v>
      </c>
      <c r="P67" s="470">
        <f t="shared" si="53"/>
        <v>21000</v>
      </c>
      <c r="Q67" s="470">
        <f t="shared" si="54"/>
        <v>33000</v>
      </c>
      <c r="R67" s="470">
        <f t="shared" si="55"/>
        <v>75000</v>
      </c>
      <c r="S67" s="470">
        <f t="shared" si="56"/>
        <v>95000</v>
      </c>
      <c r="T67" s="470">
        <f t="shared" si="57"/>
        <v>336000</v>
      </c>
      <c r="U67" s="470">
        <f t="shared" si="58"/>
        <v>212615.101439999</v>
      </c>
      <c r="V67" s="470">
        <f t="shared" si="59"/>
        <v>772615.101439999</v>
      </c>
      <c r="W67" s="471">
        <v>12</v>
      </c>
      <c r="X67" s="470">
        <f t="shared" si="60"/>
        <v>64384.5917866666</v>
      </c>
      <c r="Y67" s="476"/>
      <c r="Z67" s="470">
        <f t="shared" si="61"/>
        <v>64384.5917866666</v>
      </c>
      <c r="AA67" s="473">
        <v>41338.9510986667</v>
      </c>
      <c r="AB67" s="473">
        <f t="shared" si="62"/>
        <v>23045.6406879999</v>
      </c>
      <c r="AC67" s="473"/>
      <c r="AD67" s="473"/>
      <c r="AE67" s="473"/>
    </row>
    <row r="68" ht="18" spans="1:31">
      <c r="A68" s="467">
        <v>56</v>
      </c>
      <c r="B68" s="11" t="s">
        <v>172</v>
      </c>
      <c r="C68" s="470">
        <v>475703.833333333</v>
      </c>
      <c r="D68" s="469">
        <v>12</v>
      </c>
      <c r="E68" s="470">
        <f t="shared" si="47"/>
        <v>5708446</v>
      </c>
      <c r="F68" s="470"/>
      <c r="G68" s="474">
        <v>351075.68</v>
      </c>
      <c r="H68" s="476"/>
      <c r="I68" s="470">
        <f t="shared" si="48"/>
        <v>5357370.32</v>
      </c>
      <c r="J68" s="470">
        <v>200000</v>
      </c>
      <c r="K68" s="470">
        <v>0.2</v>
      </c>
      <c r="L68" s="470">
        <f t="shared" si="49"/>
        <v>1071474.064</v>
      </c>
      <c r="M68" s="470">
        <f t="shared" si="50"/>
        <v>1271474.064</v>
      </c>
      <c r="N68" s="470">
        <f t="shared" si="51"/>
        <v>1622549.744</v>
      </c>
      <c r="O68" s="470">
        <f t="shared" si="52"/>
        <v>4085896.256</v>
      </c>
      <c r="P68" s="470">
        <f t="shared" si="53"/>
        <v>21000</v>
      </c>
      <c r="Q68" s="470">
        <f t="shared" si="54"/>
        <v>33000</v>
      </c>
      <c r="R68" s="470">
        <f t="shared" si="55"/>
        <v>75000</v>
      </c>
      <c r="S68" s="470">
        <f t="shared" si="56"/>
        <v>95000</v>
      </c>
      <c r="T68" s="470">
        <f t="shared" si="57"/>
        <v>336000</v>
      </c>
      <c r="U68" s="470">
        <f t="shared" si="58"/>
        <v>212615.101439999</v>
      </c>
      <c r="V68" s="470">
        <f t="shared" si="59"/>
        <v>772615.101439999</v>
      </c>
      <c r="W68" s="471">
        <v>12</v>
      </c>
      <c r="X68" s="470">
        <f t="shared" si="60"/>
        <v>64384.5917866666</v>
      </c>
      <c r="Y68" s="476"/>
      <c r="Z68" s="470">
        <f t="shared" si="61"/>
        <v>64384.5917866666</v>
      </c>
      <c r="AA68" s="473">
        <v>41338.9510986667</v>
      </c>
      <c r="AB68" s="473">
        <f t="shared" si="62"/>
        <v>23045.6406879999</v>
      </c>
      <c r="AC68" s="473"/>
      <c r="AD68" s="473"/>
      <c r="AE68" s="473"/>
    </row>
    <row r="69" ht="18" spans="1:31">
      <c r="A69" s="467">
        <v>57</v>
      </c>
      <c r="B69" s="11" t="s">
        <v>174</v>
      </c>
      <c r="C69" s="470">
        <v>475703.833333333</v>
      </c>
      <c r="D69" s="469">
        <v>12</v>
      </c>
      <c r="E69" s="470">
        <f t="shared" si="47"/>
        <v>5708446</v>
      </c>
      <c r="F69" s="470"/>
      <c r="G69" s="474">
        <v>351075.68</v>
      </c>
      <c r="H69" s="476"/>
      <c r="I69" s="470">
        <f t="shared" si="48"/>
        <v>5357370.32</v>
      </c>
      <c r="J69" s="470">
        <v>200000</v>
      </c>
      <c r="K69" s="470">
        <v>0.2</v>
      </c>
      <c r="L69" s="470">
        <f t="shared" si="49"/>
        <v>1071474.064</v>
      </c>
      <c r="M69" s="470">
        <f t="shared" si="50"/>
        <v>1271474.064</v>
      </c>
      <c r="N69" s="470">
        <f t="shared" si="51"/>
        <v>1622549.744</v>
      </c>
      <c r="O69" s="470">
        <f t="shared" si="52"/>
        <v>4085896.256</v>
      </c>
      <c r="P69" s="470">
        <f t="shared" si="53"/>
        <v>21000</v>
      </c>
      <c r="Q69" s="470">
        <f t="shared" si="54"/>
        <v>33000</v>
      </c>
      <c r="R69" s="470">
        <f t="shared" si="55"/>
        <v>75000</v>
      </c>
      <c r="S69" s="470">
        <f t="shared" si="56"/>
        <v>95000</v>
      </c>
      <c r="T69" s="470">
        <f t="shared" si="57"/>
        <v>336000</v>
      </c>
      <c r="U69" s="470">
        <f t="shared" si="58"/>
        <v>212615.101439999</v>
      </c>
      <c r="V69" s="470">
        <f t="shared" si="59"/>
        <v>772615.101439999</v>
      </c>
      <c r="W69" s="471">
        <v>12</v>
      </c>
      <c r="X69" s="470">
        <f t="shared" si="60"/>
        <v>64384.5917866666</v>
      </c>
      <c r="Y69" s="476"/>
      <c r="Z69" s="470">
        <f t="shared" si="61"/>
        <v>64384.5917866666</v>
      </c>
      <c r="AA69" s="473">
        <v>41338.9510986667</v>
      </c>
      <c r="AB69" s="473">
        <f t="shared" si="62"/>
        <v>23045.6406879999</v>
      </c>
      <c r="AC69" s="473"/>
      <c r="AD69" s="473"/>
      <c r="AE69" s="473"/>
    </row>
    <row r="70" ht="18" spans="1:31">
      <c r="A70" s="467">
        <v>58</v>
      </c>
      <c r="B70" s="11" t="s">
        <v>175</v>
      </c>
      <c r="C70" s="470">
        <v>487895.166666667</v>
      </c>
      <c r="D70" s="469">
        <v>12</v>
      </c>
      <c r="E70" s="470">
        <f t="shared" si="47"/>
        <v>5854742</v>
      </c>
      <c r="F70" s="470"/>
      <c r="G70" s="474">
        <v>362779.36</v>
      </c>
      <c r="H70" s="476"/>
      <c r="I70" s="470">
        <f t="shared" si="48"/>
        <v>5491962.64</v>
      </c>
      <c r="J70" s="470">
        <v>200000</v>
      </c>
      <c r="K70" s="470">
        <v>0.2</v>
      </c>
      <c r="L70" s="470">
        <f t="shared" si="49"/>
        <v>1098392.528</v>
      </c>
      <c r="M70" s="470">
        <f t="shared" si="50"/>
        <v>1298392.528</v>
      </c>
      <c r="N70" s="470">
        <f t="shared" si="51"/>
        <v>1661171.888</v>
      </c>
      <c r="O70" s="470">
        <f t="shared" si="52"/>
        <v>4193570.112</v>
      </c>
      <c r="P70" s="470">
        <f t="shared" si="53"/>
        <v>21000</v>
      </c>
      <c r="Q70" s="470">
        <f t="shared" si="54"/>
        <v>33000</v>
      </c>
      <c r="R70" s="470">
        <f t="shared" si="55"/>
        <v>75000</v>
      </c>
      <c r="S70" s="470">
        <f t="shared" si="56"/>
        <v>95000</v>
      </c>
      <c r="T70" s="470">
        <f t="shared" si="57"/>
        <v>336000</v>
      </c>
      <c r="U70" s="470">
        <f t="shared" si="58"/>
        <v>238456.826880001</v>
      </c>
      <c r="V70" s="470">
        <f t="shared" si="59"/>
        <v>798456.826880001</v>
      </c>
      <c r="W70" s="471">
        <v>12</v>
      </c>
      <c r="X70" s="470">
        <f t="shared" si="60"/>
        <v>66538.0689066667</v>
      </c>
      <c r="Y70" s="476"/>
      <c r="Z70" s="470">
        <f t="shared" si="61"/>
        <v>66538.0689066667</v>
      </c>
      <c r="AA70" s="473">
        <v>43368.8824146667</v>
      </c>
      <c r="AB70" s="473">
        <f t="shared" si="62"/>
        <v>23169.186492</v>
      </c>
      <c r="AC70" s="473"/>
      <c r="AD70" s="473"/>
      <c r="AE70" s="473"/>
    </row>
    <row r="71" ht="18" spans="1:31">
      <c r="A71" s="467">
        <v>59</v>
      </c>
      <c r="B71" s="11" t="s">
        <v>179</v>
      </c>
      <c r="C71" s="470">
        <v>400965.583333333</v>
      </c>
      <c r="D71" s="469">
        <v>12</v>
      </c>
      <c r="E71" s="470">
        <f t="shared" si="47"/>
        <v>4811587</v>
      </c>
      <c r="F71" s="470"/>
      <c r="G71" s="478">
        <v>288926.96</v>
      </c>
      <c r="H71" s="476"/>
      <c r="I71" s="470">
        <f t="shared" si="48"/>
        <v>4522660.04</v>
      </c>
      <c r="J71" s="470">
        <v>200000</v>
      </c>
      <c r="K71" s="470">
        <v>0.2</v>
      </c>
      <c r="L71" s="470">
        <f t="shared" si="49"/>
        <v>904532.007999999</v>
      </c>
      <c r="M71" s="470">
        <f t="shared" si="50"/>
        <v>1104532.008</v>
      </c>
      <c r="N71" s="470">
        <f t="shared" si="51"/>
        <v>1393458.968</v>
      </c>
      <c r="O71" s="470">
        <f t="shared" si="52"/>
        <v>3418128.032</v>
      </c>
      <c r="P71" s="470">
        <f t="shared" si="53"/>
        <v>21000</v>
      </c>
      <c r="Q71" s="470">
        <f t="shared" si="54"/>
        <v>33000</v>
      </c>
      <c r="R71" s="470">
        <f t="shared" si="55"/>
        <v>75000</v>
      </c>
      <c r="S71" s="470">
        <f t="shared" si="56"/>
        <v>95000</v>
      </c>
      <c r="T71" s="470">
        <f t="shared" si="57"/>
        <v>336000</v>
      </c>
      <c r="U71" s="470">
        <f t="shared" si="58"/>
        <v>52350.7276799992</v>
      </c>
      <c r="V71" s="470">
        <f t="shared" si="59"/>
        <v>612350.727679999</v>
      </c>
      <c r="W71" s="471">
        <v>12</v>
      </c>
      <c r="X71" s="470">
        <f t="shared" si="60"/>
        <v>51029.2273066666</v>
      </c>
      <c r="Y71" s="476"/>
      <c r="Z71" s="470">
        <f t="shared" si="61"/>
        <v>51029.2273066666</v>
      </c>
      <c r="AA71" s="473">
        <v>33825.9865626667</v>
      </c>
      <c r="AB71" s="473">
        <f t="shared" si="62"/>
        <v>17203.2407439999</v>
      </c>
      <c r="AC71" s="473"/>
      <c r="AD71" s="473"/>
      <c r="AE71" s="473"/>
    </row>
    <row r="72" ht="17.5" spans="1:31">
      <c r="A72" s="467">
        <v>60</v>
      </c>
      <c r="B72" s="20"/>
      <c r="C72" s="470"/>
      <c r="D72" s="469"/>
      <c r="E72" s="470"/>
      <c r="F72" s="470"/>
      <c r="G72" s="476"/>
      <c r="H72" s="476"/>
      <c r="I72" s="470"/>
      <c r="J72" s="470"/>
      <c r="K72" s="470"/>
      <c r="L72" s="470"/>
      <c r="M72" s="470"/>
      <c r="N72" s="470"/>
      <c r="O72" s="470"/>
      <c r="P72" s="470"/>
      <c r="Q72" s="470"/>
      <c r="R72" s="470"/>
      <c r="S72" s="470"/>
      <c r="T72" s="470"/>
      <c r="U72" s="470"/>
      <c r="V72" s="470"/>
      <c r="W72" s="471"/>
      <c r="X72" s="470"/>
      <c r="Y72" s="476"/>
      <c r="Z72" s="470"/>
      <c r="AA72" s="473"/>
      <c r="AB72" s="473"/>
      <c r="AC72" s="473"/>
      <c r="AD72" s="473"/>
      <c r="AE72" s="473"/>
    </row>
    <row r="73" ht="17.5" spans="1:31">
      <c r="A73" s="467">
        <v>61</v>
      </c>
      <c r="B73" s="22"/>
      <c r="C73" s="470"/>
      <c r="D73" s="469"/>
      <c r="E73" s="470"/>
      <c r="F73" s="470"/>
      <c r="G73" s="476"/>
      <c r="H73" s="476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0"/>
      <c r="W73" s="471"/>
      <c r="X73" s="470"/>
      <c r="Y73" s="476"/>
      <c r="Z73" s="470"/>
      <c r="AA73" s="473"/>
      <c r="AB73" s="473"/>
      <c r="AC73" s="473"/>
      <c r="AD73" s="473"/>
      <c r="AE73" s="473"/>
    </row>
    <row r="74" ht="17.5" spans="1:31">
      <c r="A74" s="467"/>
      <c r="B74" s="20" t="s">
        <v>183</v>
      </c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470"/>
      <c r="AA74" s="473"/>
      <c r="AB74" s="473"/>
      <c r="AC74" s="473"/>
      <c r="AD74" s="473"/>
      <c r="AE74" s="473"/>
    </row>
    <row r="75" ht="18" spans="1:31">
      <c r="A75" s="467"/>
      <c r="B75" s="11" t="s">
        <v>184</v>
      </c>
      <c r="C75" s="470">
        <v>1635720</v>
      </c>
      <c r="D75" s="469">
        <v>12</v>
      </c>
      <c r="E75" s="470">
        <f t="shared" ref="E75:E81" si="63">C75*D75</f>
        <v>19628640</v>
      </c>
      <c r="F75" s="470"/>
      <c r="G75" s="474">
        <v>1378291.2</v>
      </c>
      <c r="H75" s="476"/>
      <c r="I75" s="470">
        <f t="shared" ref="I75:I81" si="64">E75-F75-G75-H75</f>
        <v>18250348.8</v>
      </c>
      <c r="J75" s="470">
        <v>200000</v>
      </c>
      <c r="K75" s="470">
        <v>0.2</v>
      </c>
      <c r="L75" s="470">
        <f t="shared" ref="L75:L81" si="65">I75*K75</f>
        <v>3650069.76</v>
      </c>
      <c r="M75" s="470">
        <f t="shared" ref="M75:M81" si="66">J75+L75</f>
        <v>3850069.76</v>
      </c>
      <c r="N75" s="470">
        <f t="shared" ref="N75:N81" si="67">F75+G75+H75+M75</f>
        <v>5228360.96</v>
      </c>
      <c r="O75" s="470">
        <f t="shared" ref="O75:O81" si="68">E75-N75</f>
        <v>14400279.04</v>
      </c>
      <c r="P75" s="470">
        <f t="shared" ref="P75:P81" si="69">IF(O75&lt;300000,0.07*O75,21000)</f>
        <v>21000</v>
      </c>
      <c r="Q75" s="470">
        <f t="shared" ref="Q75:Q81" si="70">IF((O75-300000)&lt;0,0,IF((O75-300000)&lt;300000,0.11*(O75-300000),33000))</f>
        <v>33000</v>
      </c>
      <c r="R75" s="470">
        <f t="shared" ref="R75:R81" si="71">IF((O75-600000)&lt;0,0,IF((O75-600000)&lt;500000,0.15*(O75-600000),75000))</f>
        <v>75000</v>
      </c>
      <c r="S75" s="470">
        <f t="shared" ref="S75:S81" si="72">IF((O75-1100000)&lt;0,0,IF((O75-1100000)&lt;500000,0.19*(O75-1100000),95000))</f>
        <v>95000</v>
      </c>
      <c r="T75" s="470">
        <f t="shared" ref="T75:T81" si="73">IF((O75-1600000)&lt;0,0,IF((O75-1600000)&lt;1600000,0.21*(O75-1600000),336000))</f>
        <v>336000</v>
      </c>
      <c r="U75" s="470">
        <f t="shared" ref="U75:U78" si="74">24%*(O75-3200000)</f>
        <v>2688066.9696</v>
      </c>
      <c r="V75" s="470">
        <f t="shared" ref="V75:V81" si="75">P75+Q75+R75+S75+T75+U75</f>
        <v>3248066.9696</v>
      </c>
      <c r="W75" s="471">
        <v>12</v>
      </c>
      <c r="X75" s="470">
        <f t="shared" ref="X75:X81" si="76">V75/W75</f>
        <v>270672.247466667</v>
      </c>
      <c r="Y75" s="476"/>
      <c r="Z75" s="470">
        <f t="shared" ref="Z75:Z81" si="77">X75</f>
        <v>270672.247466667</v>
      </c>
      <c r="AA75" s="473">
        <v>180306.806858667</v>
      </c>
      <c r="AB75" s="473">
        <f t="shared" ref="AB75:AB81" si="78">Z75-AA75</f>
        <v>90365.4406079996</v>
      </c>
      <c r="AC75" s="473"/>
      <c r="AD75" s="473"/>
      <c r="AE75" s="473"/>
    </row>
    <row r="76" ht="18" spans="1:31">
      <c r="A76" s="467">
        <v>62</v>
      </c>
      <c r="B76" s="14" t="s">
        <v>923</v>
      </c>
      <c r="C76" s="470">
        <v>761396.833333333</v>
      </c>
      <c r="D76" s="469">
        <v>12</v>
      </c>
      <c r="E76" s="470">
        <f t="shared" si="63"/>
        <v>9136762</v>
      </c>
      <c r="F76" s="470"/>
      <c r="G76" s="474">
        <v>0</v>
      </c>
      <c r="H76" s="476"/>
      <c r="I76" s="470">
        <f t="shared" si="64"/>
        <v>9136762</v>
      </c>
      <c r="J76" s="470">
        <v>200000</v>
      </c>
      <c r="K76" s="470">
        <v>0.2</v>
      </c>
      <c r="L76" s="470">
        <f t="shared" si="65"/>
        <v>1827352.4</v>
      </c>
      <c r="M76" s="470">
        <f t="shared" si="66"/>
        <v>2027352.4</v>
      </c>
      <c r="N76" s="470">
        <f t="shared" si="67"/>
        <v>2027352.4</v>
      </c>
      <c r="O76" s="470">
        <f t="shared" si="68"/>
        <v>7109409.6</v>
      </c>
      <c r="P76" s="470">
        <f t="shared" si="69"/>
        <v>21000</v>
      </c>
      <c r="Q76" s="470">
        <f t="shared" si="70"/>
        <v>33000</v>
      </c>
      <c r="R76" s="470">
        <f t="shared" si="71"/>
        <v>75000</v>
      </c>
      <c r="S76" s="470">
        <f t="shared" si="72"/>
        <v>95000</v>
      </c>
      <c r="T76" s="470">
        <f t="shared" si="73"/>
        <v>336000</v>
      </c>
      <c r="U76" s="470">
        <f t="shared" si="74"/>
        <v>938258.303999999</v>
      </c>
      <c r="V76" s="470">
        <f t="shared" si="75"/>
        <v>1498258.304</v>
      </c>
      <c r="W76" s="471">
        <v>12</v>
      </c>
      <c r="X76" s="470">
        <f t="shared" si="76"/>
        <v>124854.858666667</v>
      </c>
      <c r="Y76" s="476"/>
      <c r="Z76" s="470">
        <f t="shared" si="77"/>
        <v>124854.858666667</v>
      </c>
      <c r="AA76" s="473">
        <v>77764.9802666667</v>
      </c>
      <c r="AB76" s="473">
        <f t="shared" si="78"/>
        <v>47089.8783999999</v>
      </c>
      <c r="AC76" s="473"/>
      <c r="AD76" s="473"/>
      <c r="AE76" s="473"/>
    </row>
    <row r="77" ht="36" spans="1:31">
      <c r="A77" s="467">
        <v>63</v>
      </c>
      <c r="B77" s="18" t="s">
        <v>186</v>
      </c>
      <c r="C77" s="470">
        <f>700675.583333333+80000</f>
        <v>780675.583333333</v>
      </c>
      <c r="D77" s="469">
        <v>12</v>
      </c>
      <c r="E77" s="470">
        <f t="shared" si="63"/>
        <v>9368107</v>
      </c>
      <c r="F77" s="470"/>
      <c r="G77" s="474">
        <v>0</v>
      </c>
      <c r="H77" s="476"/>
      <c r="I77" s="470">
        <f t="shared" si="64"/>
        <v>9368107</v>
      </c>
      <c r="J77" s="470">
        <v>200000</v>
      </c>
      <c r="K77" s="470">
        <v>0.2</v>
      </c>
      <c r="L77" s="470">
        <f t="shared" si="65"/>
        <v>1873621.4</v>
      </c>
      <c r="M77" s="470">
        <f t="shared" si="66"/>
        <v>2073621.4</v>
      </c>
      <c r="N77" s="470">
        <f t="shared" si="67"/>
        <v>2073621.4</v>
      </c>
      <c r="O77" s="470">
        <f t="shared" si="68"/>
        <v>7294485.6</v>
      </c>
      <c r="P77" s="470">
        <f t="shared" si="69"/>
        <v>21000</v>
      </c>
      <c r="Q77" s="470">
        <f t="shared" si="70"/>
        <v>33000</v>
      </c>
      <c r="R77" s="470">
        <f t="shared" si="71"/>
        <v>75000</v>
      </c>
      <c r="S77" s="470">
        <f t="shared" si="72"/>
        <v>95000</v>
      </c>
      <c r="T77" s="470">
        <f t="shared" si="73"/>
        <v>336000</v>
      </c>
      <c r="U77" s="470">
        <f t="shared" si="74"/>
        <v>982676.543999999</v>
      </c>
      <c r="V77" s="470">
        <f t="shared" si="75"/>
        <v>1542676.544</v>
      </c>
      <c r="W77" s="471">
        <v>12</v>
      </c>
      <c r="X77" s="470">
        <f t="shared" si="76"/>
        <v>128556.378666667</v>
      </c>
      <c r="Y77" s="476"/>
      <c r="Z77" s="470">
        <f t="shared" si="77"/>
        <v>128556.378666667</v>
      </c>
      <c r="AA77" s="473">
        <v>64596.9391466667</v>
      </c>
      <c r="AB77" s="473">
        <f t="shared" si="78"/>
        <v>63959.4395199999</v>
      </c>
      <c r="AC77" s="473"/>
      <c r="AD77" s="473"/>
      <c r="AE77" s="473"/>
    </row>
    <row r="78" ht="18" spans="1:31">
      <c r="A78" s="467">
        <v>64</v>
      </c>
      <c r="B78" s="11" t="s">
        <v>190</v>
      </c>
      <c r="C78" s="470">
        <v>596622.25</v>
      </c>
      <c r="D78" s="469">
        <v>12</v>
      </c>
      <c r="E78" s="470">
        <f t="shared" si="63"/>
        <v>7159467</v>
      </c>
      <c r="F78" s="470">
        <f>'[6]JANUARY 2024'!$V$78*12</f>
        <v>8019.795</v>
      </c>
      <c r="G78" s="474">
        <v>438357.36</v>
      </c>
      <c r="H78" s="476"/>
      <c r="I78" s="470">
        <f t="shared" si="64"/>
        <v>6713089.845</v>
      </c>
      <c r="J78" s="470">
        <v>200000</v>
      </c>
      <c r="K78" s="470">
        <v>0.2</v>
      </c>
      <c r="L78" s="470">
        <f t="shared" si="65"/>
        <v>1342617.969</v>
      </c>
      <c r="M78" s="470">
        <f t="shared" si="66"/>
        <v>1542617.969</v>
      </c>
      <c r="N78" s="470">
        <f t="shared" si="67"/>
        <v>1988995.124</v>
      </c>
      <c r="O78" s="470">
        <f t="shared" si="68"/>
        <v>5170471.876</v>
      </c>
      <c r="P78" s="470">
        <f t="shared" si="69"/>
        <v>21000</v>
      </c>
      <c r="Q78" s="470">
        <f t="shared" si="70"/>
        <v>33000</v>
      </c>
      <c r="R78" s="470">
        <f t="shared" si="71"/>
        <v>75000</v>
      </c>
      <c r="S78" s="470">
        <f t="shared" si="72"/>
        <v>95000</v>
      </c>
      <c r="T78" s="470">
        <f t="shared" si="73"/>
        <v>336000</v>
      </c>
      <c r="U78" s="470">
        <f t="shared" si="74"/>
        <v>472913.25024</v>
      </c>
      <c r="V78" s="470">
        <f t="shared" si="75"/>
        <v>1032913.25024</v>
      </c>
      <c r="W78" s="471">
        <v>12</v>
      </c>
      <c r="X78" s="470">
        <f t="shared" si="76"/>
        <v>86076.1041866667</v>
      </c>
      <c r="Y78" s="476"/>
      <c r="Z78" s="470">
        <f t="shared" si="77"/>
        <v>86076.1041866667</v>
      </c>
      <c r="AA78" s="473">
        <v>56350.5861866667</v>
      </c>
      <c r="AB78" s="473">
        <f t="shared" si="78"/>
        <v>29725.518</v>
      </c>
      <c r="AC78" s="473"/>
      <c r="AD78" s="473"/>
      <c r="AE78" s="473"/>
    </row>
    <row r="79" ht="18" spans="1:31">
      <c r="A79" s="467">
        <v>65</v>
      </c>
      <c r="B79" s="11" t="s">
        <v>197</v>
      </c>
      <c r="C79" s="470">
        <v>408901.5</v>
      </c>
      <c r="D79" s="469">
        <v>12</v>
      </c>
      <c r="E79" s="470">
        <f t="shared" si="63"/>
        <v>4906818</v>
      </c>
      <c r="F79" s="470"/>
      <c r="G79" s="474">
        <v>296545.44</v>
      </c>
      <c r="H79" s="476"/>
      <c r="I79" s="470">
        <f t="shared" si="64"/>
        <v>4610272.56</v>
      </c>
      <c r="J79" s="470">
        <v>200000</v>
      </c>
      <c r="K79" s="470">
        <v>0.2</v>
      </c>
      <c r="L79" s="470">
        <f t="shared" si="65"/>
        <v>922054.512</v>
      </c>
      <c r="M79" s="470">
        <f t="shared" si="66"/>
        <v>1122054.512</v>
      </c>
      <c r="N79" s="470">
        <f t="shared" si="67"/>
        <v>1418599.952</v>
      </c>
      <c r="O79" s="470">
        <f t="shared" si="68"/>
        <v>3488218.048</v>
      </c>
      <c r="P79" s="470">
        <f t="shared" si="69"/>
        <v>21000</v>
      </c>
      <c r="Q79" s="470">
        <f t="shared" si="70"/>
        <v>33000</v>
      </c>
      <c r="R79" s="470">
        <f t="shared" si="71"/>
        <v>75000</v>
      </c>
      <c r="S79" s="470">
        <f t="shared" si="72"/>
        <v>95000</v>
      </c>
      <c r="T79" s="470">
        <f t="shared" si="73"/>
        <v>336000</v>
      </c>
      <c r="U79" s="470">
        <f>0.24*(O79-3200000)</f>
        <v>69172.33152</v>
      </c>
      <c r="V79" s="470">
        <f t="shared" si="75"/>
        <v>629172.33152</v>
      </c>
      <c r="W79" s="471">
        <v>12</v>
      </c>
      <c r="X79" s="470">
        <f t="shared" si="76"/>
        <v>52431.0276266667</v>
      </c>
      <c r="Y79" s="476"/>
      <c r="Z79" s="470">
        <f t="shared" si="77"/>
        <v>52431.0276266667</v>
      </c>
      <c r="AA79" s="473">
        <v>17507.5489666667</v>
      </c>
      <c r="AB79" s="473">
        <f t="shared" si="78"/>
        <v>34923.47866</v>
      </c>
      <c r="AC79" s="473"/>
      <c r="AD79" s="473"/>
      <c r="AE79" s="473"/>
    </row>
    <row r="80" ht="24.75" customHeight="1" spans="1:31">
      <c r="A80" s="467"/>
      <c r="B80" s="11" t="s">
        <v>201</v>
      </c>
      <c r="C80" s="470">
        <v>363165.333333333</v>
      </c>
      <c r="D80" s="469">
        <v>12</v>
      </c>
      <c r="E80" s="470">
        <f t="shared" si="63"/>
        <v>4357984</v>
      </c>
      <c r="F80" s="470"/>
      <c r="G80" s="474">
        <v>252638.72</v>
      </c>
      <c r="H80" s="476"/>
      <c r="I80" s="470">
        <f t="shared" si="64"/>
        <v>4105345.28</v>
      </c>
      <c r="J80" s="470">
        <v>200000</v>
      </c>
      <c r="K80" s="470">
        <v>0.2</v>
      </c>
      <c r="L80" s="470">
        <f t="shared" si="65"/>
        <v>821069.055999999</v>
      </c>
      <c r="M80" s="470">
        <f t="shared" si="66"/>
        <v>1021069.056</v>
      </c>
      <c r="N80" s="470">
        <f t="shared" si="67"/>
        <v>1273707.776</v>
      </c>
      <c r="O80" s="470">
        <f t="shared" si="68"/>
        <v>3084276.224</v>
      </c>
      <c r="P80" s="470">
        <f t="shared" si="69"/>
        <v>21000</v>
      </c>
      <c r="Q80" s="470">
        <f t="shared" si="70"/>
        <v>33000</v>
      </c>
      <c r="R80" s="470">
        <f t="shared" si="71"/>
        <v>75000</v>
      </c>
      <c r="S80" s="470">
        <f t="shared" si="72"/>
        <v>95000</v>
      </c>
      <c r="T80" s="470">
        <f t="shared" si="73"/>
        <v>311698.007039999</v>
      </c>
      <c r="U80" s="470"/>
      <c r="V80" s="470">
        <f t="shared" si="75"/>
        <v>535698.007039999</v>
      </c>
      <c r="W80" s="471">
        <v>12</v>
      </c>
      <c r="X80" s="470">
        <f t="shared" si="76"/>
        <v>44641.5005866666</v>
      </c>
      <c r="Y80" s="476"/>
      <c r="Z80" s="470">
        <f t="shared" si="77"/>
        <v>44641.5005866666</v>
      </c>
      <c r="AA80" s="473">
        <v>29058.4826046667</v>
      </c>
      <c r="AB80" s="473">
        <f t="shared" si="78"/>
        <v>15583.0179819999</v>
      </c>
      <c r="AC80" s="473"/>
      <c r="AD80" s="473"/>
      <c r="AE80" s="473"/>
    </row>
    <row r="81" ht="18" spans="1:31">
      <c r="A81" s="467"/>
      <c r="B81" s="11" t="s">
        <v>203</v>
      </c>
      <c r="C81" s="470">
        <v>324459.75</v>
      </c>
      <c r="D81" s="469">
        <v>12</v>
      </c>
      <c r="E81" s="470">
        <f t="shared" si="63"/>
        <v>3893517</v>
      </c>
      <c r="F81" s="470"/>
      <c r="G81" s="474">
        <v>215481.36</v>
      </c>
      <c r="H81" s="476"/>
      <c r="I81" s="470">
        <f t="shared" si="64"/>
        <v>3678035.64</v>
      </c>
      <c r="J81" s="470">
        <v>200000</v>
      </c>
      <c r="K81" s="470">
        <v>0.2</v>
      </c>
      <c r="L81" s="470">
        <f t="shared" si="65"/>
        <v>735607.128</v>
      </c>
      <c r="M81" s="470">
        <f t="shared" si="66"/>
        <v>935607.128</v>
      </c>
      <c r="N81" s="470">
        <f t="shared" si="67"/>
        <v>1151088.488</v>
      </c>
      <c r="O81" s="470">
        <f t="shared" si="68"/>
        <v>2742428.512</v>
      </c>
      <c r="P81" s="470">
        <f t="shared" si="69"/>
        <v>21000</v>
      </c>
      <c r="Q81" s="470">
        <f t="shared" si="70"/>
        <v>33000</v>
      </c>
      <c r="R81" s="470">
        <f t="shared" si="71"/>
        <v>75000</v>
      </c>
      <c r="S81" s="470">
        <f t="shared" si="72"/>
        <v>95000</v>
      </c>
      <c r="T81" s="470">
        <f t="shared" si="73"/>
        <v>239909.98752</v>
      </c>
      <c r="U81" s="470"/>
      <c r="V81" s="470">
        <f t="shared" si="75"/>
        <v>463909.98752</v>
      </c>
      <c r="W81" s="471">
        <v>12</v>
      </c>
      <c r="X81" s="470">
        <f t="shared" si="76"/>
        <v>38659.1656266667</v>
      </c>
      <c r="Y81" s="476"/>
      <c r="Z81" s="470">
        <f t="shared" si="77"/>
        <v>38659.1656266667</v>
      </c>
      <c r="AA81" s="473">
        <v>24751.1704626667</v>
      </c>
      <c r="AB81" s="473">
        <f t="shared" si="78"/>
        <v>13907.995164</v>
      </c>
      <c r="AC81" s="473"/>
      <c r="AD81" s="473"/>
      <c r="AE81" s="473"/>
    </row>
    <row r="82" ht="17.5" spans="1:31">
      <c r="A82" s="467"/>
      <c r="B82" s="20" t="s">
        <v>120</v>
      </c>
      <c r="C82" s="470"/>
      <c r="D82" s="469"/>
      <c r="E82" s="470"/>
      <c r="F82" s="470"/>
      <c r="G82" s="476"/>
      <c r="H82" s="476"/>
      <c r="I82" s="470"/>
      <c r="J82" s="470"/>
      <c r="K82" s="470"/>
      <c r="L82" s="470"/>
      <c r="M82" s="470"/>
      <c r="N82" s="470"/>
      <c r="O82" s="470"/>
      <c r="P82" s="470"/>
      <c r="Q82" s="470"/>
      <c r="R82" s="470"/>
      <c r="S82" s="470"/>
      <c r="T82" s="470"/>
      <c r="U82" s="470"/>
      <c r="V82" s="470"/>
      <c r="W82" s="471"/>
      <c r="X82" s="470"/>
      <c r="Y82" s="476"/>
      <c r="Z82" s="470"/>
      <c r="AA82" s="473"/>
      <c r="AB82" s="473"/>
      <c r="AC82" s="473"/>
      <c r="AD82" s="473"/>
      <c r="AE82" s="473"/>
    </row>
    <row r="83" ht="17.5" spans="1:31">
      <c r="A83" s="467">
        <v>66</v>
      </c>
      <c r="B83" s="20"/>
      <c r="C83" s="470"/>
      <c r="D83" s="469"/>
      <c r="E83" s="470"/>
      <c r="F83" s="470"/>
      <c r="G83" s="476"/>
      <c r="H83" s="476"/>
      <c r="I83" s="470"/>
      <c r="J83" s="470"/>
      <c r="K83" s="470"/>
      <c r="L83" s="470"/>
      <c r="M83" s="470"/>
      <c r="N83" s="470"/>
      <c r="O83" s="470"/>
      <c r="P83" s="470"/>
      <c r="Q83" s="470"/>
      <c r="R83" s="470"/>
      <c r="S83" s="470"/>
      <c r="T83" s="470"/>
      <c r="U83" s="470"/>
      <c r="V83" s="470"/>
      <c r="W83" s="471"/>
      <c r="X83" s="470"/>
      <c r="Y83" s="476"/>
      <c r="Z83" s="470"/>
      <c r="AA83" s="473"/>
      <c r="AB83" s="473"/>
      <c r="AC83" s="473"/>
      <c r="AD83" s="473"/>
      <c r="AE83" s="473"/>
    </row>
    <row r="84" ht="35" spans="1:31">
      <c r="A84" s="467">
        <v>67</v>
      </c>
      <c r="B84" s="20" t="s">
        <v>205</v>
      </c>
      <c r="C84" s="470"/>
      <c r="AB84" s="296" t="s">
        <v>1010</v>
      </c>
      <c r="AC84" s="473"/>
      <c r="AD84" s="473"/>
      <c r="AE84" s="473"/>
    </row>
    <row r="85" ht="18" spans="1:31">
      <c r="A85" s="467">
        <v>68</v>
      </c>
      <c r="B85" s="11" t="s">
        <v>208</v>
      </c>
      <c r="C85" s="470">
        <f>880675.583333333+100000</f>
        <v>980675.583333333</v>
      </c>
      <c r="D85" s="469">
        <v>12</v>
      </c>
      <c r="E85" s="470">
        <f t="shared" ref="E85:E94" si="79">C85*D85</f>
        <v>11768107</v>
      </c>
      <c r="F85" s="470"/>
      <c r="G85" s="474">
        <v>595848.56</v>
      </c>
      <c r="H85" s="476"/>
      <c r="I85" s="470">
        <f t="shared" ref="I85:I94" si="80">E85-F85-G85-H85</f>
        <v>11172258.44</v>
      </c>
      <c r="J85" s="470">
        <v>200000</v>
      </c>
      <c r="K85" s="470">
        <v>0.2</v>
      </c>
      <c r="L85" s="470">
        <f t="shared" ref="L85:L94" si="81">I85*K85</f>
        <v>2234451.688</v>
      </c>
      <c r="M85" s="470">
        <f t="shared" ref="M85:M94" si="82">J85+L85</f>
        <v>2434451.688</v>
      </c>
      <c r="N85" s="470">
        <f t="shared" ref="N85:N94" si="83">F85+G85+H85+M85</f>
        <v>3030300.248</v>
      </c>
      <c r="O85" s="470">
        <f t="shared" ref="O85:O94" si="84">E85-N85</f>
        <v>8737806.752</v>
      </c>
      <c r="P85" s="470">
        <f t="shared" ref="P85:P94" si="85">IF(O85&lt;300000,0.07*O85,21000)</f>
        <v>21000</v>
      </c>
      <c r="Q85" s="470">
        <f t="shared" ref="Q85:Q94" si="86">IF((O85-300000)&lt;0,0,IF((O85-300000)&lt;300000,0.11*(O85-300000),33000))</f>
        <v>33000</v>
      </c>
      <c r="R85" s="470">
        <f t="shared" ref="R85:R94" si="87">IF((O85-600000)&lt;0,0,IF((O85-600000)&lt;500000,0.15*(O85-600000),75000))</f>
        <v>75000</v>
      </c>
      <c r="S85" s="470">
        <f t="shared" ref="S85:S94" si="88">IF((O85-1100000)&lt;0,0,IF((O85-1100000)&lt;500000,0.19*(O85-1100000),95000))</f>
        <v>95000</v>
      </c>
      <c r="T85" s="470">
        <f t="shared" ref="T85:T94" si="89">IF((O85-1600000)&lt;0,0,IF((O85-1600000)&lt;1600000,0.21*(O85-1600000),336000))</f>
        <v>336000</v>
      </c>
      <c r="U85" s="470">
        <f t="shared" ref="U85:U93" si="90">24%*(O85-3200000)</f>
        <v>1329073.62048</v>
      </c>
      <c r="V85" s="470">
        <f t="shared" ref="V85:V94" si="91">P85+Q85+R85+S85+T85+U85</f>
        <v>1889073.62048</v>
      </c>
      <c r="W85" s="471">
        <v>12</v>
      </c>
      <c r="X85" s="470">
        <f t="shared" ref="X85:X94" si="92">V85/W85</f>
        <v>157422.801706667</v>
      </c>
      <c r="Y85" s="476"/>
      <c r="Z85" s="470">
        <f t="shared" ref="Z85:Z94" si="93">X85</f>
        <v>157422.801706667</v>
      </c>
      <c r="AA85" s="470">
        <v>99156.9391466667</v>
      </c>
      <c r="AB85" s="473">
        <f t="shared" ref="AB85:AB94" si="94">Z85-AA85</f>
        <v>58265.8625599999</v>
      </c>
      <c r="AC85" s="473" t="s">
        <v>208</v>
      </c>
      <c r="AD85" s="473"/>
      <c r="AE85" s="473"/>
    </row>
    <row r="86" ht="18" spans="1:31">
      <c r="A86" s="467">
        <v>69</v>
      </c>
      <c r="B86" s="11" t="s">
        <v>206</v>
      </c>
      <c r="C86" s="470">
        <v>780675.583333333</v>
      </c>
      <c r="D86" s="469">
        <v>12</v>
      </c>
      <c r="E86" s="470">
        <f t="shared" si="79"/>
        <v>9368107</v>
      </c>
      <c r="F86" s="470">
        <f>'[6]JANUARY 2024'!$V$86*12</f>
        <v>10052.25</v>
      </c>
      <c r="G86" s="474">
        <v>595848.56</v>
      </c>
      <c r="H86" s="476"/>
      <c r="I86" s="470">
        <f t="shared" si="80"/>
        <v>8762206.19</v>
      </c>
      <c r="J86" s="470">
        <v>200000</v>
      </c>
      <c r="K86" s="470">
        <v>0.2</v>
      </c>
      <c r="L86" s="470">
        <f t="shared" si="81"/>
        <v>1752441.238</v>
      </c>
      <c r="M86" s="470">
        <f t="shared" si="82"/>
        <v>1952441.238</v>
      </c>
      <c r="N86" s="470">
        <f t="shared" si="83"/>
        <v>2558342.048</v>
      </c>
      <c r="O86" s="470">
        <f t="shared" si="84"/>
        <v>6809764.952</v>
      </c>
      <c r="P86" s="470">
        <f t="shared" si="85"/>
        <v>21000</v>
      </c>
      <c r="Q86" s="470">
        <f t="shared" si="86"/>
        <v>33000</v>
      </c>
      <c r="R86" s="470">
        <f t="shared" si="87"/>
        <v>75000</v>
      </c>
      <c r="S86" s="470">
        <f t="shared" si="88"/>
        <v>95000</v>
      </c>
      <c r="T86" s="470">
        <f t="shared" si="89"/>
        <v>336000</v>
      </c>
      <c r="U86" s="470">
        <f t="shared" si="90"/>
        <v>866343.588479999</v>
      </c>
      <c r="V86" s="470">
        <f t="shared" si="91"/>
        <v>1426343.58848</v>
      </c>
      <c r="W86" s="471">
        <v>12</v>
      </c>
      <c r="X86" s="470">
        <f t="shared" si="92"/>
        <v>118861.965706667</v>
      </c>
      <c r="Y86" s="476"/>
      <c r="Z86" s="470">
        <f t="shared" si="93"/>
        <v>118861.965706667</v>
      </c>
      <c r="AA86" s="470">
        <v>98996.1031466667</v>
      </c>
      <c r="AB86" s="473">
        <f t="shared" si="94"/>
        <v>19865.8625599999</v>
      </c>
      <c r="AC86" s="473" t="s">
        <v>206</v>
      </c>
      <c r="AD86" s="473"/>
      <c r="AE86" s="473"/>
    </row>
    <row r="87" ht="36" spans="1:31">
      <c r="A87" s="467">
        <v>70</v>
      </c>
      <c r="B87" s="11" t="s">
        <v>479</v>
      </c>
      <c r="C87" s="470">
        <v>587895.166666667</v>
      </c>
      <c r="D87" s="469">
        <v>12</v>
      </c>
      <c r="E87" s="470">
        <f t="shared" si="79"/>
        <v>7054742</v>
      </c>
      <c r="F87" s="470"/>
      <c r="G87" s="474">
        <v>558833.36</v>
      </c>
      <c r="H87" s="476"/>
      <c r="I87" s="470">
        <f t="shared" si="80"/>
        <v>6495908.64</v>
      </c>
      <c r="J87" s="470">
        <v>200000</v>
      </c>
      <c r="K87" s="470">
        <v>0.2</v>
      </c>
      <c r="L87" s="470">
        <f t="shared" si="81"/>
        <v>1299181.728</v>
      </c>
      <c r="M87" s="470">
        <f t="shared" si="82"/>
        <v>1499181.728</v>
      </c>
      <c r="N87" s="470">
        <f t="shared" si="83"/>
        <v>2058015.088</v>
      </c>
      <c r="O87" s="470">
        <f t="shared" si="84"/>
        <v>4996726.912</v>
      </c>
      <c r="P87" s="470">
        <f t="shared" si="85"/>
        <v>21000</v>
      </c>
      <c r="Q87" s="470">
        <f t="shared" si="86"/>
        <v>33000</v>
      </c>
      <c r="R87" s="470">
        <f t="shared" si="87"/>
        <v>75000</v>
      </c>
      <c r="S87" s="470">
        <f t="shared" si="88"/>
        <v>95000</v>
      </c>
      <c r="T87" s="470">
        <f t="shared" si="89"/>
        <v>336000</v>
      </c>
      <c r="U87" s="470">
        <f t="shared" si="90"/>
        <v>431214.458880001</v>
      </c>
      <c r="V87" s="470">
        <f t="shared" si="91"/>
        <v>991214.458880001</v>
      </c>
      <c r="W87" s="471">
        <v>12</v>
      </c>
      <c r="X87" s="470">
        <f t="shared" si="92"/>
        <v>82601.2049066667</v>
      </c>
      <c r="Y87" s="476"/>
      <c r="Z87" s="470">
        <f t="shared" si="93"/>
        <v>82601.2049066667</v>
      </c>
      <c r="AA87" s="470">
        <v>79956.9391466667</v>
      </c>
      <c r="AB87" s="473">
        <f t="shared" si="94"/>
        <v>2644.26576000001</v>
      </c>
      <c r="AC87" s="473" t="s">
        <v>479</v>
      </c>
      <c r="AD87" s="473"/>
      <c r="AE87" s="473"/>
    </row>
    <row r="88" ht="18" spans="1:31">
      <c r="A88" s="467">
        <v>71</v>
      </c>
      <c r="B88" s="11" t="s">
        <v>211</v>
      </c>
      <c r="C88" s="470">
        <v>582746.5</v>
      </c>
      <c r="D88" s="469">
        <v>12</v>
      </c>
      <c r="E88" s="470">
        <f t="shared" si="79"/>
        <v>6992958</v>
      </c>
      <c r="F88" s="470"/>
      <c r="G88" s="474">
        <v>424132.72</v>
      </c>
      <c r="H88" s="476"/>
      <c r="I88" s="470">
        <f t="shared" si="80"/>
        <v>6568825.28</v>
      </c>
      <c r="J88" s="470">
        <v>200000</v>
      </c>
      <c r="K88" s="470">
        <v>0.2</v>
      </c>
      <c r="L88" s="470">
        <f t="shared" si="81"/>
        <v>1313765.056</v>
      </c>
      <c r="M88" s="470">
        <f t="shared" si="82"/>
        <v>1513765.056</v>
      </c>
      <c r="N88" s="470">
        <f t="shared" si="83"/>
        <v>1937897.776</v>
      </c>
      <c r="O88" s="470">
        <f t="shared" si="84"/>
        <v>5055060.224</v>
      </c>
      <c r="P88" s="470">
        <f t="shared" si="85"/>
        <v>21000</v>
      </c>
      <c r="Q88" s="470">
        <f t="shared" si="86"/>
        <v>33000</v>
      </c>
      <c r="R88" s="470">
        <f t="shared" si="87"/>
        <v>75000</v>
      </c>
      <c r="S88" s="470">
        <f t="shared" si="88"/>
        <v>95000</v>
      </c>
      <c r="T88" s="470">
        <f t="shared" si="89"/>
        <v>336000</v>
      </c>
      <c r="U88" s="470">
        <f t="shared" si="90"/>
        <v>445214.45376</v>
      </c>
      <c r="V88" s="470">
        <f t="shared" si="91"/>
        <v>1005214.45376</v>
      </c>
      <c r="W88" s="471">
        <v>12</v>
      </c>
      <c r="X88" s="470">
        <f t="shared" si="92"/>
        <v>83767.8711466667</v>
      </c>
      <c r="Y88" s="476"/>
      <c r="Z88" s="470">
        <f t="shared" si="93"/>
        <v>83767.8711466667</v>
      </c>
      <c r="AA88" s="470">
        <v>75574.6772906667</v>
      </c>
      <c r="AB88" s="473">
        <f t="shared" si="94"/>
        <v>8193.19385599995</v>
      </c>
      <c r="AC88" s="473" t="s">
        <v>211</v>
      </c>
      <c r="AD88" s="473"/>
      <c r="AE88" s="473"/>
    </row>
    <row r="89" ht="18" spans="1:31">
      <c r="A89" s="467">
        <v>72</v>
      </c>
      <c r="B89" s="11" t="s">
        <v>212</v>
      </c>
      <c r="C89" s="470">
        <v>548915.916666667</v>
      </c>
      <c r="D89" s="469">
        <v>12</v>
      </c>
      <c r="E89" s="470">
        <f t="shared" si="79"/>
        <v>6586991</v>
      </c>
      <c r="F89" s="470"/>
      <c r="G89" s="474">
        <v>411759.28</v>
      </c>
      <c r="H89" s="476"/>
      <c r="I89" s="470">
        <f t="shared" si="80"/>
        <v>6175231.72</v>
      </c>
      <c r="J89" s="470">
        <v>200000</v>
      </c>
      <c r="K89" s="470">
        <v>0.2</v>
      </c>
      <c r="L89" s="470">
        <f t="shared" si="81"/>
        <v>1235046.344</v>
      </c>
      <c r="M89" s="470">
        <f t="shared" si="82"/>
        <v>1435046.344</v>
      </c>
      <c r="N89" s="470">
        <f t="shared" si="83"/>
        <v>1846805.624</v>
      </c>
      <c r="O89" s="470">
        <f t="shared" si="84"/>
        <v>4740185.376</v>
      </c>
      <c r="P89" s="470">
        <f t="shared" si="85"/>
        <v>21000</v>
      </c>
      <c r="Q89" s="470">
        <f t="shared" si="86"/>
        <v>33000</v>
      </c>
      <c r="R89" s="470">
        <f t="shared" si="87"/>
        <v>75000</v>
      </c>
      <c r="S89" s="470">
        <f t="shared" si="88"/>
        <v>95000</v>
      </c>
      <c r="T89" s="470">
        <f t="shared" si="89"/>
        <v>336000</v>
      </c>
      <c r="U89" s="470">
        <f t="shared" si="90"/>
        <v>369644.490240001</v>
      </c>
      <c r="V89" s="470">
        <f t="shared" si="91"/>
        <v>929644.490240001</v>
      </c>
      <c r="W89" s="471">
        <v>12</v>
      </c>
      <c r="X89" s="470">
        <f t="shared" si="92"/>
        <v>77470.3741866667</v>
      </c>
      <c r="Y89" s="476"/>
      <c r="Z89" s="470">
        <f t="shared" si="93"/>
        <v>77470.3741866667</v>
      </c>
      <c r="AA89" s="470">
        <v>50985.9775466667</v>
      </c>
      <c r="AB89" s="473">
        <f t="shared" si="94"/>
        <v>26484.39664</v>
      </c>
      <c r="AC89" s="473" t="s">
        <v>212</v>
      </c>
      <c r="AD89" s="473"/>
      <c r="AE89" s="473"/>
    </row>
    <row r="90" ht="36" spans="1:31">
      <c r="A90" s="467">
        <v>73</v>
      </c>
      <c r="B90" s="11" t="s">
        <v>213</v>
      </c>
      <c r="C90" s="470">
        <v>568870.75</v>
      </c>
      <c r="D90" s="469">
        <v>12</v>
      </c>
      <c r="E90" s="470">
        <f t="shared" si="79"/>
        <v>6826449</v>
      </c>
      <c r="F90" s="470"/>
      <c r="G90" s="474">
        <v>411715.92</v>
      </c>
      <c r="H90" s="476"/>
      <c r="I90" s="470">
        <f t="shared" si="80"/>
        <v>6414733.08</v>
      </c>
      <c r="J90" s="470">
        <v>200000</v>
      </c>
      <c r="K90" s="470">
        <v>0.2</v>
      </c>
      <c r="L90" s="470">
        <f t="shared" si="81"/>
        <v>1282946.616</v>
      </c>
      <c r="M90" s="470">
        <f t="shared" si="82"/>
        <v>1482946.616</v>
      </c>
      <c r="N90" s="470">
        <f t="shared" si="83"/>
        <v>1894662.536</v>
      </c>
      <c r="O90" s="470">
        <f t="shared" si="84"/>
        <v>4931786.464</v>
      </c>
      <c r="P90" s="470">
        <f t="shared" si="85"/>
        <v>21000</v>
      </c>
      <c r="Q90" s="470">
        <f t="shared" si="86"/>
        <v>33000</v>
      </c>
      <c r="R90" s="470">
        <f t="shared" si="87"/>
        <v>75000</v>
      </c>
      <c r="S90" s="470">
        <f t="shared" si="88"/>
        <v>95000</v>
      </c>
      <c r="T90" s="470">
        <f t="shared" si="89"/>
        <v>336000</v>
      </c>
      <c r="U90" s="470">
        <f t="shared" si="90"/>
        <v>415628.75136</v>
      </c>
      <c r="V90" s="470">
        <f t="shared" si="91"/>
        <v>975628.75136</v>
      </c>
      <c r="W90" s="471">
        <v>12</v>
      </c>
      <c r="X90" s="470">
        <f t="shared" si="92"/>
        <v>81302.3959466667</v>
      </c>
      <c r="Y90" s="476"/>
      <c r="Z90" s="470">
        <f t="shared" si="93"/>
        <v>81302.3959466667</v>
      </c>
      <c r="AA90" s="470">
        <v>49548.7761866667</v>
      </c>
      <c r="AB90" s="473">
        <f t="shared" si="94"/>
        <v>31753.61976</v>
      </c>
      <c r="AC90" s="473" t="s">
        <v>213</v>
      </c>
      <c r="AD90" s="473"/>
      <c r="AE90" s="473"/>
    </row>
    <row r="91" ht="18" spans="1:31">
      <c r="A91" s="467">
        <v>74</v>
      </c>
      <c r="B91" s="11" t="s">
        <v>215</v>
      </c>
      <c r="C91" s="470">
        <v>475703.833333333</v>
      </c>
      <c r="D91" s="469">
        <v>12</v>
      </c>
      <c r="E91" s="470">
        <f t="shared" si="79"/>
        <v>5708446</v>
      </c>
      <c r="F91" s="470"/>
      <c r="G91" s="479">
        <f>29256.3066666667*12</f>
        <v>351075.68</v>
      </c>
      <c r="H91" s="476"/>
      <c r="I91" s="470">
        <f t="shared" si="80"/>
        <v>5357370.32</v>
      </c>
      <c r="J91" s="470">
        <v>200000</v>
      </c>
      <c r="K91" s="470">
        <v>0.2</v>
      </c>
      <c r="L91" s="470">
        <f t="shared" si="81"/>
        <v>1071474.064</v>
      </c>
      <c r="M91" s="470">
        <f t="shared" si="82"/>
        <v>1271474.064</v>
      </c>
      <c r="N91" s="470">
        <f t="shared" si="83"/>
        <v>1622549.744</v>
      </c>
      <c r="O91" s="470">
        <f t="shared" si="84"/>
        <v>4085896.256</v>
      </c>
      <c r="P91" s="470">
        <f t="shared" si="85"/>
        <v>21000</v>
      </c>
      <c r="Q91" s="470">
        <f t="shared" si="86"/>
        <v>33000</v>
      </c>
      <c r="R91" s="470">
        <f t="shared" si="87"/>
        <v>75000</v>
      </c>
      <c r="S91" s="470">
        <f t="shared" si="88"/>
        <v>95000</v>
      </c>
      <c r="T91" s="470">
        <f t="shared" si="89"/>
        <v>336000</v>
      </c>
      <c r="U91" s="470">
        <f t="shared" si="90"/>
        <v>212615.101439999</v>
      </c>
      <c r="V91" s="470">
        <f t="shared" si="91"/>
        <v>772615.101439999</v>
      </c>
      <c r="W91" s="471">
        <v>12</v>
      </c>
      <c r="X91" s="470">
        <f t="shared" si="92"/>
        <v>64384.5917866666</v>
      </c>
      <c r="Y91" s="476"/>
      <c r="Z91" s="470">
        <f t="shared" si="93"/>
        <v>64384.5917866666</v>
      </c>
      <c r="AA91" s="470">
        <v>53384.0535626667</v>
      </c>
      <c r="AB91" s="473">
        <f t="shared" si="94"/>
        <v>11000.5382239999</v>
      </c>
      <c r="AC91" s="473" t="s">
        <v>215</v>
      </c>
      <c r="AD91" s="473"/>
      <c r="AE91" s="473"/>
    </row>
    <row r="92" ht="24" customHeight="1" spans="1:31">
      <c r="A92" s="467">
        <v>75</v>
      </c>
      <c r="B92" s="11" t="s">
        <v>216</v>
      </c>
      <c r="C92" s="470">
        <v>510248.916666667</v>
      </c>
      <c r="D92" s="469">
        <v>12</v>
      </c>
      <c r="E92" s="470">
        <f t="shared" si="79"/>
        <v>6122987</v>
      </c>
      <c r="F92" s="470">
        <f>'[6]JANUARY 2024'!$V$92*12</f>
        <v>6922.497</v>
      </c>
      <c r="G92" s="474">
        <v>374638.96</v>
      </c>
      <c r="H92" s="476"/>
      <c r="I92" s="470">
        <f t="shared" si="80"/>
        <v>5741425.543</v>
      </c>
      <c r="J92" s="470">
        <v>200000</v>
      </c>
      <c r="K92" s="470">
        <v>0.2</v>
      </c>
      <c r="L92" s="470">
        <f t="shared" si="81"/>
        <v>1148285.1086</v>
      </c>
      <c r="M92" s="470">
        <f t="shared" si="82"/>
        <v>1348285.1086</v>
      </c>
      <c r="N92" s="470">
        <f t="shared" si="83"/>
        <v>1729846.5656</v>
      </c>
      <c r="O92" s="470">
        <f t="shared" si="84"/>
        <v>4393140.4344</v>
      </c>
      <c r="P92" s="470">
        <f t="shared" si="85"/>
        <v>21000</v>
      </c>
      <c r="Q92" s="470">
        <f t="shared" si="86"/>
        <v>33000</v>
      </c>
      <c r="R92" s="470">
        <f t="shared" si="87"/>
        <v>75000</v>
      </c>
      <c r="S92" s="470">
        <f t="shared" si="88"/>
        <v>95000</v>
      </c>
      <c r="T92" s="470">
        <f t="shared" si="89"/>
        <v>336000</v>
      </c>
      <c r="U92" s="470">
        <f t="shared" si="90"/>
        <v>286353.704256001</v>
      </c>
      <c r="V92" s="470">
        <f t="shared" si="91"/>
        <v>846353.704256001</v>
      </c>
      <c r="W92" s="471">
        <v>12</v>
      </c>
      <c r="X92" s="470">
        <f t="shared" si="92"/>
        <v>70529.4753546667</v>
      </c>
      <c r="Y92" s="476"/>
      <c r="Z92" s="470">
        <f t="shared" si="93"/>
        <v>70529.4753546667</v>
      </c>
      <c r="AA92" s="470">
        <v>41242.0361406667</v>
      </c>
      <c r="AB92" s="473">
        <f t="shared" si="94"/>
        <v>29287.439214</v>
      </c>
      <c r="AC92" s="473" t="s">
        <v>216</v>
      </c>
      <c r="AD92" s="473"/>
      <c r="AE92" s="473"/>
    </row>
    <row r="93" ht="18" spans="1:31">
      <c r="A93" s="467">
        <v>76</v>
      </c>
      <c r="B93" s="11" t="s">
        <v>220</v>
      </c>
      <c r="C93" s="470">
        <v>400965.583333333</v>
      </c>
      <c r="D93" s="469">
        <v>12</v>
      </c>
      <c r="E93" s="470">
        <f t="shared" si="79"/>
        <v>4811587</v>
      </c>
      <c r="F93" s="470"/>
      <c r="G93" s="474">
        <v>288926.96</v>
      </c>
      <c r="H93" s="476"/>
      <c r="I93" s="470">
        <f t="shared" si="80"/>
        <v>4522660.04</v>
      </c>
      <c r="J93" s="470">
        <v>200000</v>
      </c>
      <c r="K93" s="470">
        <v>0.2</v>
      </c>
      <c r="L93" s="470">
        <f t="shared" si="81"/>
        <v>904532.007999999</v>
      </c>
      <c r="M93" s="470">
        <f t="shared" si="82"/>
        <v>1104532.008</v>
      </c>
      <c r="N93" s="470">
        <f t="shared" si="83"/>
        <v>1393458.968</v>
      </c>
      <c r="O93" s="470">
        <f t="shared" si="84"/>
        <v>3418128.032</v>
      </c>
      <c r="P93" s="470">
        <f t="shared" si="85"/>
        <v>21000</v>
      </c>
      <c r="Q93" s="470">
        <f t="shared" si="86"/>
        <v>33000</v>
      </c>
      <c r="R93" s="470">
        <f t="shared" si="87"/>
        <v>75000</v>
      </c>
      <c r="S93" s="470">
        <f t="shared" si="88"/>
        <v>95000</v>
      </c>
      <c r="T93" s="470">
        <f t="shared" si="89"/>
        <v>336000</v>
      </c>
      <c r="U93" s="470">
        <f t="shared" si="90"/>
        <v>52350.7276799992</v>
      </c>
      <c r="V93" s="470">
        <f t="shared" si="91"/>
        <v>612350.727679999</v>
      </c>
      <c r="W93" s="471">
        <v>12</v>
      </c>
      <c r="X93" s="470">
        <f t="shared" si="92"/>
        <v>51029.2273066666</v>
      </c>
      <c r="Y93" s="476"/>
      <c r="Z93" s="470">
        <f t="shared" si="93"/>
        <v>51029.2273066666</v>
      </c>
      <c r="AA93" s="470">
        <v>45414.4562526667</v>
      </c>
      <c r="AB93" s="473">
        <f t="shared" si="94"/>
        <v>5614.7710539999</v>
      </c>
      <c r="AC93" s="473" t="s">
        <v>220</v>
      </c>
      <c r="AD93" s="473"/>
      <c r="AE93" s="473"/>
    </row>
    <row r="94" ht="18" spans="1:31">
      <c r="A94" s="467"/>
      <c r="B94" s="11" t="s">
        <v>224</v>
      </c>
      <c r="C94" s="470">
        <v>330631.916666667</v>
      </c>
      <c r="D94" s="469">
        <v>12</v>
      </c>
      <c r="E94" s="470">
        <f t="shared" si="79"/>
        <v>3967583</v>
      </c>
      <c r="F94" s="470"/>
      <c r="G94" s="474">
        <v>221406.64</v>
      </c>
      <c r="H94" s="476"/>
      <c r="I94" s="470">
        <f t="shared" si="80"/>
        <v>3746176.36</v>
      </c>
      <c r="J94" s="470">
        <v>200000</v>
      </c>
      <c r="K94" s="470">
        <v>0.2</v>
      </c>
      <c r="L94" s="470">
        <f t="shared" si="81"/>
        <v>749235.272000001</v>
      </c>
      <c r="M94" s="470">
        <f t="shared" si="82"/>
        <v>949235.272000001</v>
      </c>
      <c r="N94" s="470">
        <f t="shared" si="83"/>
        <v>1170641.912</v>
      </c>
      <c r="O94" s="470">
        <f t="shared" si="84"/>
        <v>2796941.088</v>
      </c>
      <c r="P94" s="470">
        <f t="shared" si="85"/>
        <v>21000</v>
      </c>
      <c r="Q94" s="470">
        <f t="shared" si="86"/>
        <v>33000</v>
      </c>
      <c r="R94" s="470">
        <f t="shared" si="87"/>
        <v>75000</v>
      </c>
      <c r="S94" s="470">
        <f t="shared" si="88"/>
        <v>95000</v>
      </c>
      <c r="T94" s="470">
        <f t="shared" si="89"/>
        <v>251357.628480001</v>
      </c>
      <c r="U94" s="470"/>
      <c r="V94" s="470">
        <f t="shared" si="91"/>
        <v>475357.628480001</v>
      </c>
      <c r="W94" s="471">
        <v>12</v>
      </c>
      <c r="X94" s="470">
        <f t="shared" si="92"/>
        <v>39613.1357066667</v>
      </c>
      <c r="Y94" s="476"/>
      <c r="Z94" s="470">
        <f t="shared" si="93"/>
        <v>39613.1357066667</v>
      </c>
      <c r="AA94" s="470">
        <v>33825.9865626667</v>
      </c>
      <c r="AB94" s="473">
        <f t="shared" si="94"/>
        <v>5787.14914400001</v>
      </c>
      <c r="AC94" s="473" t="s">
        <v>224</v>
      </c>
      <c r="AD94" s="473"/>
      <c r="AE94" s="473"/>
    </row>
    <row r="95" ht="17.5" spans="1:31">
      <c r="A95" s="467"/>
      <c r="B95" s="20"/>
      <c r="C95" s="470"/>
      <c r="D95" s="469"/>
      <c r="E95" s="470"/>
      <c r="F95" s="470"/>
      <c r="G95" s="476"/>
      <c r="H95" s="476"/>
      <c r="I95" s="470"/>
      <c r="J95" s="470"/>
      <c r="K95" s="470"/>
      <c r="L95" s="470"/>
      <c r="M95" s="470"/>
      <c r="N95" s="470"/>
      <c r="O95" s="470"/>
      <c r="P95" s="470"/>
      <c r="Q95" s="470"/>
      <c r="R95" s="470"/>
      <c r="S95" s="470"/>
      <c r="T95" s="470"/>
      <c r="U95" s="470"/>
      <c r="V95" s="470"/>
      <c r="W95" s="471"/>
      <c r="X95" s="470"/>
      <c r="Y95" s="476"/>
      <c r="Z95" s="470"/>
      <c r="AA95" s="473"/>
      <c r="AB95" s="473"/>
      <c r="AC95" s="473"/>
      <c r="AD95" s="473"/>
      <c r="AE95" s="473"/>
    </row>
    <row r="96" ht="17.5" spans="1:31">
      <c r="A96" s="467"/>
      <c r="B96" s="22"/>
      <c r="C96" s="470"/>
      <c r="D96" s="469"/>
      <c r="E96" s="470"/>
      <c r="F96" s="470"/>
      <c r="G96" s="476"/>
      <c r="H96" s="476"/>
      <c r="I96" s="470"/>
      <c r="J96" s="470"/>
      <c r="K96" s="470"/>
      <c r="L96" s="470"/>
      <c r="M96" s="470"/>
      <c r="N96" s="470"/>
      <c r="O96" s="470"/>
      <c r="P96" s="470"/>
      <c r="Q96" s="470"/>
      <c r="R96" s="470"/>
      <c r="S96" s="470"/>
      <c r="T96" s="470"/>
      <c r="U96" s="470"/>
      <c r="V96" s="470"/>
      <c r="W96" s="471"/>
      <c r="X96" s="470"/>
      <c r="Y96" s="476"/>
      <c r="Z96" s="470"/>
      <c r="AA96" s="473"/>
      <c r="AB96" s="473"/>
      <c r="AC96" s="473"/>
      <c r="AD96" s="473"/>
      <c r="AE96" s="473"/>
    </row>
    <row r="97" ht="17.5" spans="1:31">
      <c r="A97" s="467">
        <v>78</v>
      </c>
      <c r="B97" s="20" t="s">
        <v>226</v>
      </c>
      <c r="C97" s="470"/>
      <c r="AC97" s="473"/>
      <c r="AD97" s="473"/>
      <c r="AE97" s="473"/>
    </row>
    <row r="98" ht="18" spans="1:31">
      <c r="A98" s="467">
        <v>79</v>
      </c>
      <c r="B98" s="14" t="s">
        <v>227</v>
      </c>
      <c r="C98" s="470">
        <v>1452042.67</v>
      </c>
      <c r="D98" s="469">
        <v>12</v>
      </c>
      <c r="E98" s="470">
        <f t="shared" ref="E98:E101" si="95">C98*D98</f>
        <v>17424512.04</v>
      </c>
      <c r="F98" s="470">
        <f>'[6]JANUARY 2024'!$V$98*12</f>
        <v>12795.951</v>
      </c>
      <c r="G98" s="474">
        <f>(0.08*1352042.67)*12</f>
        <v>1297960.9632</v>
      </c>
      <c r="H98" s="476"/>
      <c r="I98" s="470">
        <f t="shared" ref="I98:I101" si="96">E98-F98-G98-H98</f>
        <v>16113755.1258</v>
      </c>
      <c r="J98" s="470">
        <v>200000</v>
      </c>
      <c r="K98" s="470">
        <v>0.2</v>
      </c>
      <c r="L98" s="470">
        <f t="shared" ref="L98:L101" si="97">I98*K98</f>
        <v>3222751.02516</v>
      </c>
      <c r="M98" s="470">
        <f t="shared" ref="M98:M101" si="98">J98+L98</f>
        <v>3422751.02516</v>
      </c>
      <c r="N98" s="470">
        <f t="shared" ref="N98:N101" si="99">F98+G98+H98+M98</f>
        <v>4733507.93936</v>
      </c>
      <c r="O98" s="470">
        <f t="shared" ref="O98:O101" si="100">E98-N98</f>
        <v>12691004.10064</v>
      </c>
      <c r="P98" s="470">
        <f t="shared" ref="P98:P101" si="101">IF(O98&lt;300000,0.07*O98,21000)</f>
        <v>21000</v>
      </c>
      <c r="Q98" s="470">
        <f t="shared" ref="Q98:Q101" si="102">IF((O98-300000)&lt;0,0,IF((O98-300000)&lt;300000,0.11*(O98-300000),33000))</f>
        <v>33000</v>
      </c>
      <c r="R98" s="470">
        <f t="shared" ref="R98:R101" si="103">IF((O98-600000)&lt;0,0,IF((O98-600000)&lt;500000,0.15*(O98-600000),75000))</f>
        <v>75000</v>
      </c>
      <c r="S98" s="470">
        <f t="shared" ref="S98:S101" si="104">IF((O98-1100000)&lt;0,0,IF((O98-1100000)&lt;500000,0.19*(O98-1100000),95000))</f>
        <v>95000</v>
      </c>
      <c r="T98" s="470">
        <f t="shared" ref="T98:T101" si="105">IF((O98-1600000)&lt;0,0,IF((O98-1600000)&lt;1600000,0.21*(O98-1600000),336000))</f>
        <v>336000</v>
      </c>
      <c r="U98" s="470">
        <f t="shared" ref="U98:U100" si="106">24%*(O98-3200000)</f>
        <v>2277840.9841536</v>
      </c>
      <c r="V98" s="470">
        <f t="shared" ref="V98:V101" si="107">P98+Q98+R98+S98+T98+U98</f>
        <v>2837840.9841536</v>
      </c>
      <c r="W98" s="471">
        <v>12</v>
      </c>
      <c r="X98" s="470">
        <f t="shared" ref="X98:X101" si="108">V98/W98</f>
        <v>236486.748679467</v>
      </c>
      <c r="Y98" s="476"/>
      <c r="Z98" s="470">
        <f t="shared" ref="Z98:Z101" si="109">X98</f>
        <v>236486.748679467</v>
      </c>
      <c r="AA98" s="473">
        <v>82423.2162026667</v>
      </c>
      <c r="AB98" s="473">
        <f t="shared" ref="AB98:AB101" si="110">Z98-AA98</f>
        <v>154063.5324768</v>
      </c>
      <c r="AC98" s="473" t="s">
        <v>227</v>
      </c>
      <c r="AD98" s="473"/>
      <c r="AE98" s="473"/>
    </row>
    <row r="99" ht="18" spans="1:31">
      <c r="A99" s="467">
        <v>80</v>
      </c>
      <c r="B99" s="11" t="s">
        <v>229</v>
      </c>
      <c r="C99" s="470">
        <v>526622.25</v>
      </c>
      <c r="D99" s="469">
        <v>12</v>
      </c>
      <c r="E99" s="470">
        <f t="shared" si="95"/>
        <v>6319467</v>
      </c>
      <c r="F99" s="470"/>
      <c r="G99" s="474">
        <v>438357.36</v>
      </c>
      <c r="H99" s="476"/>
      <c r="I99" s="470">
        <f t="shared" si="96"/>
        <v>5881109.64</v>
      </c>
      <c r="J99" s="470">
        <v>200000</v>
      </c>
      <c r="K99" s="470">
        <v>0.2</v>
      </c>
      <c r="L99" s="470">
        <f t="shared" si="97"/>
        <v>1176221.928</v>
      </c>
      <c r="M99" s="470">
        <f t="shared" si="98"/>
        <v>1376221.928</v>
      </c>
      <c r="N99" s="470">
        <f t="shared" si="99"/>
        <v>1814579.288</v>
      </c>
      <c r="O99" s="470">
        <f t="shared" si="100"/>
        <v>4504887.712</v>
      </c>
      <c r="P99" s="470">
        <f t="shared" si="101"/>
        <v>21000</v>
      </c>
      <c r="Q99" s="470">
        <f t="shared" si="102"/>
        <v>33000</v>
      </c>
      <c r="R99" s="470">
        <f t="shared" si="103"/>
        <v>75000</v>
      </c>
      <c r="S99" s="470">
        <f t="shared" si="104"/>
        <v>95000</v>
      </c>
      <c r="T99" s="470">
        <f t="shared" si="105"/>
        <v>336000</v>
      </c>
      <c r="U99" s="470">
        <f t="shared" si="106"/>
        <v>313173.05088</v>
      </c>
      <c r="V99" s="470">
        <f t="shared" si="107"/>
        <v>873173.05088</v>
      </c>
      <c r="W99" s="471">
        <v>12</v>
      </c>
      <c r="X99" s="470">
        <f t="shared" si="108"/>
        <v>72764.4209066667</v>
      </c>
      <c r="Y99" s="476"/>
      <c r="Z99" s="470">
        <f t="shared" si="109"/>
        <v>72764.4209066667</v>
      </c>
      <c r="AA99" s="473">
        <v>82627.9514186667</v>
      </c>
      <c r="AB99" s="473">
        <f t="shared" si="110"/>
        <v>-9863.53051200004</v>
      </c>
      <c r="AC99" s="473" t="s">
        <v>229</v>
      </c>
      <c r="AD99" s="473"/>
      <c r="AE99" s="473"/>
    </row>
    <row r="100" ht="18" spans="1:31">
      <c r="A100" s="467">
        <v>81</v>
      </c>
      <c r="B100" s="11" t="s">
        <v>235</v>
      </c>
      <c r="C100" s="470">
        <v>437895.166666667</v>
      </c>
      <c r="D100" s="469">
        <v>12</v>
      </c>
      <c r="E100" s="470">
        <f t="shared" si="95"/>
        <v>5254742</v>
      </c>
      <c r="F100" s="470"/>
      <c r="G100" s="474">
        <v>362779.36</v>
      </c>
      <c r="H100" s="476"/>
      <c r="I100" s="470">
        <f t="shared" si="96"/>
        <v>4891962.64</v>
      </c>
      <c r="J100" s="470">
        <v>200000</v>
      </c>
      <c r="K100" s="470">
        <v>0.2</v>
      </c>
      <c r="L100" s="470">
        <f t="shared" si="97"/>
        <v>978392.528000001</v>
      </c>
      <c r="M100" s="470">
        <f t="shared" si="98"/>
        <v>1178392.528</v>
      </c>
      <c r="N100" s="470">
        <f t="shared" si="99"/>
        <v>1541171.888</v>
      </c>
      <c r="O100" s="470">
        <f t="shared" si="100"/>
        <v>3713570.112</v>
      </c>
      <c r="P100" s="470">
        <f t="shared" si="101"/>
        <v>21000</v>
      </c>
      <c r="Q100" s="470">
        <f t="shared" si="102"/>
        <v>33000</v>
      </c>
      <c r="R100" s="470">
        <f t="shared" si="103"/>
        <v>75000</v>
      </c>
      <c r="S100" s="470">
        <f t="shared" si="104"/>
        <v>95000</v>
      </c>
      <c r="T100" s="470">
        <f t="shared" si="105"/>
        <v>336000</v>
      </c>
      <c r="U100" s="470">
        <f t="shared" si="106"/>
        <v>123256.826880001</v>
      </c>
      <c r="V100" s="470">
        <f t="shared" si="107"/>
        <v>683256.826880001</v>
      </c>
      <c r="W100" s="471">
        <v>12</v>
      </c>
      <c r="X100" s="470">
        <f t="shared" si="108"/>
        <v>56938.0689066667</v>
      </c>
      <c r="Y100" s="476"/>
      <c r="Z100" s="470">
        <f t="shared" si="109"/>
        <v>56938.0689066667</v>
      </c>
      <c r="AA100" s="473">
        <v>43492.3733766667</v>
      </c>
      <c r="AB100" s="473">
        <f t="shared" si="110"/>
        <v>13445.69553</v>
      </c>
      <c r="AC100" s="473" t="s">
        <v>235</v>
      </c>
      <c r="AD100" s="473"/>
      <c r="AE100" s="473"/>
    </row>
    <row r="101" ht="18" spans="1:31">
      <c r="A101" s="467"/>
      <c r="B101" s="11" t="s">
        <v>236</v>
      </c>
      <c r="C101" s="470">
        <v>360965.583333333</v>
      </c>
      <c r="D101" s="469">
        <v>12</v>
      </c>
      <c r="E101" s="470">
        <f t="shared" si="95"/>
        <v>4331587</v>
      </c>
      <c r="F101" s="470"/>
      <c r="G101" s="474">
        <v>288926.96</v>
      </c>
      <c r="H101" s="476"/>
      <c r="I101" s="470">
        <f t="shared" si="96"/>
        <v>4042660.04</v>
      </c>
      <c r="J101" s="470">
        <v>200000</v>
      </c>
      <c r="K101" s="470">
        <v>0.2</v>
      </c>
      <c r="L101" s="470">
        <f t="shared" si="97"/>
        <v>808532.007999999</v>
      </c>
      <c r="M101" s="470">
        <f t="shared" si="98"/>
        <v>1008532.008</v>
      </c>
      <c r="N101" s="470">
        <f t="shared" si="99"/>
        <v>1297458.968</v>
      </c>
      <c r="O101" s="470">
        <f t="shared" si="100"/>
        <v>3034128.032</v>
      </c>
      <c r="P101" s="470">
        <f t="shared" si="101"/>
        <v>21000</v>
      </c>
      <c r="Q101" s="470">
        <f t="shared" si="102"/>
        <v>33000</v>
      </c>
      <c r="R101" s="470">
        <f t="shared" si="103"/>
        <v>75000</v>
      </c>
      <c r="S101" s="470">
        <f t="shared" si="104"/>
        <v>95000</v>
      </c>
      <c r="T101" s="470">
        <f t="shared" si="105"/>
        <v>301166.886719999</v>
      </c>
      <c r="U101" s="470"/>
      <c r="V101" s="470">
        <f t="shared" si="107"/>
        <v>525166.886719999</v>
      </c>
      <c r="W101" s="471">
        <v>12</v>
      </c>
      <c r="X101" s="470">
        <f t="shared" si="108"/>
        <v>43763.9072266666</v>
      </c>
      <c r="Y101" s="476"/>
      <c r="Z101" s="470">
        <f t="shared" si="109"/>
        <v>43763.9072266666</v>
      </c>
      <c r="AA101" s="473">
        <v>34968.8824146667</v>
      </c>
      <c r="AB101" s="473">
        <f t="shared" si="110"/>
        <v>8795.02481199991</v>
      </c>
      <c r="AC101" s="473" t="s">
        <v>236</v>
      </c>
      <c r="AD101" s="473"/>
      <c r="AE101" s="473"/>
    </row>
    <row r="102" ht="17.5" spans="1:31">
      <c r="A102" s="467"/>
      <c r="B102" s="20" t="s">
        <v>120</v>
      </c>
      <c r="C102" s="470"/>
      <c r="D102" s="469"/>
      <c r="E102" s="470"/>
      <c r="F102" s="470"/>
      <c r="G102" s="476">
        <v>0</v>
      </c>
      <c r="H102" s="476"/>
      <c r="I102" s="470"/>
      <c r="J102" s="470"/>
      <c r="K102" s="470"/>
      <c r="L102" s="470"/>
      <c r="M102" s="470"/>
      <c r="N102" s="470"/>
      <c r="O102" s="470"/>
      <c r="P102" s="470"/>
      <c r="Q102" s="470"/>
      <c r="R102" s="470"/>
      <c r="S102" s="470"/>
      <c r="T102" s="470"/>
      <c r="U102" s="470"/>
      <c r="V102" s="470"/>
      <c r="W102" s="471"/>
      <c r="X102" s="470"/>
      <c r="Y102" s="476"/>
      <c r="Z102" s="470"/>
      <c r="AA102" s="473"/>
      <c r="AB102" s="473"/>
      <c r="AC102" s="473"/>
      <c r="AD102" s="473"/>
      <c r="AE102" s="473"/>
    </row>
    <row r="103" ht="17.5" spans="1:31">
      <c r="A103" s="467">
        <v>83</v>
      </c>
      <c r="B103" s="22"/>
      <c r="C103" s="470"/>
      <c r="G103" s="296">
        <v>0</v>
      </c>
      <c r="AC103" s="473"/>
      <c r="AD103" s="473"/>
      <c r="AE103" s="473"/>
    </row>
    <row r="104" ht="35" spans="1:31">
      <c r="A104" s="467">
        <v>84</v>
      </c>
      <c r="B104" s="20" t="s">
        <v>239</v>
      </c>
      <c r="C104" s="470"/>
      <c r="G104" s="296">
        <v>0</v>
      </c>
      <c r="AB104" s="296" t="s">
        <v>883</v>
      </c>
      <c r="AC104" s="473"/>
      <c r="AD104" s="473"/>
      <c r="AE104" s="473"/>
    </row>
    <row r="105" ht="18" spans="1:31">
      <c r="A105" s="467">
        <v>85</v>
      </c>
      <c r="B105" s="11" t="s">
        <v>652</v>
      </c>
      <c r="C105" s="470">
        <v>1635720</v>
      </c>
      <c r="D105" s="469">
        <v>12</v>
      </c>
      <c r="E105" s="470">
        <f t="shared" ref="E105:E111" si="111">C105*D105</f>
        <v>19628640</v>
      </c>
      <c r="F105" s="470"/>
      <c r="G105" s="474">
        <v>1378291.2</v>
      </c>
      <c r="H105" s="476"/>
      <c r="I105" s="470">
        <f t="shared" ref="I105:I110" si="112">E105-F105-G105-H105</f>
        <v>18250348.8</v>
      </c>
      <c r="J105" s="470">
        <v>200000</v>
      </c>
      <c r="K105" s="470">
        <v>0.2</v>
      </c>
      <c r="L105" s="470">
        <f t="shared" ref="L105:L111" si="113">I105*K105</f>
        <v>3650069.76</v>
      </c>
      <c r="M105" s="470">
        <f t="shared" ref="M105:M111" si="114">J105+L105</f>
        <v>3850069.76</v>
      </c>
      <c r="N105" s="470">
        <f t="shared" ref="N105:N110" si="115">F105+G105+H105+M105</f>
        <v>5228360.96</v>
      </c>
      <c r="O105" s="470">
        <f t="shared" ref="O105:O111" si="116">E105-N105</f>
        <v>14400279.04</v>
      </c>
      <c r="P105" s="470">
        <f t="shared" ref="P105:P111" si="117">IF(O105&lt;300000,0.07*O105,21000)</f>
        <v>21000</v>
      </c>
      <c r="Q105" s="470">
        <f t="shared" ref="Q105:Q111" si="118">IF((O105-300000)&lt;0,0,IF((O105-300000)&lt;300000,0.11*(O105-300000),33000))</f>
        <v>33000</v>
      </c>
      <c r="R105" s="470">
        <f t="shared" ref="R105:R111" si="119">IF((O105-600000)&lt;0,0,IF((O105-600000)&lt;500000,0.15*(O105-600000),75000))</f>
        <v>75000</v>
      </c>
      <c r="S105" s="470">
        <f t="shared" ref="S105:S111" si="120">IF((O105-1100000)&lt;0,0,IF((O105-1100000)&lt;500000,0.19*(O105-1100000),95000))</f>
        <v>95000</v>
      </c>
      <c r="T105" s="470">
        <f t="shared" ref="T105:T111" si="121">IF((O105-1600000)&lt;0,0,IF((O105-1600000)&lt;1600000,0.21*(O105-1600000),336000))</f>
        <v>336000</v>
      </c>
      <c r="U105" s="470">
        <f t="shared" ref="U105:U107" si="122">24%*(O105-3200000)</f>
        <v>2688066.9696</v>
      </c>
      <c r="V105" s="470">
        <f t="shared" ref="V105:V111" si="123">P105+Q105+R105+S105+T105+U105</f>
        <v>3248066.9696</v>
      </c>
      <c r="W105" s="471">
        <v>12</v>
      </c>
      <c r="X105" s="470">
        <f t="shared" ref="X105:X111" si="124">V105/W105</f>
        <v>270672.247466667</v>
      </c>
      <c r="Y105" s="476"/>
      <c r="Z105" s="470">
        <f t="shared" ref="Z105:Z111" si="125">X105</f>
        <v>270672.247466667</v>
      </c>
      <c r="AA105" s="473">
        <v>180306.806858667</v>
      </c>
      <c r="AB105" s="473">
        <f t="shared" ref="AB105:AB111" si="126">Z105-AA105</f>
        <v>90365.4406079996</v>
      </c>
      <c r="AC105" s="473" t="s">
        <v>652</v>
      </c>
      <c r="AD105" s="473"/>
      <c r="AE105" s="473"/>
    </row>
    <row r="106" ht="18" spans="1:31">
      <c r="A106" s="467">
        <v>86</v>
      </c>
      <c r="B106" s="11" t="s">
        <v>242</v>
      </c>
      <c r="C106" s="470">
        <v>942373.166666667</v>
      </c>
      <c r="D106" s="469">
        <v>12</v>
      </c>
      <c r="E106" s="470">
        <f t="shared" si="111"/>
        <v>11308478</v>
      </c>
      <c r="F106" s="470">
        <f>'[6]JANUARY 2024'!$V$106*12</f>
        <v>12795.951</v>
      </c>
      <c r="G106" s="474">
        <v>731878.24</v>
      </c>
      <c r="H106" s="476"/>
      <c r="I106" s="470">
        <f t="shared" si="112"/>
        <v>10563803.809</v>
      </c>
      <c r="J106" s="470">
        <v>200000</v>
      </c>
      <c r="K106" s="470">
        <v>0.2</v>
      </c>
      <c r="L106" s="470">
        <f t="shared" si="113"/>
        <v>2112760.7618</v>
      </c>
      <c r="M106" s="470">
        <f t="shared" si="114"/>
        <v>2312760.7618</v>
      </c>
      <c r="N106" s="470">
        <f t="shared" si="115"/>
        <v>3057434.9528</v>
      </c>
      <c r="O106" s="470">
        <f t="shared" si="116"/>
        <v>8251043.0472</v>
      </c>
      <c r="P106" s="470">
        <f t="shared" si="117"/>
        <v>21000</v>
      </c>
      <c r="Q106" s="470">
        <f t="shared" si="118"/>
        <v>33000</v>
      </c>
      <c r="R106" s="470">
        <f t="shared" si="119"/>
        <v>75000</v>
      </c>
      <c r="S106" s="470">
        <f t="shared" si="120"/>
        <v>95000</v>
      </c>
      <c r="T106" s="470">
        <f t="shared" si="121"/>
        <v>336000</v>
      </c>
      <c r="U106" s="470">
        <f t="shared" si="122"/>
        <v>1212250.331328</v>
      </c>
      <c r="V106" s="470">
        <f t="shared" si="123"/>
        <v>1772250.331328</v>
      </c>
      <c r="W106" s="471">
        <v>12</v>
      </c>
      <c r="X106" s="470">
        <f t="shared" si="124"/>
        <v>147687.527610667</v>
      </c>
      <c r="Y106" s="476"/>
      <c r="Z106" s="470">
        <f t="shared" si="125"/>
        <v>147687.527610667</v>
      </c>
      <c r="AA106" s="473">
        <v>99703.2162026667</v>
      </c>
      <c r="AB106" s="473">
        <f t="shared" si="126"/>
        <v>47984.311408</v>
      </c>
      <c r="AC106" s="473" t="s">
        <v>242</v>
      </c>
      <c r="AD106" s="473"/>
      <c r="AE106" s="473"/>
    </row>
    <row r="107" ht="18" spans="1:31">
      <c r="A107" s="467">
        <v>87</v>
      </c>
      <c r="B107" s="11" t="s">
        <v>244</v>
      </c>
      <c r="C107" s="470">
        <v>603237.855191667</v>
      </c>
      <c r="D107" s="469">
        <v>12</v>
      </c>
      <c r="E107" s="470">
        <f t="shared" si="111"/>
        <v>7238854.2623</v>
      </c>
      <c r="F107" s="470">
        <f>'[6]JANUARY 2024'!$V$107*12</f>
        <v>7901.79</v>
      </c>
      <c r="G107" s="474">
        <v>424132.72</v>
      </c>
      <c r="H107" s="476"/>
      <c r="I107" s="470">
        <f t="shared" si="112"/>
        <v>6806819.7523</v>
      </c>
      <c r="J107" s="470">
        <v>200000</v>
      </c>
      <c r="K107" s="470">
        <v>0.2</v>
      </c>
      <c r="L107" s="470">
        <f t="shared" si="113"/>
        <v>1361363.95046</v>
      </c>
      <c r="M107" s="470">
        <f t="shared" si="114"/>
        <v>1561363.95046</v>
      </c>
      <c r="N107" s="470">
        <f t="shared" si="115"/>
        <v>1993398.46046</v>
      </c>
      <c r="O107" s="470">
        <f t="shared" si="116"/>
        <v>5245455.80184</v>
      </c>
      <c r="P107" s="470">
        <f t="shared" si="117"/>
        <v>21000</v>
      </c>
      <c r="Q107" s="470">
        <f t="shared" si="118"/>
        <v>33000</v>
      </c>
      <c r="R107" s="470">
        <f t="shared" si="119"/>
        <v>75000</v>
      </c>
      <c r="S107" s="470">
        <f t="shared" si="120"/>
        <v>95000</v>
      </c>
      <c r="T107" s="470">
        <f t="shared" si="121"/>
        <v>336000</v>
      </c>
      <c r="U107" s="470">
        <f t="shared" si="122"/>
        <v>490909.392441601</v>
      </c>
      <c r="V107" s="470">
        <f t="shared" si="123"/>
        <v>1050909.3924416</v>
      </c>
      <c r="W107" s="471">
        <v>12</v>
      </c>
      <c r="X107" s="470">
        <f t="shared" si="124"/>
        <v>87575.7827034667</v>
      </c>
      <c r="Y107" s="476"/>
      <c r="Z107" s="470">
        <f t="shared" si="125"/>
        <v>87575.7827034667</v>
      </c>
      <c r="AA107" s="473">
        <v>180180.378218667</v>
      </c>
      <c r="AB107" s="473">
        <f t="shared" si="126"/>
        <v>-92604.5955152003</v>
      </c>
      <c r="AC107" s="473" t="s">
        <v>244</v>
      </c>
      <c r="AD107" s="473"/>
      <c r="AE107" s="473"/>
    </row>
    <row r="108" ht="18" spans="1:31">
      <c r="A108" s="467">
        <v>88</v>
      </c>
      <c r="B108" s="11" t="s">
        <v>246</v>
      </c>
      <c r="C108" s="470">
        <v>601625.033321667</v>
      </c>
      <c r="D108" s="469">
        <v>12</v>
      </c>
      <c r="E108" s="470">
        <f t="shared" si="111"/>
        <v>7219500.39986</v>
      </c>
      <c r="F108" s="470"/>
      <c r="G108" s="474">
        <v>424132.72</v>
      </c>
      <c r="H108" s="476"/>
      <c r="I108" s="470">
        <f t="shared" si="112"/>
        <v>6795367.67986</v>
      </c>
      <c r="J108" s="470">
        <v>200000</v>
      </c>
      <c r="K108" s="470">
        <v>0.2</v>
      </c>
      <c r="L108" s="470">
        <f t="shared" si="113"/>
        <v>1359073.535972</v>
      </c>
      <c r="M108" s="470">
        <f t="shared" si="114"/>
        <v>1559073.535972</v>
      </c>
      <c r="N108" s="470">
        <f t="shared" si="115"/>
        <v>1983206.255972</v>
      </c>
      <c r="O108" s="470">
        <f t="shared" si="116"/>
        <v>5236294.143888</v>
      </c>
      <c r="P108" s="470">
        <f t="shared" si="117"/>
        <v>21000</v>
      </c>
      <c r="Q108" s="470">
        <f t="shared" si="118"/>
        <v>33000</v>
      </c>
      <c r="R108" s="470">
        <f t="shared" si="119"/>
        <v>75000</v>
      </c>
      <c r="S108" s="470">
        <f t="shared" si="120"/>
        <v>95000</v>
      </c>
      <c r="T108" s="470">
        <f t="shared" si="121"/>
        <v>336000</v>
      </c>
      <c r="U108" s="470">
        <f>0.24*(O108-3200000)</f>
        <v>488710.594533121</v>
      </c>
      <c r="V108" s="470">
        <f t="shared" si="123"/>
        <v>1048710.59453312</v>
      </c>
      <c r="W108" s="471">
        <v>12</v>
      </c>
      <c r="X108" s="470">
        <f t="shared" si="124"/>
        <v>87392.5495444267</v>
      </c>
      <c r="Y108" s="476"/>
      <c r="Z108" s="470">
        <f t="shared" si="125"/>
        <v>87392.5495444267</v>
      </c>
      <c r="AA108" s="473">
        <v>99907.9514186667</v>
      </c>
      <c r="AB108" s="473">
        <f t="shared" si="126"/>
        <v>-12515.40187424</v>
      </c>
      <c r="AC108" s="473" t="s">
        <v>246</v>
      </c>
      <c r="AD108" s="473"/>
      <c r="AE108" s="473"/>
    </row>
    <row r="109" ht="18" spans="1:31">
      <c r="A109" s="467">
        <v>89</v>
      </c>
      <c r="B109" s="11" t="s">
        <v>249</v>
      </c>
      <c r="C109" s="470">
        <v>374481.864146667</v>
      </c>
      <c r="D109" s="469">
        <v>12</v>
      </c>
      <c r="E109" s="470">
        <f t="shared" si="111"/>
        <v>4493782.36976</v>
      </c>
      <c r="F109" s="470"/>
      <c r="G109" s="474">
        <v>239182.48</v>
      </c>
      <c r="H109" s="476"/>
      <c r="I109" s="470">
        <f t="shared" si="112"/>
        <v>4254599.88976</v>
      </c>
      <c r="J109" s="470">
        <v>200000</v>
      </c>
      <c r="K109" s="470">
        <v>0.2</v>
      </c>
      <c r="L109" s="470">
        <f t="shared" si="113"/>
        <v>850919.977952001</v>
      </c>
      <c r="M109" s="470">
        <f t="shared" si="114"/>
        <v>1050919.977952</v>
      </c>
      <c r="N109" s="470">
        <f t="shared" si="115"/>
        <v>1290102.457952</v>
      </c>
      <c r="O109" s="470">
        <f t="shared" si="116"/>
        <v>3203679.911808</v>
      </c>
      <c r="P109" s="470">
        <f t="shared" si="117"/>
        <v>21000</v>
      </c>
      <c r="Q109" s="470">
        <f t="shared" si="118"/>
        <v>33000</v>
      </c>
      <c r="R109" s="470">
        <f t="shared" si="119"/>
        <v>75000</v>
      </c>
      <c r="S109" s="470">
        <f t="shared" si="120"/>
        <v>95000</v>
      </c>
      <c r="T109" s="470">
        <f t="shared" si="121"/>
        <v>336000</v>
      </c>
      <c r="U109" s="470">
        <f>0.24*(O109-3200000)</f>
        <v>883.178833920769</v>
      </c>
      <c r="V109" s="470">
        <f t="shared" si="123"/>
        <v>560883.178833921</v>
      </c>
      <c r="W109" s="471">
        <v>12</v>
      </c>
      <c r="X109" s="470">
        <f t="shared" si="124"/>
        <v>46740.2649028267</v>
      </c>
      <c r="Y109" s="476"/>
      <c r="Z109" s="470">
        <f t="shared" si="125"/>
        <v>46740.2649028267</v>
      </c>
      <c r="AA109" s="473">
        <v>58941.1017434667</v>
      </c>
      <c r="AB109" s="473">
        <f t="shared" si="126"/>
        <v>-12200.83684064</v>
      </c>
      <c r="AC109" s="473" t="s">
        <v>249</v>
      </c>
      <c r="AD109" s="473"/>
      <c r="AE109" s="473"/>
    </row>
    <row r="110" ht="36" spans="1:31">
      <c r="A110" s="467"/>
      <c r="B110" s="18" t="s">
        <v>252</v>
      </c>
      <c r="C110" s="470">
        <v>367926.021</v>
      </c>
      <c r="D110" s="469">
        <v>12</v>
      </c>
      <c r="E110" s="470">
        <f t="shared" si="111"/>
        <v>4415112.252</v>
      </c>
      <c r="F110" s="470"/>
      <c r="G110" s="474">
        <v>233257.2</v>
      </c>
      <c r="H110" s="476"/>
      <c r="I110" s="470">
        <f t="shared" si="112"/>
        <v>4181855.052</v>
      </c>
      <c r="J110" s="470">
        <v>200000</v>
      </c>
      <c r="K110" s="470">
        <v>0.2</v>
      </c>
      <c r="L110" s="470">
        <f t="shared" si="113"/>
        <v>836371.0104</v>
      </c>
      <c r="M110" s="470">
        <f t="shared" si="114"/>
        <v>1036371.0104</v>
      </c>
      <c r="N110" s="470">
        <f t="shared" si="115"/>
        <v>1269628.2104</v>
      </c>
      <c r="O110" s="470">
        <f t="shared" si="116"/>
        <v>3145484.0416</v>
      </c>
      <c r="P110" s="470">
        <f t="shared" si="117"/>
        <v>21000</v>
      </c>
      <c r="Q110" s="470">
        <f t="shared" si="118"/>
        <v>33000</v>
      </c>
      <c r="R110" s="470">
        <f t="shared" si="119"/>
        <v>75000</v>
      </c>
      <c r="S110" s="470">
        <f t="shared" si="120"/>
        <v>95000</v>
      </c>
      <c r="T110" s="470">
        <f t="shared" si="121"/>
        <v>324551.648736</v>
      </c>
      <c r="U110" s="470"/>
      <c r="V110" s="470">
        <f t="shared" si="123"/>
        <v>548551.648736</v>
      </c>
      <c r="W110" s="471">
        <v>12</v>
      </c>
      <c r="X110" s="470">
        <f t="shared" si="124"/>
        <v>45712.6373946667</v>
      </c>
      <c r="Y110" s="476"/>
      <c r="Z110" s="470">
        <f t="shared" si="125"/>
        <v>45712.6373946667</v>
      </c>
      <c r="AA110" s="473">
        <v>58631.4399444267</v>
      </c>
      <c r="AB110" s="473">
        <f t="shared" si="126"/>
        <v>-12918.80254976</v>
      </c>
      <c r="AC110" s="473" t="s">
        <v>252</v>
      </c>
      <c r="AD110" s="473"/>
      <c r="AE110" s="473"/>
    </row>
    <row r="111" ht="18" spans="1:31">
      <c r="A111" s="467"/>
      <c r="B111" s="18" t="s">
        <v>253</v>
      </c>
      <c r="C111" s="470">
        <v>355198.112111667</v>
      </c>
      <c r="D111" s="469">
        <v>12</v>
      </c>
      <c r="E111" s="470">
        <f t="shared" si="111"/>
        <v>4262377.34534</v>
      </c>
      <c r="G111" s="474">
        <v>221406.64</v>
      </c>
      <c r="H111" s="476"/>
      <c r="I111" s="470">
        <f>E111-F112-G111-H111</f>
        <v>4040970.70534</v>
      </c>
      <c r="J111" s="470">
        <v>200000</v>
      </c>
      <c r="K111" s="470">
        <v>0.2</v>
      </c>
      <c r="L111" s="470">
        <f t="shared" si="113"/>
        <v>808194.141068001</v>
      </c>
      <c r="M111" s="470">
        <f t="shared" si="114"/>
        <v>1008194.141068</v>
      </c>
      <c r="N111" s="470">
        <f>F112+G111+H111+M111</f>
        <v>1229600.781068</v>
      </c>
      <c r="O111" s="470">
        <f t="shared" si="116"/>
        <v>3032776.564272</v>
      </c>
      <c r="P111" s="470">
        <f t="shared" si="117"/>
        <v>21000</v>
      </c>
      <c r="Q111" s="470">
        <f t="shared" si="118"/>
        <v>33000</v>
      </c>
      <c r="R111" s="470">
        <f t="shared" si="119"/>
        <v>75000</v>
      </c>
      <c r="S111" s="470">
        <f t="shared" si="120"/>
        <v>95000</v>
      </c>
      <c r="T111" s="470">
        <f t="shared" si="121"/>
        <v>300883.078497121</v>
      </c>
      <c r="U111" s="470"/>
      <c r="V111" s="470">
        <f t="shared" si="123"/>
        <v>524883.078497121</v>
      </c>
      <c r="W111" s="471">
        <v>12</v>
      </c>
      <c r="X111" s="470">
        <f t="shared" si="124"/>
        <v>43740.2565414267</v>
      </c>
      <c r="Y111" s="476"/>
      <c r="Z111" s="470">
        <f t="shared" si="125"/>
        <v>43740.2565414267</v>
      </c>
      <c r="AA111" s="473">
        <v>31871.3352033067</v>
      </c>
      <c r="AB111" s="473">
        <f t="shared" si="126"/>
        <v>11868.92133812</v>
      </c>
      <c r="AC111" s="473" t="s">
        <v>253</v>
      </c>
      <c r="AD111" s="473"/>
      <c r="AE111" s="473"/>
    </row>
    <row r="112" ht="17.5" spans="1:31">
      <c r="A112" s="467"/>
      <c r="B112" s="20" t="s">
        <v>120</v>
      </c>
      <c r="C112" s="470"/>
      <c r="D112" s="469"/>
      <c r="E112" s="470"/>
      <c r="F112" s="470"/>
      <c r="G112" s="474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470"/>
      <c r="AA112" s="473"/>
      <c r="AB112" s="473"/>
      <c r="AC112" s="473"/>
      <c r="AD112" s="473"/>
      <c r="AE112" s="473"/>
    </row>
    <row r="113" ht="17.5" spans="1:31">
      <c r="A113" s="467">
        <v>90</v>
      </c>
      <c r="B113" s="20"/>
      <c r="C113" s="470"/>
      <c r="G113" s="474"/>
      <c r="U113" s="470"/>
      <c r="AC113" s="473"/>
      <c r="AD113" s="473"/>
      <c r="AE113" s="473"/>
    </row>
    <row r="114" ht="35" spans="1:31">
      <c r="A114" s="467">
        <v>91</v>
      </c>
      <c r="B114" s="20" t="s">
        <v>257</v>
      </c>
      <c r="C114" s="470"/>
      <c r="G114" s="474"/>
      <c r="U114" s="470"/>
      <c r="AC114" s="473"/>
      <c r="AD114" s="473"/>
      <c r="AE114" s="473"/>
    </row>
    <row r="115" ht="36" spans="1:31">
      <c r="A115" s="467">
        <v>92</v>
      </c>
      <c r="B115" s="14" t="s">
        <v>165</v>
      </c>
      <c r="C115" s="470">
        <v>761396.833333333</v>
      </c>
      <c r="D115" s="469">
        <v>12</v>
      </c>
      <c r="E115" s="470">
        <f t="shared" ref="E115:E117" si="127">C115*D115</f>
        <v>9136762</v>
      </c>
      <c r="F115" s="470">
        <f>'[6]JANUARY 2024'!$V$115*12</f>
        <v>9678.96</v>
      </c>
      <c r="G115" s="474">
        <v>577340.96</v>
      </c>
      <c r="H115" s="476"/>
      <c r="I115" s="470">
        <f t="shared" ref="I115:I117" si="128">E115-F115-G115-H115</f>
        <v>8549742.07999999</v>
      </c>
      <c r="J115" s="470">
        <v>200000</v>
      </c>
      <c r="K115" s="470">
        <v>0.2</v>
      </c>
      <c r="L115" s="470">
        <f t="shared" ref="L115:L117" si="129">I115*K115</f>
        <v>1709948.416</v>
      </c>
      <c r="M115" s="470">
        <f t="shared" ref="M115:M117" si="130">J115+L115</f>
        <v>1909948.416</v>
      </c>
      <c r="N115" s="470">
        <f t="shared" ref="N115:N117" si="131">F115+G115+H115+M115</f>
        <v>2496968.336</v>
      </c>
      <c r="O115" s="470">
        <f t="shared" ref="O115:O117" si="132">E115-N115</f>
        <v>6639793.664</v>
      </c>
      <c r="P115" s="470">
        <f t="shared" ref="P115:P117" si="133">IF(O115&lt;300000,0.07*O115,21000)</f>
        <v>21000</v>
      </c>
      <c r="Q115" s="470">
        <f t="shared" ref="Q115:Q117" si="134">IF((O115-300000)&lt;0,0,IF((O115-300000)&lt;300000,0.11*(O115-300000),33000))</f>
        <v>33000</v>
      </c>
      <c r="R115" s="470">
        <f t="shared" ref="R115:R117" si="135">IF((O115-600000)&lt;0,0,IF((O115-600000)&lt;500000,0.15*(O115-600000),75000))</f>
        <v>75000</v>
      </c>
      <c r="S115" s="470">
        <f t="shared" ref="S115:S117" si="136">IF((O115-1100000)&lt;0,0,IF((O115-1100000)&lt;500000,0.19*(O115-1100000),95000))</f>
        <v>95000</v>
      </c>
      <c r="T115" s="470">
        <f t="shared" ref="T115:T117" si="137">IF((O115-1600000)&lt;0,0,IF((O115-1600000)&lt;1600000,0.21*(O115-1600000),336000))</f>
        <v>336000</v>
      </c>
      <c r="U115" s="470">
        <f t="shared" ref="U115:U117" si="138">0.24*(O115-3200000)</f>
        <v>825550.479359999</v>
      </c>
      <c r="V115" s="470">
        <f t="shared" ref="V115:V117" si="139">P115+Q115+R115+S115+T115+U115</f>
        <v>1385550.47936</v>
      </c>
      <c r="W115" s="471">
        <v>12</v>
      </c>
      <c r="X115" s="470">
        <f t="shared" ref="X115:X117" si="140">V115/W115</f>
        <v>115462.539946667</v>
      </c>
      <c r="Y115" s="476"/>
      <c r="Z115" s="470">
        <f t="shared" ref="Z115:Z117" si="141">X115</f>
        <v>115462.539946667</v>
      </c>
      <c r="AA115" s="473">
        <v>77610.1169066667</v>
      </c>
      <c r="AB115" s="473">
        <f t="shared" ref="AB115:AB117" si="142">Z115-AA115</f>
        <v>37852.4230399999</v>
      </c>
      <c r="AC115" s="473"/>
      <c r="AD115" s="473"/>
      <c r="AE115" s="473"/>
    </row>
    <row r="116" ht="18" spans="1:31">
      <c r="A116" s="467">
        <v>93</v>
      </c>
      <c r="B116" s="11" t="s">
        <v>259</v>
      </c>
      <c r="C116" s="470">
        <v>487895.166666667</v>
      </c>
      <c r="D116" s="469">
        <v>12</v>
      </c>
      <c r="E116" s="470">
        <f t="shared" si="127"/>
        <v>5854742</v>
      </c>
      <c r="F116" s="470"/>
      <c r="G116" s="474">
        <v>362779.36</v>
      </c>
      <c r="H116" s="476"/>
      <c r="I116" s="470">
        <f t="shared" si="128"/>
        <v>5491962.64</v>
      </c>
      <c r="J116" s="470">
        <v>200000</v>
      </c>
      <c r="K116" s="470">
        <v>0.2</v>
      </c>
      <c r="L116" s="470">
        <f t="shared" si="129"/>
        <v>1098392.528</v>
      </c>
      <c r="M116" s="470">
        <f t="shared" si="130"/>
        <v>1298392.528</v>
      </c>
      <c r="N116" s="470">
        <f t="shared" si="131"/>
        <v>1661171.888</v>
      </c>
      <c r="O116" s="470">
        <f t="shared" si="132"/>
        <v>4193570.112</v>
      </c>
      <c r="P116" s="470">
        <f t="shared" si="133"/>
        <v>21000</v>
      </c>
      <c r="Q116" s="470">
        <f t="shared" si="134"/>
        <v>33000</v>
      </c>
      <c r="R116" s="470">
        <f t="shared" si="135"/>
        <v>75000</v>
      </c>
      <c r="S116" s="470">
        <f t="shared" si="136"/>
        <v>95000</v>
      </c>
      <c r="T116" s="470">
        <f t="shared" si="137"/>
        <v>336000</v>
      </c>
      <c r="U116" s="470">
        <f t="shared" si="138"/>
        <v>238456.826880001</v>
      </c>
      <c r="V116" s="470">
        <f t="shared" si="139"/>
        <v>798456.826880001</v>
      </c>
      <c r="W116" s="471">
        <v>12</v>
      </c>
      <c r="X116" s="470">
        <f t="shared" si="140"/>
        <v>66538.0689066667</v>
      </c>
      <c r="Y116" s="476"/>
      <c r="Z116" s="470">
        <f t="shared" si="141"/>
        <v>66538.0689066667</v>
      </c>
      <c r="AA116" s="473">
        <v>43368.8824146667</v>
      </c>
      <c r="AB116" s="473">
        <f t="shared" si="142"/>
        <v>23169.186492</v>
      </c>
      <c r="AC116" s="473"/>
      <c r="AD116" s="473"/>
      <c r="AE116" s="473"/>
    </row>
    <row r="117" ht="18" spans="1:31">
      <c r="A117" s="467">
        <v>94</v>
      </c>
      <c r="B117" s="11" t="s">
        <v>193</v>
      </c>
      <c r="C117" s="479">
        <v>450086.5</v>
      </c>
      <c r="D117" s="469">
        <v>12</v>
      </c>
      <c r="E117" s="470">
        <f t="shared" si="127"/>
        <v>5401038</v>
      </c>
      <c r="F117" s="470">
        <f>'[6]JANUARY 2024'!$V$117*12</f>
        <v>6919.455</v>
      </c>
      <c r="G117" s="474">
        <v>374483.04</v>
      </c>
      <c r="H117" s="476"/>
      <c r="I117" s="470">
        <f t="shared" si="128"/>
        <v>5019635.505</v>
      </c>
      <c r="J117" s="470">
        <v>200000</v>
      </c>
      <c r="K117" s="470">
        <v>0.2</v>
      </c>
      <c r="L117" s="470">
        <f t="shared" si="129"/>
        <v>1003927.101</v>
      </c>
      <c r="M117" s="470">
        <f t="shared" si="130"/>
        <v>1203927.101</v>
      </c>
      <c r="N117" s="470">
        <f t="shared" si="131"/>
        <v>1585329.596</v>
      </c>
      <c r="O117" s="470">
        <f t="shared" si="132"/>
        <v>3815708.404</v>
      </c>
      <c r="P117" s="470">
        <f t="shared" si="133"/>
        <v>21000</v>
      </c>
      <c r="Q117" s="470">
        <f t="shared" si="134"/>
        <v>33000</v>
      </c>
      <c r="R117" s="470">
        <f t="shared" si="135"/>
        <v>75000</v>
      </c>
      <c r="S117" s="470">
        <f t="shared" si="136"/>
        <v>95000</v>
      </c>
      <c r="T117" s="470">
        <f t="shared" si="137"/>
        <v>336000</v>
      </c>
      <c r="U117" s="470">
        <f t="shared" si="138"/>
        <v>147770.01696</v>
      </c>
      <c r="V117" s="470">
        <f t="shared" si="139"/>
        <v>707770.01696</v>
      </c>
      <c r="W117" s="471">
        <v>12</v>
      </c>
      <c r="X117" s="470">
        <f t="shared" si="140"/>
        <v>58980.8347466667</v>
      </c>
      <c r="Y117" s="476"/>
      <c r="Z117" s="470">
        <f t="shared" si="141"/>
        <v>58980.8347466667</v>
      </c>
      <c r="AA117" s="473">
        <v>35221.9540866667</v>
      </c>
      <c r="AB117" s="473">
        <f t="shared" si="142"/>
        <v>23758.88066</v>
      </c>
      <c r="AC117" s="473"/>
      <c r="AD117" s="473"/>
      <c r="AE117" s="473"/>
    </row>
    <row r="118" ht="17.5" spans="1:31">
      <c r="A118" s="467">
        <v>95</v>
      </c>
      <c r="B118" s="20"/>
      <c r="C118" s="470"/>
      <c r="D118" s="469"/>
      <c r="E118" s="470"/>
      <c r="F118" s="470"/>
      <c r="G118" s="476"/>
      <c r="H118" s="476"/>
      <c r="I118" s="470"/>
      <c r="J118" s="470"/>
      <c r="K118" s="470"/>
      <c r="L118" s="470"/>
      <c r="M118" s="470"/>
      <c r="N118" s="470"/>
      <c r="O118" s="470"/>
      <c r="P118" s="470"/>
      <c r="Q118" s="470"/>
      <c r="R118" s="470"/>
      <c r="S118" s="470"/>
      <c r="T118" s="470"/>
      <c r="U118" s="470"/>
      <c r="V118" s="470"/>
      <c r="W118" s="471"/>
      <c r="X118" s="470"/>
      <c r="Y118" s="476"/>
      <c r="Z118" s="470"/>
      <c r="AA118" s="473"/>
      <c r="AB118" s="473"/>
      <c r="AC118" s="473"/>
      <c r="AD118" s="473"/>
      <c r="AE118" s="473"/>
    </row>
    <row r="119" ht="17.5" spans="1:31">
      <c r="A119" s="467">
        <v>96</v>
      </c>
      <c r="B119" s="22"/>
      <c r="C119" s="470"/>
      <c r="U119" s="482"/>
      <c r="AC119" s="473"/>
      <c r="AD119" s="473"/>
      <c r="AE119" s="473"/>
    </row>
    <row r="120" ht="17.5" spans="1:31">
      <c r="A120" s="467">
        <v>97</v>
      </c>
      <c r="B120" s="20" t="s">
        <v>278</v>
      </c>
      <c r="C120" s="470"/>
      <c r="U120" s="482"/>
      <c r="AC120" s="473"/>
      <c r="AD120" s="473"/>
      <c r="AE120" s="473"/>
    </row>
    <row r="121" ht="18" spans="1:31">
      <c r="A121" s="467">
        <v>98</v>
      </c>
      <c r="B121" s="11" t="s">
        <v>279</v>
      </c>
      <c r="C121" s="470">
        <v>1635720</v>
      </c>
      <c r="D121" s="469">
        <v>12</v>
      </c>
      <c r="E121" s="470">
        <f t="shared" ref="E121:E130" si="143">C121*D121</f>
        <v>19628640</v>
      </c>
      <c r="F121" s="470">
        <f>2043.5005*12</f>
        <v>24522.006</v>
      </c>
      <c r="G121" s="474">
        <v>1378291.2</v>
      </c>
      <c r="H121" s="476"/>
      <c r="I121" s="470">
        <f t="shared" ref="I121:I130" si="144">E121-F121-G121-H121</f>
        <v>18225826.794</v>
      </c>
      <c r="J121" s="470">
        <v>200000</v>
      </c>
      <c r="K121" s="470">
        <v>0.2</v>
      </c>
      <c r="L121" s="470">
        <f t="shared" ref="L121:L130" si="145">I121*K121</f>
        <v>3645165.3588</v>
      </c>
      <c r="M121" s="470">
        <f t="shared" ref="M121:M130" si="146">J121+L121</f>
        <v>3845165.3588</v>
      </c>
      <c r="N121" s="470">
        <f t="shared" ref="N121:N130" si="147">F121+G121+H121+M121</f>
        <v>5247978.5648</v>
      </c>
      <c r="O121" s="470">
        <f t="shared" ref="O121:O130" si="148">E121-N121</f>
        <v>14380661.4352</v>
      </c>
      <c r="P121" s="470">
        <f t="shared" ref="P121:P130" si="149">IF(O121&lt;300000,0.07*O121,21000)</f>
        <v>21000</v>
      </c>
      <c r="Q121" s="470">
        <f t="shared" ref="Q121:Q130" si="150">IF((O121-300000)&lt;0,0,IF((O121-300000)&lt;300000,0.11*(O121-300000),33000))</f>
        <v>33000</v>
      </c>
      <c r="R121" s="470">
        <f t="shared" ref="R121:R130" si="151">IF((O121-600000)&lt;0,0,IF((O121-600000)&lt;500000,0.15*(O121-600000),75000))</f>
        <v>75000</v>
      </c>
      <c r="S121" s="470">
        <f t="shared" ref="S121:S130" si="152">IF((O121-1100000)&lt;0,0,IF((O121-1100000)&lt;500000,0.19*(O121-1100000),95000))</f>
        <v>95000</v>
      </c>
      <c r="T121" s="470">
        <f t="shared" ref="T121:T130" si="153">IF((O121-1600000)&lt;0,0,IF((O121-1600000)&lt;1600000,0.21*(O121-1600000),336000))</f>
        <v>336000</v>
      </c>
      <c r="U121" s="470">
        <f t="shared" ref="U121:U127" si="154">0.24*(O121-3200000)</f>
        <v>2683358.744448</v>
      </c>
      <c r="V121" s="470">
        <f t="shared" ref="V121:V130" si="155">P121+Q121+R121+S121+T121+U121</f>
        <v>3243358.744448</v>
      </c>
      <c r="W121" s="471">
        <v>12</v>
      </c>
      <c r="X121" s="470">
        <f t="shared" ref="X121:X130" si="156">V121/W121</f>
        <v>270279.895370667</v>
      </c>
      <c r="Y121" s="476"/>
      <c r="Z121" s="470">
        <f t="shared" ref="Z121:Z130" si="157">X121</f>
        <v>270279.895370667</v>
      </c>
      <c r="AA121" s="473">
        <v>179914.454762667</v>
      </c>
      <c r="AB121" s="473">
        <f t="shared" ref="AB121:AB130" si="158">Z121-AA121</f>
        <v>90365.4406079997</v>
      </c>
      <c r="AC121" s="473"/>
      <c r="AD121" s="473"/>
      <c r="AE121" s="473"/>
    </row>
    <row r="122" ht="18" spans="1:31">
      <c r="A122" s="467">
        <v>99</v>
      </c>
      <c r="B122" s="11" t="s">
        <v>281</v>
      </c>
      <c r="C122" s="470">
        <v>929203.583333333</v>
      </c>
      <c r="D122" s="469">
        <v>12</v>
      </c>
      <c r="E122" s="470">
        <f t="shared" si="143"/>
        <v>11150443</v>
      </c>
      <c r="F122" s="470">
        <f>1028.94225*12</f>
        <v>12347.307</v>
      </c>
      <c r="G122" s="474">
        <v>709635.44</v>
      </c>
      <c r="H122" s="476"/>
      <c r="I122" s="470">
        <f t="shared" si="144"/>
        <v>10428460.253</v>
      </c>
      <c r="J122" s="470">
        <v>200000</v>
      </c>
      <c r="K122" s="470">
        <v>0.2</v>
      </c>
      <c r="L122" s="470">
        <f t="shared" si="145"/>
        <v>2085692.0506</v>
      </c>
      <c r="M122" s="470">
        <f t="shared" si="146"/>
        <v>2285692.0506</v>
      </c>
      <c r="N122" s="470">
        <f t="shared" si="147"/>
        <v>3007674.7976</v>
      </c>
      <c r="O122" s="470">
        <f t="shared" si="148"/>
        <v>8142768.2024</v>
      </c>
      <c r="P122" s="470">
        <f t="shared" si="149"/>
        <v>21000</v>
      </c>
      <c r="Q122" s="470">
        <f t="shared" si="150"/>
        <v>33000</v>
      </c>
      <c r="R122" s="470">
        <f t="shared" si="151"/>
        <v>75000</v>
      </c>
      <c r="S122" s="470">
        <f t="shared" si="152"/>
        <v>95000</v>
      </c>
      <c r="T122" s="470">
        <f t="shared" si="153"/>
        <v>336000</v>
      </c>
      <c r="U122" s="470">
        <f t="shared" si="154"/>
        <v>1186264.368576</v>
      </c>
      <c r="V122" s="470">
        <f t="shared" si="155"/>
        <v>1746264.368576</v>
      </c>
      <c r="W122" s="471">
        <v>12</v>
      </c>
      <c r="X122" s="470">
        <f t="shared" si="156"/>
        <v>145522.030714667</v>
      </c>
      <c r="Y122" s="476"/>
      <c r="Z122" s="470">
        <f t="shared" si="157"/>
        <v>145522.030714667</v>
      </c>
      <c r="AA122" s="473">
        <v>98995.9569386667</v>
      </c>
      <c r="AB122" s="473">
        <f t="shared" si="158"/>
        <v>46526.0737759999</v>
      </c>
      <c r="AC122" s="473"/>
      <c r="AD122" s="473"/>
      <c r="AE122" s="473"/>
    </row>
    <row r="123" ht="18" spans="1:31">
      <c r="A123" s="467"/>
      <c r="B123" s="14" t="s">
        <v>283</v>
      </c>
      <c r="C123" s="470">
        <v>830675.583333333</v>
      </c>
      <c r="D123" s="469">
        <v>12</v>
      </c>
      <c r="E123" s="470">
        <f t="shared" si="143"/>
        <v>9968107</v>
      </c>
      <c r="F123" s="470">
        <f>837.6875*12</f>
        <v>10052.25</v>
      </c>
      <c r="G123" s="474">
        <v>595848.56</v>
      </c>
      <c r="H123" s="476"/>
      <c r="I123" s="470">
        <f t="shared" si="144"/>
        <v>9362206.19</v>
      </c>
      <c r="J123" s="470">
        <v>200000</v>
      </c>
      <c r="K123" s="470">
        <v>0.2</v>
      </c>
      <c r="L123" s="470">
        <f t="shared" si="145"/>
        <v>1872441.238</v>
      </c>
      <c r="M123" s="470">
        <f t="shared" si="146"/>
        <v>2072441.238</v>
      </c>
      <c r="N123" s="470">
        <f t="shared" si="147"/>
        <v>2678342.048</v>
      </c>
      <c r="O123" s="470">
        <f t="shared" si="148"/>
        <v>7289764.952</v>
      </c>
      <c r="P123" s="470">
        <f t="shared" si="149"/>
        <v>21000</v>
      </c>
      <c r="Q123" s="470">
        <f t="shared" si="150"/>
        <v>33000</v>
      </c>
      <c r="R123" s="470">
        <f t="shared" si="151"/>
        <v>75000</v>
      </c>
      <c r="S123" s="470">
        <f t="shared" si="152"/>
        <v>95000</v>
      </c>
      <c r="T123" s="470">
        <f t="shared" si="153"/>
        <v>336000</v>
      </c>
      <c r="U123" s="470">
        <f t="shared" si="154"/>
        <v>981543.588479999</v>
      </c>
      <c r="V123" s="470">
        <f t="shared" si="155"/>
        <v>1541543.58848</v>
      </c>
      <c r="W123" s="471">
        <v>12</v>
      </c>
      <c r="X123" s="470">
        <f t="shared" si="156"/>
        <v>128461.965706667</v>
      </c>
      <c r="Y123" s="476"/>
      <c r="Z123" s="470">
        <f t="shared" si="157"/>
        <v>128461.965706667</v>
      </c>
      <c r="AA123" s="473">
        <v>89396.1031466666</v>
      </c>
      <c r="AB123" s="473">
        <f t="shared" si="158"/>
        <v>39065.86256</v>
      </c>
      <c r="AC123" s="473"/>
      <c r="AD123" s="473"/>
      <c r="AE123" s="473"/>
    </row>
    <row r="124" ht="18" spans="1:31">
      <c r="A124" s="467"/>
      <c r="B124" s="14" t="s">
        <v>930</v>
      </c>
      <c r="C124" s="470">
        <v>662118.083333333</v>
      </c>
      <c r="D124" s="469">
        <v>12</v>
      </c>
      <c r="E124" s="470">
        <f t="shared" si="143"/>
        <v>7945417</v>
      </c>
      <c r="F124" s="470"/>
      <c r="G124" s="474">
        <v>0</v>
      </c>
      <c r="H124" s="476"/>
      <c r="I124" s="470">
        <f t="shared" si="144"/>
        <v>7945417</v>
      </c>
      <c r="J124" s="470">
        <v>200000</v>
      </c>
      <c r="K124" s="470">
        <v>0.2</v>
      </c>
      <c r="L124" s="470">
        <f t="shared" si="145"/>
        <v>1589083.4</v>
      </c>
      <c r="M124" s="470">
        <f t="shared" si="146"/>
        <v>1789083.4</v>
      </c>
      <c r="N124" s="470">
        <f t="shared" si="147"/>
        <v>1789083.4</v>
      </c>
      <c r="O124" s="470">
        <f t="shared" si="148"/>
        <v>6156333.6</v>
      </c>
      <c r="P124" s="470">
        <f t="shared" si="149"/>
        <v>21000</v>
      </c>
      <c r="Q124" s="470">
        <f t="shared" si="150"/>
        <v>33000</v>
      </c>
      <c r="R124" s="470">
        <f t="shared" si="151"/>
        <v>75000</v>
      </c>
      <c r="S124" s="470">
        <f t="shared" si="152"/>
        <v>95000</v>
      </c>
      <c r="T124" s="470">
        <f t="shared" si="153"/>
        <v>336000</v>
      </c>
      <c r="U124" s="470">
        <f t="shared" si="154"/>
        <v>709520.063999999</v>
      </c>
      <c r="V124" s="470">
        <f t="shared" si="155"/>
        <v>1269520.064</v>
      </c>
      <c r="W124" s="471">
        <v>12</v>
      </c>
      <c r="X124" s="470">
        <f t="shared" si="156"/>
        <v>105793.338666667</v>
      </c>
      <c r="Y124" s="476"/>
      <c r="Z124" s="470">
        <f t="shared" si="157"/>
        <v>105793.338666667</v>
      </c>
      <c r="AA124" s="473">
        <v>60214.6772906667</v>
      </c>
      <c r="AB124" s="473">
        <f t="shared" si="158"/>
        <v>45578.6613759999</v>
      </c>
      <c r="AC124" s="473"/>
      <c r="AD124" s="473"/>
      <c r="AE124" s="473"/>
    </row>
    <row r="125" ht="18" spans="1:31">
      <c r="A125" s="467">
        <v>101</v>
      </c>
      <c r="B125" s="11" t="s">
        <v>286</v>
      </c>
      <c r="C125" s="470">
        <v>540498</v>
      </c>
      <c r="D125" s="469">
        <v>12</v>
      </c>
      <c r="E125" s="470">
        <f t="shared" si="143"/>
        <v>6485976</v>
      </c>
      <c r="F125" s="470"/>
      <c r="G125" s="474">
        <v>451678.08</v>
      </c>
      <c r="H125" s="476"/>
      <c r="I125" s="470">
        <f t="shared" si="144"/>
        <v>6034297.92</v>
      </c>
      <c r="J125" s="470">
        <v>200000</v>
      </c>
      <c r="K125" s="470">
        <v>0.2</v>
      </c>
      <c r="L125" s="470">
        <f t="shared" si="145"/>
        <v>1206859.584</v>
      </c>
      <c r="M125" s="470">
        <f t="shared" si="146"/>
        <v>1406859.584</v>
      </c>
      <c r="N125" s="470">
        <f t="shared" si="147"/>
        <v>1858537.664</v>
      </c>
      <c r="O125" s="470">
        <f t="shared" si="148"/>
        <v>4627438.336</v>
      </c>
      <c r="P125" s="470">
        <f t="shared" si="149"/>
        <v>21000</v>
      </c>
      <c r="Q125" s="470">
        <f t="shared" si="150"/>
        <v>33000</v>
      </c>
      <c r="R125" s="470">
        <f t="shared" si="151"/>
        <v>75000</v>
      </c>
      <c r="S125" s="470">
        <f t="shared" si="152"/>
        <v>95000</v>
      </c>
      <c r="T125" s="470">
        <f t="shared" si="153"/>
        <v>336000</v>
      </c>
      <c r="U125" s="470">
        <f t="shared" si="154"/>
        <v>342585.20064</v>
      </c>
      <c r="V125" s="470">
        <f t="shared" si="155"/>
        <v>902585.20064</v>
      </c>
      <c r="W125" s="471">
        <v>12</v>
      </c>
      <c r="X125" s="470">
        <f t="shared" si="156"/>
        <v>75215.4333866667</v>
      </c>
      <c r="Y125" s="476"/>
      <c r="Z125" s="470">
        <f t="shared" si="157"/>
        <v>75215.4333866667</v>
      </c>
      <c r="AA125" s="473">
        <v>44846.6165886667</v>
      </c>
      <c r="AB125" s="473">
        <f t="shared" si="158"/>
        <v>30368.816798</v>
      </c>
      <c r="AC125" s="473"/>
      <c r="AD125" s="473"/>
      <c r="AE125" s="473"/>
    </row>
    <row r="126" ht="18" spans="1:31">
      <c r="A126" s="467">
        <v>103</v>
      </c>
      <c r="B126" s="11" t="s">
        <v>287</v>
      </c>
      <c r="C126" s="470">
        <v>512746.5</v>
      </c>
      <c r="D126" s="469">
        <v>12</v>
      </c>
      <c r="E126" s="470">
        <f t="shared" si="143"/>
        <v>6152958</v>
      </c>
      <c r="F126" s="479">
        <f>646.3525*12</f>
        <v>7756.23</v>
      </c>
      <c r="G126" s="474">
        <v>425036.64</v>
      </c>
      <c r="H126" s="476"/>
      <c r="I126" s="470">
        <f t="shared" si="144"/>
        <v>5720165.13</v>
      </c>
      <c r="J126" s="470">
        <v>200000</v>
      </c>
      <c r="K126" s="470">
        <v>0.2</v>
      </c>
      <c r="L126" s="470">
        <f t="shared" si="145"/>
        <v>1144033.026</v>
      </c>
      <c r="M126" s="470">
        <f t="shared" si="146"/>
        <v>1344033.026</v>
      </c>
      <c r="N126" s="470">
        <f t="shared" si="147"/>
        <v>1776825.896</v>
      </c>
      <c r="O126" s="470">
        <f t="shared" si="148"/>
        <v>4376132.104</v>
      </c>
      <c r="P126" s="470">
        <f t="shared" si="149"/>
        <v>21000</v>
      </c>
      <c r="Q126" s="470">
        <f t="shared" si="150"/>
        <v>33000</v>
      </c>
      <c r="R126" s="470">
        <f t="shared" si="151"/>
        <v>75000</v>
      </c>
      <c r="S126" s="470">
        <f t="shared" si="152"/>
        <v>95000</v>
      </c>
      <c r="T126" s="470">
        <f t="shared" si="153"/>
        <v>336000</v>
      </c>
      <c r="U126" s="470">
        <f t="shared" si="154"/>
        <v>282271.70496</v>
      </c>
      <c r="V126" s="470">
        <f t="shared" si="155"/>
        <v>842271.70496</v>
      </c>
      <c r="W126" s="471">
        <v>12</v>
      </c>
      <c r="X126" s="470">
        <f t="shared" si="156"/>
        <v>70189.3087466667</v>
      </c>
      <c r="Y126" s="476"/>
      <c r="Z126" s="470">
        <f t="shared" si="157"/>
        <v>70189.3087466667</v>
      </c>
      <c r="AA126" s="473">
        <v>42029.5891866667</v>
      </c>
      <c r="AB126" s="473">
        <f t="shared" si="158"/>
        <v>28159.71956</v>
      </c>
      <c r="AC126" s="473"/>
      <c r="AD126" s="473"/>
      <c r="AE126" s="473"/>
    </row>
    <row r="127" ht="18" spans="1:31">
      <c r="A127" s="467">
        <v>105</v>
      </c>
      <c r="B127" s="11" t="s">
        <v>289</v>
      </c>
      <c r="C127" s="470">
        <v>526622.25</v>
      </c>
      <c r="D127" s="469">
        <v>12</v>
      </c>
      <c r="E127" s="470">
        <f t="shared" si="143"/>
        <v>6319467</v>
      </c>
      <c r="F127" s="479">
        <f>668.31625*12</f>
        <v>8019.795</v>
      </c>
      <c r="G127" s="474">
        <v>438357.36</v>
      </c>
      <c r="H127" s="476"/>
      <c r="I127" s="470">
        <f t="shared" si="144"/>
        <v>5873089.845</v>
      </c>
      <c r="J127" s="470">
        <v>200000</v>
      </c>
      <c r="K127" s="470">
        <v>0.2</v>
      </c>
      <c r="L127" s="470">
        <f t="shared" si="145"/>
        <v>1174617.969</v>
      </c>
      <c r="M127" s="470">
        <f t="shared" si="146"/>
        <v>1374617.969</v>
      </c>
      <c r="N127" s="470">
        <f t="shared" si="147"/>
        <v>1820995.124</v>
      </c>
      <c r="O127" s="470">
        <f t="shared" si="148"/>
        <v>4498471.876</v>
      </c>
      <c r="P127" s="470">
        <f t="shared" si="149"/>
        <v>21000</v>
      </c>
      <c r="Q127" s="470">
        <f t="shared" si="150"/>
        <v>33000</v>
      </c>
      <c r="R127" s="470">
        <f t="shared" si="151"/>
        <v>75000</v>
      </c>
      <c r="S127" s="470">
        <f t="shared" si="152"/>
        <v>95000</v>
      </c>
      <c r="T127" s="470">
        <f t="shared" si="153"/>
        <v>336000</v>
      </c>
      <c r="U127" s="470">
        <f t="shared" si="154"/>
        <v>311633.25024</v>
      </c>
      <c r="V127" s="470">
        <f t="shared" si="155"/>
        <v>871633.25024</v>
      </c>
      <c r="W127" s="471">
        <v>12</v>
      </c>
      <c r="X127" s="470">
        <f t="shared" si="156"/>
        <v>72636.1041866667</v>
      </c>
      <c r="Y127" s="476"/>
      <c r="Z127" s="470">
        <f t="shared" si="157"/>
        <v>72636.1041866667</v>
      </c>
      <c r="AA127" s="473">
        <v>43380.0962466667</v>
      </c>
      <c r="AB127" s="473">
        <f t="shared" si="158"/>
        <v>29256.00794</v>
      </c>
      <c r="AC127" s="473"/>
      <c r="AD127" s="473"/>
      <c r="AE127" s="473"/>
    </row>
    <row r="128" ht="18" spans="1:31">
      <c r="A128" s="467">
        <v>106</v>
      </c>
      <c r="B128" s="11" t="s">
        <v>292</v>
      </c>
      <c r="C128" s="470">
        <v>330481.666666667</v>
      </c>
      <c r="D128" s="469">
        <v>12</v>
      </c>
      <c r="E128" s="470">
        <f t="shared" si="143"/>
        <v>3965780</v>
      </c>
      <c r="F128" s="470"/>
      <c r="G128" s="474">
        <v>259662.4</v>
      </c>
      <c r="H128" s="476"/>
      <c r="I128" s="470">
        <f t="shared" si="144"/>
        <v>3706117.6</v>
      </c>
      <c r="J128" s="470">
        <v>200000</v>
      </c>
      <c r="K128" s="470">
        <v>0.2</v>
      </c>
      <c r="L128" s="470">
        <f t="shared" si="145"/>
        <v>741223.520000001</v>
      </c>
      <c r="M128" s="470">
        <f t="shared" si="146"/>
        <v>941223.520000001</v>
      </c>
      <c r="N128" s="470">
        <f t="shared" si="147"/>
        <v>1200885.92</v>
      </c>
      <c r="O128" s="470">
        <f t="shared" si="148"/>
        <v>2764894.08</v>
      </c>
      <c r="P128" s="470">
        <f t="shared" si="149"/>
        <v>21000</v>
      </c>
      <c r="Q128" s="470">
        <f t="shared" si="150"/>
        <v>33000</v>
      </c>
      <c r="R128" s="470">
        <f t="shared" si="151"/>
        <v>75000</v>
      </c>
      <c r="S128" s="470">
        <f t="shared" si="152"/>
        <v>95000</v>
      </c>
      <c r="T128" s="470">
        <f t="shared" si="153"/>
        <v>244627.756800001</v>
      </c>
      <c r="U128" s="470"/>
      <c r="V128" s="470">
        <f t="shared" si="155"/>
        <v>468627.756800001</v>
      </c>
      <c r="W128" s="471">
        <v>12</v>
      </c>
      <c r="X128" s="470">
        <f t="shared" si="156"/>
        <v>39052.3130666667</v>
      </c>
      <c r="Y128" s="476"/>
      <c r="Z128" s="470">
        <f t="shared" si="157"/>
        <v>39052.3130666667</v>
      </c>
      <c r="AA128" s="473">
        <v>23036.0123466667</v>
      </c>
      <c r="AB128" s="473">
        <f t="shared" si="158"/>
        <v>16016.30072</v>
      </c>
      <c r="AC128" s="473"/>
      <c r="AD128" s="473"/>
      <c r="AE128" s="473"/>
    </row>
    <row r="129" ht="18" spans="1:31">
      <c r="A129" s="467">
        <v>107</v>
      </c>
      <c r="B129" s="18" t="s">
        <v>294</v>
      </c>
      <c r="C129" s="470">
        <v>274459.75</v>
      </c>
      <c r="D129" s="469">
        <v>12</v>
      </c>
      <c r="E129" s="470">
        <f t="shared" si="143"/>
        <v>3293517</v>
      </c>
      <c r="F129" s="470"/>
      <c r="G129" s="474">
        <v>215481.36</v>
      </c>
      <c r="H129" s="476"/>
      <c r="I129" s="470">
        <f t="shared" si="144"/>
        <v>3078035.64</v>
      </c>
      <c r="J129" s="470">
        <v>200000</v>
      </c>
      <c r="K129" s="470">
        <v>0.2</v>
      </c>
      <c r="L129" s="470">
        <f t="shared" si="145"/>
        <v>615607.128</v>
      </c>
      <c r="M129" s="470">
        <f t="shared" si="146"/>
        <v>815607.128</v>
      </c>
      <c r="N129" s="470">
        <f t="shared" si="147"/>
        <v>1031088.488</v>
      </c>
      <c r="O129" s="470">
        <f t="shared" si="148"/>
        <v>2262428.512</v>
      </c>
      <c r="P129" s="470">
        <f t="shared" si="149"/>
        <v>21000</v>
      </c>
      <c r="Q129" s="470">
        <f t="shared" si="150"/>
        <v>33000</v>
      </c>
      <c r="R129" s="470">
        <f t="shared" si="151"/>
        <v>75000</v>
      </c>
      <c r="S129" s="470">
        <f t="shared" si="152"/>
        <v>95000</v>
      </c>
      <c r="T129" s="470">
        <f t="shared" si="153"/>
        <v>139109.98752</v>
      </c>
      <c r="U129" s="470"/>
      <c r="V129" s="470">
        <f t="shared" si="155"/>
        <v>363109.98752</v>
      </c>
      <c r="W129" s="471">
        <v>12</v>
      </c>
      <c r="X129" s="470">
        <f t="shared" si="156"/>
        <v>30259.1656266667</v>
      </c>
      <c r="Y129" s="476"/>
      <c r="Z129" s="470">
        <f t="shared" si="157"/>
        <v>30259.1656266667</v>
      </c>
      <c r="AA129" s="473">
        <v>17042.7138666667</v>
      </c>
      <c r="AB129" s="473">
        <f t="shared" si="158"/>
        <v>13216.45176</v>
      </c>
      <c r="AC129" s="473"/>
      <c r="AD129" s="473"/>
      <c r="AE129" s="473"/>
    </row>
    <row r="130" ht="18" spans="1:31">
      <c r="A130" s="467">
        <v>108</v>
      </c>
      <c r="B130" s="18" t="s">
        <v>296</v>
      </c>
      <c r="C130" s="470">
        <v>274459.75</v>
      </c>
      <c r="D130" s="469">
        <v>12</v>
      </c>
      <c r="E130" s="470">
        <f t="shared" si="143"/>
        <v>3293517</v>
      </c>
      <c r="F130" s="470"/>
      <c r="G130" s="474">
        <v>215481.36</v>
      </c>
      <c r="H130" s="476"/>
      <c r="I130" s="470">
        <f t="shared" si="144"/>
        <v>3078035.64</v>
      </c>
      <c r="J130" s="470">
        <v>200000</v>
      </c>
      <c r="K130" s="470">
        <v>0.2</v>
      </c>
      <c r="L130" s="470">
        <f t="shared" si="145"/>
        <v>615607.128</v>
      </c>
      <c r="M130" s="470">
        <f t="shared" si="146"/>
        <v>815607.128</v>
      </c>
      <c r="N130" s="470">
        <f t="shared" si="147"/>
        <v>1031088.488</v>
      </c>
      <c r="O130" s="470">
        <f t="shared" si="148"/>
        <v>2262428.512</v>
      </c>
      <c r="P130" s="470">
        <f t="shared" si="149"/>
        <v>21000</v>
      </c>
      <c r="Q130" s="470">
        <f t="shared" si="150"/>
        <v>33000</v>
      </c>
      <c r="R130" s="470">
        <f t="shared" si="151"/>
        <v>75000</v>
      </c>
      <c r="S130" s="470">
        <f t="shared" si="152"/>
        <v>95000</v>
      </c>
      <c r="T130" s="470">
        <f t="shared" si="153"/>
        <v>139109.98752</v>
      </c>
      <c r="U130" s="470"/>
      <c r="V130" s="470">
        <f t="shared" si="155"/>
        <v>363109.98752</v>
      </c>
      <c r="W130" s="471">
        <v>12</v>
      </c>
      <c r="X130" s="470">
        <f t="shared" si="156"/>
        <v>30259.1656266667</v>
      </c>
      <c r="Y130" s="476"/>
      <c r="Z130" s="470">
        <f t="shared" si="157"/>
        <v>30259.1656266667</v>
      </c>
      <c r="AA130" s="473">
        <v>17042.7138666667</v>
      </c>
      <c r="AB130" s="473">
        <f t="shared" si="158"/>
        <v>13216.45176</v>
      </c>
      <c r="AC130" s="473"/>
      <c r="AD130" s="473"/>
      <c r="AE130" s="473"/>
    </row>
    <row r="131" ht="17.5" spans="1:31">
      <c r="A131" s="467">
        <v>109</v>
      </c>
      <c r="B131" s="20" t="s">
        <v>120</v>
      </c>
      <c r="C131" s="470"/>
      <c r="D131" s="469"/>
      <c r="E131" s="470"/>
      <c r="F131" s="470"/>
      <c r="G131" s="476"/>
      <c r="H131" s="476"/>
      <c r="I131" s="470"/>
      <c r="J131" s="470"/>
      <c r="K131" s="470"/>
      <c r="L131" s="470"/>
      <c r="M131" s="470"/>
      <c r="N131" s="470"/>
      <c r="O131" s="470"/>
      <c r="P131" s="470"/>
      <c r="Q131" s="470"/>
      <c r="R131" s="470"/>
      <c r="S131" s="470"/>
      <c r="T131" s="470"/>
      <c r="U131" s="470"/>
      <c r="V131" s="470"/>
      <c r="W131" s="471"/>
      <c r="X131" s="470"/>
      <c r="Y131" s="476"/>
      <c r="Z131" s="470"/>
      <c r="AA131" s="473"/>
      <c r="AB131" s="473"/>
      <c r="AC131" s="473"/>
      <c r="AD131" s="473"/>
      <c r="AE131" s="473"/>
    </row>
    <row r="132" ht="17.5" spans="1:31">
      <c r="A132" s="467">
        <v>110</v>
      </c>
      <c r="B132" s="22"/>
      <c r="C132" s="470"/>
      <c r="U132" s="482"/>
      <c r="AC132" s="473"/>
      <c r="AD132" s="473"/>
      <c r="AE132" s="473"/>
    </row>
    <row r="133" ht="17.5" spans="1:31">
      <c r="A133" s="467">
        <v>111</v>
      </c>
      <c r="B133" s="20" t="s">
        <v>299</v>
      </c>
      <c r="C133" s="470"/>
      <c r="U133" s="482"/>
      <c r="AC133" s="473"/>
      <c r="AD133" s="473"/>
      <c r="AE133" s="473"/>
    </row>
    <row r="134" ht="18" spans="1:31">
      <c r="A134" s="467">
        <v>112</v>
      </c>
      <c r="B134" s="11" t="s">
        <v>931</v>
      </c>
      <c r="C134" s="470">
        <v>1535720</v>
      </c>
      <c r="D134" s="469">
        <v>12</v>
      </c>
      <c r="E134" s="470">
        <f t="shared" ref="E134:E192" si="159">C134*D134</f>
        <v>18428640</v>
      </c>
      <c r="F134" s="470"/>
      <c r="G134" s="474">
        <v>1378291.2</v>
      </c>
      <c r="H134" s="476"/>
      <c r="I134" s="470">
        <f t="shared" ref="I134:I192" si="160">E134-F134-G134-H134</f>
        <v>17050348.8</v>
      </c>
      <c r="J134" s="470">
        <v>200000</v>
      </c>
      <c r="K134" s="470">
        <v>0.2</v>
      </c>
      <c r="L134" s="470">
        <f t="shared" ref="L134:L192" si="161">I134*K134</f>
        <v>3410069.76</v>
      </c>
      <c r="M134" s="470">
        <f t="shared" ref="M134:M192" si="162">J134+L134</f>
        <v>3610069.76</v>
      </c>
      <c r="N134" s="470">
        <f t="shared" ref="N134:N192" si="163">F134+G134+H134+M134</f>
        <v>4988360.96</v>
      </c>
      <c r="O134" s="470">
        <f t="shared" ref="O134:O192" si="164">E134-N134</f>
        <v>13440279.04</v>
      </c>
      <c r="P134" s="470">
        <f t="shared" ref="P134:P192" si="165">IF(O134&lt;300000,0.07*O134,21000)</f>
        <v>21000</v>
      </c>
      <c r="Q134" s="470">
        <f t="shared" ref="Q134:Q192" si="166">IF((O134-300000)&lt;0,0,IF((O134-300000)&lt;300000,0.11*(O134-300000),33000))</f>
        <v>33000</v>
      </c>
      <c r="R134" s="470">
        <f t="shared" ref="R134:R192" si="167">IF((O134-600000)&lt;0,0,IF((O134-600000)&lt;500000,0.15*(O134-600000),75000))</f>
        <v>75000</v>
      </c>
      <c r="S134" s="470">
        <f t="shared" ref="S134:S192" si="168">IF((O134-1100000)&lt;0,0,IF((O134-1100000)&lt;500000,0.19*(O134-1100000),95000))</f>
        <v>95000</v>
      </c>
      <c r="T134" s="470">
        <f t="shared" ref="T134:T192" si="169">IF((O134-1600000)&lt;0,0,IF((O134-1600000)&lt;1600000,0.21*(O134-1600000),336000))</f>
        <v>336000</v>
      </c>
      <c r="U134" s="470">
        <f t="shared" ref="U134:U146" si="170">0.24*(O134-3200000)</f>
        <v>2457666.9696</v>
      </c>
      <c r="V134" s="470">
        <f t="shared" ref="V134:V192" si="171">P134+Q134+R134+S134+T134+U134</f>
        <v>3017666.9696</v>
      </c>
      <c r="W134" s="471">
        <v>12</v>
      </c>
      <c r="X134" s="470">
        <f t="shared" ref="X134:X192" si="172">V134/W134</f>
        <v>251472.247466667</v>
      </c>
      <c r="Y134" s="476"/>
      <c r="Z134" s="470">
        <f t="shared" ref="Z134:Z192" si="173">X134</f>
        <v>251472.247466667</v>
      </c>
      <c r="AA134" s="473">
        <v>161106.806858667</v>
      </c>
      <c r="AB134" s="473">
        <f t="shared" ref="AB134:AB192" si="174">Z134-AA134</f>
        <v>90365.4406079996</v>
      </c>
      <c r="AC134" s="473"/>
      <c r="AD134" s="473"/>
      <c r="AE134" s="473"/>
    </row>
    <row r="135" ht="18" spans="1:31">
      <c r="A135" s="467">
        <v>113</v>
      </c>
      <c r="B135" s="11" t="s">
        <v>933</v>
      </c>
      <c r="C135" s="470">
        <v>852373.166666667</v>
      </c>
      <c r="D135" s="469">
        <v>12</v>
      </c>
      <c r="E135" s="470">
        <f t="shared" si="159"/>
        <v>10228478</v>
      </c>
      <c r="F135" s="470"/>
      <c r="G135" s="474">
        <v>0</v>
      </c>
      <c r="H135" s="476"/>
      <c r="I135" s="470">
        <f t="shared" si="160"/>
        <v>10228478</v>
      </c>
      <c r="J135" s="470">
        <v>200000</v>
      </c>
      <c r="K135" s="470">
        <v>0.2</v>
      </c>
      <c r="L135" s="470">
        <f t="shared" si="161"/>
        <v>2045695.6</v>
      </c>
      <c r="M135" s="470">
        <f t="shared" si="162"/>
        <v>2245695.6</v>
      </c>
      <c r="N135" s="470">
        <f t="shared" si="163"/>
        <v>2245695.6</v>
      </c>
      <c r="O135" s="470">
        <f t="shared" si="164"/>
        <v>7982782.4</v>
      </c>
      <c r="P135" s="470">
        <f t="shared" si="165"/>
        <v>21000</v>
      </c>
      <c r="Q135" s="470">
        <f t="shared" si="166"/>
        <v>33000</v>
      </c>
      <c r="R135" s="470">
        <f t="shared" si="167"/>
        <v>75000</v>
      </c>
      <c r="S135" s="470">
        <f t="shared" si="168"/>
        <v>95000</v>
      </c>
      <c r="T135" s="470">
        <f t="shared" si="169"/>
        <v>336000</v>
      </c>
      <c r="U135" s="470">
        <f t="shared" si="170"/>
        <v>1147867.776</v>
      </c>
      <c r="V135" s="470">
        <f t="shared" si="171"/>
        <v>1707867.776</v>
      </c>
      <c r="W135" s="471">
        <v>12</v>
      </c>
      <c r="X135" s="470">
        <f t="shared" si="172"/>
        <v>142322.314666667</v>
      </c>
      <c r="Y135" s="476"/>
      <c r="Z135" s="470">
        <f t="shared" si="173"/>
        <v>142322.314666667</v>
      </c>
      <c r="AA135" s="473">
        <v>82627.9514186667</v>
      </c>
      <c r="AB135" s="473">
        <f t="shared" si="174"/>
        <v>59694.363248</v>
      </c>
      <c r="AC135" s="473"/>
      <c r="AD135" s="473"/>
      <c r="AE135" s="473"/>
    </row>
    <row r="136" ht="18" spans="1:31">
      <c r="A136" s="467">
        <v>114</v>
      </c>
      <c r="B136" s="14" t="s">
        <v>302</v>
      </c>
      <c r="C136" s="470">
        <v>902373.166666667</v>
      </c>
      <c r="D136" s="469">
        <v>12</v>
      </c>
      <c r="E136" s="470">
        <f t="shared" si="159"/>
        <v>10828478</v>
      </c>
      <c r="F136" s="470">
        <f>1066.32925*12</f>
        <v>12795.951</v>
      </c>
      <c r="G136" s="474">
        <v>731878.24</v>
      </c>
      <c r="H136" s="476"/>
      <c r="I136" s="470">
        <f t="shared" si="160"/>
        <v>10083803.809</v>
      </c>
      <c r="J136" s="470">
        <v>200000</v>
      </c>
      <c r="K136" s="470">
        <v>0.2</v>
      </c>
      <c r="L136" s="470">
        <f t="shared" si="161"/>
        <v>2016760.7618</v>
      </c>
      <c r="M136" s="470">
        <f t="shared" si="162"/>
        <v>2216760.7618</v>
      </c>
      <c r="N136" s="470">
        <f t="shared" si="163"/>
        <v>2961434.9528</v>
      </c>
      <c r="O136" s="470">
        <f t="shared" si="164"/>
        <v>7867043.0472</v>
      </c>
      <c r="P136" s="470">
        <f t="shared" si="165"/>
        <v>21000</v>
      </c>
      <c r="Q136" s="470">
        <f t="shared" si="166"/>
        <v>33000</v>
      </c>
      <c r="R136" s="470">
        <f t="shared" si="167"/>
        <v>75000</v>
      </c>
      <c r="S136" s="470">
        <f t="shared" si="168"/>
        <v>95000</v>
      </c>
      <c r="T136" s="470">
        <f t="shared" si="169"/>
        <v>336000</v>
      </c>
      <c r="U136" s="470">
        <f t="shared" si="170"/>
        <v>1120090.331328</v>
      </c>
      <c r="V136" s="470">
        <f t="shared" si="171"/>
        <v>1680090.331328</v>
      </c>
      <c r="W136" s="471">
        <v>12</v>
      </c>
      <c r="X136" s="470">
        <f t="shared" si="172"/>
        <v>140007.527610667</v>
      </c>
      <c r="Y136" s="476"/>
      <c r="Z136" s="470">
        <f t="shared" si="173"/>
        <v>140007.527610667</v>
      </c>
      <c r="AA136" s="473">
        <v>92023.2162026667</v>
      </c>
      <c r="AB136" s="473">
        <f t="shared" si="174"/>
        <v>47984.311408</v>
      </c>
      <c r="AC136" s="473"/>
      <c r="AD136" s="473"/>
      <c r="AE136" s="473"/>
    </row>
    <row r="137" ht="18" spans="1:31">
      <c r="A137" s="467">
        <v>115</v>
      </c>
      <c r="B137" s="11" t="s">
        <v>305</v>
      </c>
      <c r="C137" s="470">
        <v>554373.75</v>
      </c>
      <c r="D137" s="469">
        <v>12</v>
      </c>
      <c r="E137" s="470">
        <f t="shared" si="159"/>
        <v>6652485</v>
      </c>
      <c r="F137" s="470">
        <f t="shared" ref="F137:F139" si="175">712.24525*12</f>
        <v>8546.943</v>
      </c>
      <c r="G137" s="474">
        <v>464998.8</v>
      </c>
      <c r="H137" s="476"/>
      <c r="I137" s="470">
        <f t="shared" si="160"/>
        <v>6178939.257</v>
      </c>
      <c r="J137" s="470">
        <v>200000</v>
      </c>
      <c r="K137" s="470">
        <v>0.2</v>
      </c>
      <c r="L137" s="470">
        <f t="shared" si="161"/>
        <v>1235787.8514</v>
      </c>
      <c r="M137" s="470">
        <f t="shared" si="162"/>
        <v>1435787.8514</v>
      </c>
      <c r="N137" s="470">
        <f t="shared" si="163"/>
        <v>1909333.5944</v>
      </c>
      <c r="O137" s="470">
        <f t="shared" si="164"/>
        <v>4743151.4056</v>
      </c>
      <c r="P137" s="470">
        <f t="shared" si="165"/>
        <v>21000</v>
      </c>
      <c r="Q137" s="470">
        <f t="shared" si="166"/>
        <v>33000</v>
      </c>
      <c r="R137" s="470">
        <f t="shared" si="167"/>
        <v>75000</v>
      </c>
      <c r="S137" s="470">
        <f t="shared" si="168"/>
        <v>95000</v>
      </c>
      <c r="T137" s="470">
        <f t="shared" si="169"/>
        <v>336000</v>
      </c>
      <c r="U137" s="470">
        <f t="shared" si="170"/>
        <v>370356.337344</v>
      </c>
      <c r="V137" s="470">
        <f t="shared" si="171"/>
        <v>930356.337344</v>
      </c>
      <c r="W137" s="471">
        <v>12</v>
      </c>
      <c r="X137" s="470">
        <f t="shared" si="172"/>
        <v>77529.6947786667</v>
      </c>
      <c r="Y137" s="476"/>
      <c r="Z137" s="470">
        <f t="shared" si="173"/>
        <v>77529.6947786667</v>
      </c>
      <c r="AA137" s="473">
        <v>46081.2025986667</v>
      </c>
      <c r="AB137" s="473">
        <f t="shared" si="174"/>
        <v>31448.49218</v>
      </c>
      <c r="AC137" s="473"/>
      <c r="AD137" s="473"/>
      <c r="AE137" s="473"/>
    </row>
    <row r="138" ht="18" spans="1:31">
      <c r="A138" s="467">
        <v>116</v>
      </c>
      <c r="B138" s="11" t="s">
        <v>307</v>
      </c>
      <c r="C138" s="470">
        <v>554373.75</v>
      </c>
      <c r="D138" s="469">
        <v>12</v>
      </c>
      <c r="E138" s="470">
        <f t="shared" si="159"/>
        <v>6652485</v>
      </c>
      <c r="F138" s="470">
        <f t="shared" si="175"/>
        <v>8546.943</v>
      </c>
      <c r="G138" s="474">
        <v>464998.8</v>
      </c>
      <c r="H138" s="476"/>
      <c r="I138" s="470">
        <f t="shared" si="160"/>
        <v>6178939.257</v>
      </c>
      <c r="J138" s="470">
        <v>200000</v>
      </c>
      <c r="K138" s="470">
        <v>0.2</v>
      </c>
      <c r="L138" s="470">
        <f t="shared" si="161"/>
        <v>1235787.8514</v>
      </c>
      <c r="M138" s="470">
        <f t="shared" si="162"/>
        <v>1435787.8514</v>
      </c>
      <c r="N138" s="470">
        <f t="shared" si="163"/>
        <v>1909333.5944</v>
      </c>
      <c r="O138" s="470">
        <f t="shared" si="164"/>
        <v>4743151.4056</v>
      </c>
      <c r="P138" s="470">
        <f t="shared" si="165"/>
        <v>21000</v>
      </c>
      <c r="Q138" s="470">
        <f t="shared" si="166"/>
        <v>33000</v>
      </c>
      <c r="R138" s="470">
        <f t="shared" si="167"/>
        <v>75000</v>
      </c>
      <c r="S138" s="470">
        <f t="shared" si="168"/>
        <v>95000</v>
      </c>
      <c r="T138" s="470">
        <f t="shared" si="169"/>
        <v>336000</v>
      </c>
      <c r="U138" s="470">
        <f t="shared" si="170"/>
        <v>370356.337344</v>
      </c>
      <c r="V138" s="470">
        <f t="shared" si="171"/>
        <v>930356.337344</v>
      </c>
      <c r="W138" s="471">
        <v>12</v>
      </c>
      <c r="X138" s="470">
        <f t="shared" si="172"/>
        <v>77529.6947786667</v>
      </c>
      <c r="Y138" s="476"/>
      <c r="Z138" s="470">
        <f t="shared" si="173"/>
        <v>77529.6947786667</v>
      </c>
      <c r="AA138" s="473">
        <v>46081.2025986667</v>
      </c>
      <c r="AB138" s="473">
        <f t="shared" si="174"/>
        <v>31448.49218</v>
      </c>
      <c r="AC138" s="473"/>
      <c r="AD138" s="473"/>
      <c r="AE138" s="473"/>
    </row>
    <row r="139" ht="18" spans="1:31">
      <c r="A139" s="467">
        <v>117</v>
      </c>
      <c r="B139" s="11" t="s">
        <v>309</v>
      </c>
      <c r="C139" s="470">
        <v>554373.75</v>
      </c>
      <c r="D139" s="469">
        <v>12</v>
      </c>
      <c r="E139" s="470">
        <f t="shared" si="159"/>
        <v>6652485</v>
      </c>
      <c r="F139" s="470">
        <f t="shared" si="175"/>
        <v>8546.943</v>
      </c>
      <c r="G139" s="474">
        <v>464998.8</v>
      </c>
      <c r="H139" s="476"/>
      <c r="I139" s="470">
        <f t="shared" si="160"/>
        <v>6178939.257</v>
      </c>
      <c r="J139" s="470">
        <v>200000</v>
      </c>
      <c r="K139" s="470">
        <v>0.2</v>
      </c>
      <c r="L139" s="470">
        <f t="shared" si="161"/>
        <v>1235787.8514</v>
      </c>
      <c r="M139" s="470">
        <f t="shared" si="162"/>
        <v>1435787.8514</v>
      </c>
      <c r="N139" s="470">
        <f t="shared" si="163"/>
        <v>1909333.5944</v>
      </c>
      <c r="O139" s="470">
        <f t="shared" si="164"/>
        <v>4743151.4056</v>
      </c>
      <c r="P139" s="470">
        <f t="shared" si="165"/>
        <v>21000</v>
      </c>
      <c r="Q139" s="470">
        <f t="shared" si="166"/>
        <v>33000</v>
      </c>
      <c r="R139" s="470">
        <f t="shared" si="167"/>
        <v>75000</v>
      </c>
      <c r="S139" s="470">
        <f t="shared" si="168"/>
        <v>95000</v>
      </c>
      <c r="T139" s="470">
        <f t="shared" si="169"/>
        <v>336000</v>
      </c>
      <c r="U139" s="470">
        <f t="shared" si="170"/>
        <v>370356.337344</v>
      </c>
      <c r="V139" s="470">
        <f t="shared" si="171"/>
        <v>930356.337344</v>
      </c>
      <c r="W139" s="471">
        <v>12</v>
      </c>
      <c r="X139" s="470">
        <f t="shared" si="172"/>
        <v>77529.6947786667</v>
      </c>
      <c r="Y139" s="476"/>
      <c r="Z139" s="470">
        <f t="shared" si="173"/>
        <v>77529.6947786667</v>
      </c>
      <c r="AA139" s="473">
        <v>46081.2025986667</v>
      </c>
      <c r="AB139" s="473">
        <f t="shared" si="174"/>
        <v>31448.49218</v>
      </c>
      <c r="AC139" s="473"/>
      <c r="AD139" s="473"/>
      <c r="AE139" s="473"/>
    </row>
    <row r="140" ht="18" spans="1:31">
      <c r="A140" s="467">
        <v>118</v>
      </c>
      <c r="B140" s="11" t="s">
        <v>231</v>
      </c>
      <c r="C140" s="470">
        <v>450086.5</v>
      </c>
      <c r="D140" s="469">
        <v>12</v>
      </c>
      <c r="E140" s="470">
        <f t="shared" si="159"/>
        <v>5401038</v>
      </c>
      <c r="F140" s="470">
        <f>576.62125*12</f>
        <v>6919.455</v>
      </c>
      <c r="G140" s="474">
        <v>374483.04</v>
      </c>
      <c r="H140" s="476"/>
      <c r="I140" s="470">
        <f t="shared" si="160"/>
        <v>5019635.505</v>
      </c>
      <c r="J140" s="470">
        <v>200000</v>
      </c>
      <c r="K140" s="470">
        <v>0.2</v>
      </c>
      <c r="L140" s="470">
        <f t="shared" si="161"/>
        <v>1003927.101</v>
      </c>
      <c r="M140" s="470">
        <f t="shared" si="162"/>
        <v>1203927.101</v>
      </c>
      <c r="N140" s="470">
        <f t="shared" si="163"/>
        <v>1585329.596</v>
      </c>
      <c r="O140" s="470">
        <f t="shared" si="164"/>
        <v>3815708.404</v>
      </c>
      <c r="P140" s="470">
        <f t="shared" si="165"/>
        <v>21000</v>
      </c>
      <c r="Q140" s="470">
        <f t="shared" si="166"/>
        <v>33000</v>
      </c>
      <c r="R140" s="470">
        <f t="shared" si="167"/>
        <v>75000</v>
      </c>
      <c r="S140" s="470">
        <f t="shared" si="168"/>
        <v>95000</v>
      </c>
      <c r="T140" s="470">
        <f t="shared" si="169"/>
        <v>336000</v>
      </c>
      <c r="U140" s="470">
        <f t="shared" si="170"/>
        <v>147770.01696</v>
      </c>
      <c r="V140" s="470">
        <f t="shared" si="171"/>
        <v>707770.01696</v>
      </c>
      <c r="W140" s="471">
        <v>12</v>
      </c>
      <c r="X140" s="470">
        <f t="shared" si="172"/>
        <v>58980.8347466667</v>
      </c>
      <c r="Y140" s="476"/>
      <c r="Z140" s="470">
        <f t="shared" si="173"/>
        <v>58980.8347466667</v>
      </c>
      <c r="AA140" s="473">
        <v>35221.9540866667</v>
      </c>
      <c r="AB140" s="473">
        <f t="shared" si="174"/>
        <v>23758.88066</v>
      </c>
      <c r="AC140" s="473"/>
      <c r="AD140" s="473"/>
      <c r="AE140" s="473"/>
    </row>
    <row r="141" ht="18" spans="1:31">
      <c r="A141" s="467">
        <v>119</v>
      </c>
      <c r="B141" s="11" t="s">
        <v>312</v>
      </c>
      <c r="C141" s="470">
        <v>450086.5</v>
      </c>
      <c r="D141" s="469">
        <v>12</v>
      </c>
      <c r="E141" s="470">
        <f t="shared" si="159"/>
        <v>5401038</v>
      </c>
      <c r="F141" s="470"/>
      <c r="G141" s="474">
        <v>374483.04</v>
      </c>
      <c r="H141" s="476"/>
      <c r="I141" s="470">
        <f t="shared" si="160"/>
        <v>5026554.96</v>
      </c>
      <c r="J141" s="470">
        <v>200000</v>
      </c>
      <c r="K141" s="470">
        <v>0.2</v>
      </c>
      <c r="L141" s="470">
        <f t="shared" si="161"/>
        <v>1005310.992</v>
      </c>
      <c r="M141" s="470">
        <f t="shared" si="162"/>
        <v>1205310.992</v>
      </c>
      <c r="N141" s="470">
        <f t="shared" si="163"/>
        <v>1579794.032</v>
      </c>
      <c r="O141" s="470">
        <f t="shared" si="164"/>
        <v>3821243.968</v>
      </c>
      <c r="P141" s="470">
        <f t="shared" si="165"/>
        <v>21000</v>
      </c>
      <c r="Q141" s="470">
        <f t="shared" si="166"/>
        <v>33000</v>
      </c>
      <c r="R141" s="470">
        <f t="shared" si="167"/>
        <v>75000</v>
      </c>
      <c r="S141" s="470">
        <f t="shared" si="168"/>
        <v>95000</v>
      </c>
      <c r="T141" s="470">
        <f t="shared" si="169"/>
        <v>336000</v>
      </c>
      <c r="U141" s="470">
        <f t="shared" si="170"/>
        <v>149098.55232</v>
      </c>
      <c r="V141" s="470">
        <f t="shared" si="171"/>
        <v>709098.55232</v>
      </c>
      <c r="W141" s="471">
        <v>12</v>
      </c>
      <c r="X141" s="470">
        <f t="shared" si="172"/>
        <v>59091.5460266667</v>
      </c>
      <c r="Y141" s="476"/>
      <c r="Z141" s="470">
        <f t="shared" si="173"/>
        <v>59091.5460266667</v>
      </c>
      <c r="AA141" s="473">
        <v>35318.8264566667</v>
      </c>
      <c r="AB141" s="473">
        <f t="shared" si="174"/>
        <v>23772.71957</v>
      </c>
      <c r="AC141" s="473"/>
      <c r="AD141" s="473"/>
      <c r="AE141" s="473"/>
    </row>
    <row r="142" ht="18" spans="1:31">
      <c r="A142" s="467">
        <v>120</v>
      </c>
      <c r="B142" s="11" t="s">
        <v>313</v>
      </c>
      <c r="C142" s="470">
        <v>450086.5</v>
      </c>
      <c r="D142" s="469">
        <v>12</v>
      </c>
      <c r="E142" s="470">
        <f t="shared" si="159"/>
        <v>5401038</v>
      </c>
      <c r="F142" s="470"/>
      <c r="G142" s="474">
        <v>374483.04</v>
      </c>
      <c r="H142" s="476"/>
      <c r="I142" s="470">
        <f t="shared" si="160"/>
        <v>5026554.96</v>
      </c>
      <c r="J142" s="470">
        <v>200000</v>
      </c>
      <c r="K142" s="470">
        <v>0.2</v>
      </c>
      <c r="L142" s="470">
        <f t="shared" si="161"/>
        <v>1005310.992</v>
      </c>
      <c r="M142" s="470">
        <f t="shared" si="162"/>
        <v>1205310.992</v>
      </c>
      <c r="N142" s="470">
        <f t="shared" si="163"/>
        <v>1579794.032</v>
      </c>
      <c r="O142" s="470">
        <f t="shared" si="164"/>
        <v>3821243.968</v>
      </c>
      <c r="P142" s="470">
        <f t="shared" si="165"/>
        <v>21000</v>
      </c>
      <c r="Q142" s="470">
        <f t="shared" si="166"/>
        <v>33000</v>
      </c>
      <c r="R142" s="470">
        <f t="shared" si="167"/>
        <v>75000</v>
      </c>
      <c r="S142" s="470">
        <f t="shared" si="168"/>
        <v>95000</v>
      </c>
      <c r="T142" s="470">
        <f t="shared" si="169"/>
        <v>336000</v>
      </c>
      <c r="U142" s="470">
        <f t="shared" si="170"/>
        <v>149098.55232</v>
      </c>
      <c r="V142" s="470">
        <f t="shared" si="171"/>
        <v>709098.55232</v>
      </c>
      <c r="W142" s="471">
        <v>12</v>
      </c>
      <c r="X142" s="470">
        <f t="shared" si="172"/>
        <v>59091.5460266667</v>
      </c>
      <c r="Y142" s="476"/>
      <c r="Z142" s="470">
        <f t="shared" si="173"/>
        <v>59091.5460266667</v>
      </c>
      <c r="AA142" s="473">
        <v>35318.8264566667</v>
      </c>
      <c r="AB142" s="473">
        <f t="shared" si="174"/>
        <v>23772.71957</v>
      </c>
      <c r="AC142" s="473"/>
      <c r="AD142" s="473"/>
      <c r="AE142" s="473"/>
    </row>
    <row r="143" ht="18" spans="1:31">
      <c r="A143" s="467">
        <v>121</v>
      </c>
      <c r="B143" s="11" t="s">
        <v>315</v>
      </c>
      <c r="C143" s="470">
        <v>437895.166666667</v>
      </c>
      <c r="D143" s="469">
        <v>12</v>
      </c>
      <c r="E143" s="470">
        <f t="shared" si="159"/>
        <v>5254742</v>
      </c>
      <c r="F143" s="470"/>
      <c r="G143" s="474">
        <v>362779.36</v>
      </c>
      <c r="H143" s="476"/>
      <c r="I143" s="470">
        <f t="shared" si="160"/>
        <v>4891962.64</v>
      </c>
      <c r="J143" s="470">
        <v>200000</v>
      </c>
      <c r="K143" s="470">
        <v>0.2</v>
      </c>
      <c r="L143" s="470">
        <f t="shared" si="161"/>
        <v>978392.528000001</v>
      </c>
      <c r="M143" s="470">
        <f t="shared" si="162"/>
        <v>1178392.528</v>
      </c>
      <c r="N143" s="470">
        <f t="shared" si="163"/>
        <v>1541171.888</v>
      </c>
      <c r="O143" s="470">
        <f t="shared" si="164"/>
        <v>3713570.112</v>
      </c>
      <c r="P143" s="470">
        <f t="shared" si="165"/>
        <v>21000</v>
      </c>
      <c r="Q143" s="470">
        <f t="shared" si="166"/>
        <v>33000</v>
      </c>
      <c r="R143" s="470">
        <f t="shared" si="167"/>
        <v>75000</v>
      </c>
      <c r="S143" s="470">
        <f t="shared" si="168"/>
        <v>95000</v>
      </c>
      <c r="T143" s="470">
        <f t="shared" si="169"/>
        <v>336000</v>
      </c>
      <c r="U143" s="470">
        <f t="shared" si="170"/>
        <v>123256.826880001</v>
      </c>
      <c r="V143" s="470">
        <f t="shared" si="171"/>
        <v>683256.826880001</v>
      </c>
      <c r="W143" s="471">
        <v>12</v>
      </c>
      <c r="X143" s="470">
        <f t="shared" si="172"/>
        <v>56938.0689066667</v>
      </c>
      <c r="Y143" s="476"/>
      <c r="Z143" s="470">
        <f t="shared" si="173"/>
        <v>56938.0689066667</v>
      </c>
      <c r="AA143" s="473">
        <v>34968.8824146667</v>
      </c>
      <c r="AB143" s="473">
        <f t="shared" si="174"/>
        <v>21969.186492</v>
      </c>
      <c r="AC143" s="473"/>
      <c r="AD143" s="473"/>
      <c r="AE143" s="473"/>
    </row>
    <row r="144" ht="18" spans="1:31">
      <c r="A144" s="467">
        <v>122</v>
      </c>
      <c r="B144" s="11" t="s">
        <v>317</v>
      </c>
      <c r="C144" s="470">
        <v>425703.833333333</v>
      </c>
      <c r="D144" s="469">
        <v>12</v>
      </c>
      <c r="E144" s="470">
        <f t="shared" si="159"/>
        <v>5108446</v>
      </c>
      <c r="F144" s="470">
        <f>538.022*12</f>
        <v>6456.264</v>
      </c>
      <c r="G144" s="474">
        <v>351075.68</v>
      </c>
      <c r="H144" s="476"/>
      <c r="I144" s="470">
        <f t="shared" si="160"/>
        <v>4750914.056</v>
      </c>
      <c r="J144" s="470">
        <v>200000</v>
      </c>
      <c r="K144" s="470">
        <v>0.2</v>
      </c>
      <c r="L144" s="470">
        <f t="shared" si="161"/>
        <v>950182.811199999</v>
      </c>
      <c r="M144" s="470">
        <f t="shared" si="162"/>
        <v>1150182.8112</v>
      </c>
      <c r="N144" s="470">
        <f t="shared" si="163"/>
        <v>1507714.7552</v>
      </c>
      <c r="O144" s="470">
        <f t="shared" si="164"/>
        <v>3600731.2448</v>
      </c>
      <c r="P144" s="470">
        <f t="shared" si="165"/>
        <v>21000</v>
      </c>
      <c r="Q144" s="470">
        <f t="shared" si="166"/>
        <v>33000</v>
      </c>
      <c r="R144" s="470">
        <f t="shared" si="167"/>
        <v>75000</v>
      </c>
      <c r="S144" s="470">
        <f t="shared" si="168"/>
        <v>95000</v>
      </c>
      <c r="T144" s="470">
        <f t="shared" si="169"/>
        <v>336000</v>
      </c>
      <c r="U144" s="470">
        <f t="shared" si="170"/>
        <v>96175.4987519992</v>
      </c>
      <c r="V144" s="470">
        <f t="shared" si="171"/>
        <v>656175.498751999</v>
      </c>
      <c r="W144" s="471">
        <v>12</v>
      </c>
      <c r="X144" s="470">
        <f t="shared" si="172"/>
        <v>54681.2915626666</v>
      </c>
      <c r="Y144" s="476"/>
      <c r="Z144" s="470">
        <f t="shared" si="173"/>
        <v>54681.2915626666</v>
      </c>
      <c r="AA144" s="473">
        <v>32848.5634026667</v>
      </c>
      <c r="AB144" s="473">
        <f t="shared" si="174"/>
        <v>21832.7281599999</v>
      </c>
      <c r="AC144" s="473"/>
      <c r="AD144" s="473"/>
      <c r="AE144" s="473"/>
    </row>
    <row r="145" ht="18" spans="1:31">
      <c r="A145" s="467">
        <v>123</v>
      </c>
      <c r="B145" s="11" t="s">
        <v>62</v>
      </c>
      <c r="C145" s="470">
        <v>450086.5</v>
      </c>
      <c r="D145" s="469">
        <v>12</v>
      </c>
      <c r="E145" s="470">
        <f t="shared" si="159"/>
        <v>5401038</v>
      </c>
      <c r="F145" s="470">
        <f>576.62125*12</f>
        <v>6919.455</v>
      </c>
      <c r="G145" s="474">
        <v>374483.04</v>
      </c>
      <c r="H145" s="476"/>
      <c r="I145" s="470">
        <f t="shared" si="160"/>
        <v>5019635.505</v>
      </c>
      <c r="J145" s="470">
        <v>200000</v>
      </c>
      <c r="K145" s="470">
        <v>0.2</v>
      </c>
      <c r="L145" s="470">
        <f t="shared" si="161"/>
        <v>1003927.101</v>
      </c>
      <c r="M145" s="470">
        <f t="shared" si="162"/>
        <v>1203927.101</v>
      </c>
      <c r="N145" s="470">
        <f t="shared" si="163"/>
        <v>1585329.596</v>
      </c>
      <c r="O145" s="470">
        <f t="shared" si="164"/>
        <v>3815708.404</v>
      </c>
      <c r="P145" s="470">
        <f t="shared" si="165"/>
        <v>21000</v>
      </c>
      <c r="Q145" s="470">
        <f t="shared" si="166"/>
        <v>33000</v>
      </c>
      <c r="R145" s="470">
        <f t="shared" si="167"/>
        <v>75000</v>
      </c>
      <c r="S145" s="470">
        <f t="shared" si="168"/>
        <v>95000</v>
      </c>
      <c r="T145" s="470">
        <f t="shared" si="169"/>
        <v>336000</v>
      </c>
      <c r="U145" s="470">
        <f t="shared" si="170"/>
        <v>147770.01696</v>
      </c>
      <c r="V145" s="470">
        <f t="shared" si="171"/>
        <v>707770.01696</v>
      </c>
      <c r="W145" s="471">
        <v>12</v>
      </c>
      <c r="X145" s="470">
        <f t="shared" si="172"/>
        <v>58980.8347466667</v>
      </c>
      <c r="Y145" s="476"/>
      <c r="Z145" s="470">
        <f t="shared" si="173"/>
        <v>58980.8347466667</v>
      </c>
      <c r="AA145" s="473">
        <v>35221.9540866667</v>
      </c>
      <c r="AB145" s="473">
        <f t="shared" si="174"/>
        <v>23758.88066</v>
      </c>
      <c r="AC145" s="473"/>
      <c r="AD145" s="473"/>
      <c r="AE145" s="473"/>
    </row>
    <row r="146" ht="18" spans="1:31">
      <c r="A146" s="467">
        <v>124</v>
      </c>
      <c r="B146" s="18" t="s">
        <v>319</v>
      </c>
      <c r="C146" s="470">
        <v>413512.5</v>
      </c>
      <c r="D146" s="469">
        <v>12</v>
      </c>
      <c r="E146" s="470">
        <f t="shared" si="159"/>
        <v>4962150</v>
      </c>
      <c r="F146" s="470">
        <v>0</v>
      </c>
      <c r="G146" s="474">
        <v>339372</v>
      </c>
      <c r="H146" s="476"/>
      <c r="I146" s="470">
        <f t="shared" si="160"/>
        <v>4622778</v>
      </c>
      <c r="J146" s="470">
        <v>200000</v>
      </c>
      <c r="K146" s="470">
        <v>0.2</v>
      </c>
      <c r="L146" s="470">
        <f t="shared" si="161"/>
        <v>924555.6</v>
      </c>
      <c r="M146" s="470">
        <f t="shared" si="162"/>
        <v>1124555.6</v>
      </c>
      <c r="N146" s="470">
        <f t="shared" si="163"/>
        <v>1463927.6</v>
      </c>
      <c r="O146" s="470">
        <f t="shared" si="164"/>
        <v>3498222.4</v>
      </c>
      <c r="P146" s="470">
        <f t="shared" si="165"/>
        <v>21000</v>
      </c>
      <c r="Q146" s="470">
        <f t="shared" si="166"/>
        <v>33000</v>
      </c>
      <c r="R146" s="470">
        <f t="shared" si="167"/>
        <v>75000</v>
      </c>
      <c r="S146" s="470">
        <f t="shared" si="168"/>
        <v>95000</v>
      </c>
      <c r="T146" s="470">
        <f t="shared" si="169"/>
        <v>336000</v>
      </c>
      <c r="U146" s="470">
        <f t="shared" si="170"/>
        <v>71573.376</v>
      </c>
      <c r="V146" s="470">
        <f t="shared" si="171"/>
        <v>631573.376</v>
      </c>
      <c r="W146" s="471">
        <v>12</v>
      </c>
      <c r="X146" s="470">
        <f t="shared" si="172"/>
        <v>52631.1146666667</v>
      </c>
      <c r="Y146" s="476"/>
      <c r="Z146" s="470">
        <f t="shared" si="173"/>
        <v>52631.1146666667</v>
      </c>
      <c r="AA146" s="473">
        <v>31749.1752666667</v>
      </c>
      <c r="AB146" s="473">
        <f t="shared" si="174"/>
        <v>20881.9394</v>
      </c>
      <c r="AC146" s="473"/>
      <c r="AD146" s="473"/>
      <c r="AE146" s="473"/>
    </row>
    <row r="147" ht="18" spans="1:31">
      <c r="A147" s="467">
        <v>125</v>
      </c>
      <c r="B147" s="11" t="s">
        <v>321</v>
      </c>
      <c r="C147" s="470">
        <v>368901.5</v>
      </c>
      <c r="D147" s="469">
        <v>12</v>
      </c>
      <c r="E147" s="470">
        <f t="shared" si="159"/>
        <v>4426818</v>
      </c>
      <c r="F147" s="470"/>
      <c r="G147" s="474">
        <v>296545.44</v>
      </c>
      <c r="H147" s="476"/>
      <c r="I147" s="470">
        <f t="shared" si="160"/>
        <v>4130272.56</v>
      </c>
      <c r="J147" s="470">
        <v>200000</v>
      </c>
      <c r="K147" s="470">
        <v>0.2</v>
      </c>
      <c r="L147" s="470">
        <f t="shared" si="161"/>
        <v>826054.512</v>
      </c>
      <c r="M147" s="470">
        <f t="shared" si="162"/>
        <v>1026054.512</v>
      </c>
      <c r="N147" s="470">
        <f t="shared" si="163"/>
        <v>1322599.952</v>
      </c>
      <c r="O147" s="470">
        <f t="shared" si="164"/>
        <v>3104218.048</v>
      </c>
      <c r="P147" s="470">
        <f t="shared" si="165"/>
        <v>21000</v>
      </c>
      <c r="Q147" s="470">
        <f t="shared" si="166"/>
        <v>33000</v>
      </c>
      <c r="R147" s="470">
        <f t="shared" si="167"/>
        <v>75000</v>
      </c>
      <c r="S147" s="470">
        <f t="shared" si="168"/>
        <v>95000</v>
      </c>
      <c r="T147" s="470">
        <f t="shared" si="169"/>
        <v>315885.79008</v>
      </c>
      <c r="U147" s="470"/>
      <c r="V147" s="470">
        <f t="shared" si="171"/>
        <v>539885.79008</v>
      </c>
      <c r="W147" s="471">
        <v>12</v>
      </c>
      <c r="X147" s="470">
        <f t="shared" si="172"/>
        <v>44990.4825066667</v>
      </c>
      <c r="Y147" s="476"/>
      <c r="Z147" s="470">
        <f t="shared" si="173"/>
        <v>44990.4825066667</v>
      </c>
      <c r="AA147" s="473">
        <v>27105.9865626667</v>
      </c>
      <c r="AB147" s="473">
        <f t="shared" si="174"/>
        <v>17884.495944</v>
      </c>
      <c r="AC147" s="473"/>
      <c r="AD147" s="473"/>
      <c r="AE147" s="473"/>
    </row>
    <row r="148" ht="18" spans="1:31">
      <c r="A148" s="467">
        <v>126</v>
      </c>
      <c r="B148" s="11" t="s">
        <v>322</v>
      </c>
      <c r="C148" s="470">
        <v>376837.416666667</v>
      </c>
      <c r="D148" s="469">
        <v>12</v>
      </c>
      <c r="E148" s="470">
        <f t="shared" si="159"/>
        <v>4522049</v>
      </c>
      <c r="F148" s="470">
        <f>469.4825*12</f>
        <v>5633.79</v>
      </c>
      <c r="G148" s="474">
        <v>304163.92</v>
      </c>
      <c r="H148" s="476"/>
      <c r="I148" s="470">
        <f t="shared" si="160"/>
        <v>4212251.29</v>
      </c>
      <c r="J148" s="470">
        <v>200000</v>
      </c>
      <c r="K148" s="470">
        <v>0.2</v>
      </c>
      <c r="L148" s="470">
        <f t="shared" si="161"/>
        <v>842450.258000001</v>
      </c>
      <c r="M148" s="470">
        <f t="shared" si="162"/>
        <v>1042450.258</v>
      </c>
      <c r="N148" s="470">
        <f t="shared" si="163"/>
        <v>1352247.968</v>
      </c>
      <c r="O148" s="470">
        <f t="shared" si="164"/>
        <v>3169801.032</v>
      </c>
      <c r="P148" s="470">
        <f t="shared" si="165"/>
        <v>21000</v>
      </c>
      <c r="Q148" s="470">
        <f t="shared" si="166"/>
        <v>33000</v>
      </c>
      <c r="R148" s="470">
        <f t="shared" si="167"/>
        <v>75000</v>
      </c>
      <c r="S148" s="470">
        <f t="shared" si="168"/>
        <v>95000</v>
      </c>
      <c r="T148" s="470">
        <f t="shared" si="169"/>
        <v>329658.216720001</v>
      </c>
      <c r="U148" s="470"/>
      <c r="V148" s="470">
        <f t="shared" si="171"/>
        <v>553658.216720001</v>
      </c>
      <c r="W148" s="471">
        <v>12</v>
      </c>
      <c r="X148" s="470">
        <f t="shared" si="172"/>
        <v>46138.1847266667</v>
      </c>
      <c r="Y148" s="476"/>
      <c r="Z148" s="470">
        <f t="shared" si="173"/>
        <v>46138.1847266667</v>
      </c>
      <c r="AA148" s="473">
        <v>27794.2066266667</v>
      </c>
      <c r="AB148" s="473">
        <f t="shared" si="174"/>
        <v>18343.9781</v>
      </c>
      <c r="AC148" s="473"/>
      <c r="AD148" s="473"/>
      <c r="AE148" s="473"/>
    </row>
    <row r="149" ht="18" spans="1:31">
      <c r="A149" s="467">
        <v>127</v>
      </c>
      <c r="B149" s="11" t="s">
        <v>324</v>
      </c>
      <c r="C149" s="470">
        <v>376837.416666667</v>
      </c>
      <c r="D149" s="469">
        <v>12</v>
      </c>
      <c r="E149" s="470">
        <f t="shared" si="159"/>
        <v>4522049</v>
      </c>
      <c r="F149" s="470"/>
      <c r="G149" s="474">
        <v>304163.92</v>
      </c>
      <c r="H149" s="476"/>
      <c r="I149" s="470">
        <f t="shared" si="160"/>
        <v>4217885.08</v>
      </c>
      <c r="J149" s="470">
        <v>200000</v>
      </c>
      <c r="K149" s="470">
        <v>0.2</v>
      </c>
      <c r="L149" s="470">
        <f t="shared" si="161"/>
        <v>843577.016000001</v>
      </c>
      <c r="M149" s="470">
        <f t="shared" si="162"/>
        <v>1043577.016</v>
      </c>
      <c r="N149" s="470">
        <f t="shared" si="163"/>
        <v>1347740.936</v>
      </c>
      <c r="O149" s="470">
        <f t="shared" si="164"/>
        <v>3174308.064</v>
      </c>
      <c r="P149" s="470">
        <f t="shared" si="165"/>
        <v>21000</v>
      </c>
      <c r="Q149" s="470">
        <f t="shared" si="166"/>
        <v>33000</v>
      </c>
      <c r="R149" s="470">
        <f t="shared" si="167"/>
        <v>75000</v>
      </c>
      <c r="S149" s="470">
        <f t="shared" si="168"/>
        <v>95000</v>
      </c>
      <c r="T149" s="470">
        <f t="shared" si="169"/>
        <v>330604.693440001</v>
      </c>
      <c r="U149" s="470"/>
      <c r="V149" s="470">
        <f t="shared" si="171"/>
        <v>554604.693440001</v>
      </c>
      <c r="W149" s="471">
        <v>12</v>
      </c>
      <c r="X149" s="470">
        <f t="shared" si="172"/>
        <v>46217.0577866667</v>
      </c>
      <c r="Y149" s="476"/>
      <c r="Z149" s="470">
        <f t="shared" si="173"/>
        <v>46217.0577866667</v>
      </c>
      <c r="AA149" s="473">
        <v>27873.0796866667</v>
      </c>
      <c r="AB149" s="473">
        <f t="shared" si="174"/>
        <v>18343.9781</v>
      </c>
      <c r="AC149" s="473"/>
      <c r="AD149" s="473"/>
      <c r="AE149" s="473"/>
    </row>
    <row r="150" ht="18" spans="1:31">
      <c r="A150" s="467">
        <v>128</v>
      </c>
      <c r="B150" s="11" t="s">
        <v>325</v>
      </c>
      <c r="C150" s="470">
        <v>360965.583333333</v>
      </c>
      <c r="D150" s="469">
        <v>12</v>
      </c>
      <c r="E150" s="470">
        <f t="shared" si="159"/>
        <v>4331587</v>
      </c>
      <c r="F150" s="470"/>
      <c r="G150" s="474">
        <v>288926.96</v>
      </c>
      <c r="H150" s="476"/>
      <c r="I150" s="470">
        <f t="shared" si="160"/>
        <v>4042660.04</v>
      </c>
      <c r="J150" s="470">
        <v>200000</v>
      </c>
      <c r="K150" s="470">
        <v>0.2</v>
      </c>
      <c r="L150" s="470">
        <f t="shared" si="161"/>
        <v>808532.007999999</v>
      </c>
      <c r="M150" s="470">
        <f t="shared" si="162"/>
        <v>1008532.008</v>
      </c>
      <c r="N150" s="470">
        <f t="shared" si="163"/>
        <v>1297458.968</v>
      </c>
      <c r="O150" s="470">
        <f t="shared" si="164"/>
        <v>3034128.032</v>
      </c>
      <c r="P150" s="470">
        <f t="shared" si="165"/>
        <v>21000</v>
      </c>
      <c r="Q150" s="470">
        <f t="shared" si="166"/>
        <v>33000</v>
      </c>
      <c r="R150" s="470">
        <f t="shared" si="167"/>
        <v>75000</v>
      </c>
      <c r="S150" s="470">
        <f t="shared" si="168"/>
        <v>95000</v>
      </c>
      <c r="T150" s="470">
        <f t="shared" si="169"/>
        <v>301166.886719999</v>
      </c>
      <c r="U150" s="470"/>
      <c r="V150" s="470">
        <f t="shared" si="171"/>
        <v>525166.886719999</v>
      </c>
      <c r="W150" s="471">
        <v>12</v>
      </c>
      <c r="X150" s="470">
        <f t="shared" si="172"/>
        <v>43763.9072266666</v>
      </c>
      <c r="Y150" s="476"/>
      <c r="Z150" s="470">
        <f t="shared" si="173"/>
        <v>43763.9072266666</v>
      </c>
      <c r="AA150" s="473">
        <v>27105.9865626667</v>
      </c>
      <c r="AB150" s="473">
        <f t="shared" si="174"/>
        <v>16657.9206639999</v>
      </c>
      <c r="AC150" s="473"/>
      <c r="AD150" s="473"/>
      <c r="AE150" s="473"/>
    </row>
    <row r="151" ht="36" spans="1:31">
      <c r="A151" s="467">
        <v>129</v>
      </c>
      <c r="B151" s="11" t="s">
        <v>327</v>
      </c>
      <c r="C151" s="470">
        <v>323165.333333333</v>
      </c>
      <c r="D151" s="469">
        <v>12</v>
      </c>
      <c r="E151" s="470">
        <f t="shared" si="159"/>
        <v>3877984</v>
      </c>
      <c r="F151" s="470"/>
      <c r="G151" s="474">
        <v>252638.72</v>
      </c>
      <c r="H151" s="476"/>
      <c r="I151" s="470">
        <f t="shared" si="160"/>
        <v>3625345.28</v>
      </c>
      <c r="J151" s="470">
        <v>200000</v>
      </c>
      <c r="K151" s="470">
        <v>0.2</v>
      </c>
      <c r="L151" s="470">
        <f t="shared" si="161"/>
        <v>725069.055999999</v>
      </c>
      <c r="M151" s="470">
        <f t="shared" si="162"/>
        <v>925069.055999999</v>
      </c>
      <c r="N151" s="470">
        <f t="shared" si="163"/>
        <v>1177707.776</v>
      </c>
      <c r="O151" s="470">
        <f t="shared" si="164"/>
        <v>2700276.224</v>
      </c>
      <c r="P151" s="470">
        <f t="shared" si="165"/>
        <v>21000</v>
      </c>
      <c r="Q151" s="470">
        <f t="shared" si="166"/>
        <v>33000</v>
      </c>
      <c r="R151" s="470">
        <f t="shared" si="167"/>
        <v>75000</v>
      </c>
      <c r="S151" s="470">
        <f t="shared" si="168"/>
        <v>95000</v>
      </c>
      <c r="T151" s="470">
        <f t="shared" si="169"/>
        <v>231058.007039999</v>
      </c>
      <c r="U151" s="470"/>
      <c r="V151" s="470">
        <f t="shared" si="171"/>
        <v>455058.007039999</v>
      </c>
      <c r="W151" s="471">
        <v>12</v>
      </c>
      <c r="X151" s="470">
        <f t="shared" si="172"/>
        <v>37921.5005866666</v>
      </c>
      <c r="Y151" s="476"/>
      <c r="Z151" s="470">
        <f t="shared" si="173"/>
        <v>37921.5005866666</v>
      </c>
      <c r="AA151" s="473">
        <v>22338.4826046667</v>
      </c>
      <c r="AB151" s="473">
        <f t="shared" si="174"/>
        <v>15583.0179819999</v>
      </c>
      <c r="AC151" s="473"/>
      <c r="AD151" s="473"/>
      <c r="AE151" s="473"/>
    </row>
    <row r="152" ht="18" spans="1:31">
      <c r="A152" s="467">
        <v>130</v>
      </c>
      <c r="B152" s="11" t="s">
        <v>329</v>
      </c>
      <c r="C152" s="470">
        <v>368901.5</v>
      </c>
      <c r="D152" s="469">
        <v>12</v>
      </c>
      <c r="E152" s="470">
        <f t="shared" si="159"/>
        <v>4426818</v>
      </c>
      <c r="F152" s="470"/>
      <c r="G152" s="474">
        <v>296545.44</v>
      </c>
      <c r="H152" s="476"/>
      <c r="I152" s="470">
        <f t="shared" si="160"/>
        <v>4130272.56</v>
      </c>
      <c r="J152" s="470">
        <v>200000</v>
      </c>
      <c r="K152" s="470">
        <v>0.2</v>
      </c>
      <c r="L152" s="470">
        <f t="shared" si="161"/>
        <v>826054.512</v>
      </c>
      <c r="M152" s="470">
        <f t="shared" si="162"/>
        <v>1026054.512</v>
      </c>
      <c r="N152" s="470">
        <f t="shared" si="163"/>
        <v>1322599.952</v>
      </c>
      <c r="O152" s="470">
        <f t="shared" si="164"/>
        <v>3104218.048</v>
      </c>
      <c r="P152" s="470">
        <f t="shared" si="165"/>
        <v>21000</v>
      </c>
      <c r="Q152" s="470">
        <f t="shared" si="166"/>
        <v>33000</v>
      </c>
      <c r="R152" s="470">
        <f t="shared" si="167"/>
        <v>75000</v>
      </c>
      <c r="S152" s="470">
        <f t="shared" si="168"/>
        <v>95000</v>
      </c>
      <c r="T152" s="470">
        <f t="shared" si="169"/>
        <v>315885.79008</v>
      </c>
      <c r="U152" s="470"/>
      <c r="V152" s="470">
        <f t="shared" si="171"/>
        <v>539885.79008</v>
      </c>
      <c r="W152" s="471">
        <v>12</v>
      </c>
      <c r="X152" s="470">
        <f t="shared" si="172"/>
        <v>44990.4825066667</v>
      </c>
      <c r="Y152" s="476"/>
      <c r="Z152" s="470">
        <f t="shared" si="173"/>
        <v>44990.4825066667</v>
      </c>
      <c r="AA152" s="473">
        <v>27105.9865626667</v>
      </c>
      <c r="AB152" s="473">
        <f t="shared" si="174"/>
        <v>17884.495944</v>
      </c>
      <c r="AC152" s="473"/>
      <c r="AD152" s="473"/>
      <c r="AE152" s="473"/>
    </row>
    <row r="153" ht="18" spans="1:31">
      <c r="A153" s="467">
        <v>131</v>
      </c>
      <c r="B153" s="11" t="s">
        <v>331</v>
      </c>
      <c r="C153" s="470">
        <v>330481.666666667</v>
      </c>
      <c r="D153" s="469">
        <v>12</v>
      </c>
      <c r="E153" s="470">
        <f t="shared" si="159"/>
        <v>3965780</v>
      </c>
      <c r="F153" s="470"/>
      <c r="G153" s="474">
        <v>259662.4</v>
      </c>
      <c r="H153" s="476"/>
      <c r="I153" s="470">
        <f t="shared" si="160"/>
        <v>3706117.6</v>
      </c>
      <c r="J153" s="470">
        <v>200000</v>
      </c>
      <c r="K153" s="470">
        <v>0.2</v>
      </c>
      <c r="L153" s="470">
        <f t="shared" si="161"/>
        <v>741223.520000001</v>
      </c>
      <c r="M153" s="470">
        <f t="shared" si="162"/>
        <v>941223.520000001</v>
      </c>
      <c r="N153" s="470">
        <f t="shared" si="163"/>
        <v>1200885.92</v>
      </c>
      <c r="O153" s="470">
        <f t="shared" si="164"/>
        <v>2764894.08</v>
      </c>
      <c r="P153" s="470">
        <f t="shared" si="165"/>
        <v>21000</v>
      </c>
      <c r="Q153" s="470">
        <f t="shared" si="166"/>
        <v>33000</v>
      </c>
      <c r="R153" s="470">
        <f t="shared" si="167"/>
        <v>75000</v>
      </c>
      <c r="S153" s="470">
        <f t="shared" si="168"/>
        <v>95000</v>
      </c>
      <c r="T153" s="470">
        <f t="shared" si="169"/>
        <v>244627.756800001</v>
      </c>
      <c r="U153" s="470"/>
      <c r="V153" s="470">
        <f t="shared" si="171"/>
        <v>468627.756800001</v>
      </c>
      <c r="W153" s="471">
        <v>12</v>
      </c>
      <c r="X153" s="470">
        <f t="shared" si="172"/>
        <v>39052.3130666667</v>
      </c>
      <c r="Y153" s="476"/>
      <c r="Z153" s="470">
        <f t="shared" si="173"/>
        <v>39052.3130666667</v>
      </c>
      <c r="AA153" s="473">
        <v>23036.0123466667</v>
      </c>
      <c r="AB153" s="473">
        <f t="shared" si="174"/>
        <v>16016.30072</v>
      </c>
      <c r="AC153" s="473"/>
      <c r="AD153" s="473"/>
      <c r="AE153" s="473"/>
    </row>
    <row r="154" ht="18" spans="1:31">
      <c r="A154" s="467">
        <v>132</v>
      </c>
      <c r="B154" s="11" t="s">
        <v>333</v>
      </c>
      <c r="C154" s="470">
        <v>368901.5</v>
      </c>
      <c r="D154" s="469">
        <v>12</v>
      </c>
      <c r="E154" s="470">
        <f t="shared" si="159"/>
        <v>4426818</v>
      </c>
      <c r="F154" s="470">
        <f>457.041*12</f>
        <v>5484.492</v>
      </c>
      <c r="G154" s="474">
        <v>296545.44</v>
      </c>
      <c r="H154" s="476"/>
      <c r="I154" s="470">
        <f t="shared" si="160"/>
        <v>4124788.068</v>
      </c>
      <c r="J154" s="470">
        <v>200000</v>
      </c>
      <c r="K154" s="470">
        <v>0.2</v>
      </c>
      <c r="L154" s="470">
        <f t="shared" si="161"/>
        <v>824957.6136</v>
      </c>
      <c r="M154" s="470">
        <f t="shared" si="162"/>
        <v>1024957.6136</v>
      </c>
      <c r="N154" s="470">
        <f t="shared" si="163"/>
        <v>1326987.5456</v>
      </c>
      <c r="O154" s="470">
        <f t="shared" si="164"/>
        <v>3099830.4544</v>
      </c>
      <c r="P154" s="470">
        <f t="shared" si="165"/>
        <v>21000</v>
      </c>
      <c r="Q154" s="470">
        <f t="shared" si="166"/>
        <v>33000</v>
      </c>
      <c r="R154" s="470">
        <f t="shared" si="167"/>
        <v>75000</v>
      </c>
      <c r="S154" s="470">
        <f t="shared" si="168"/>
        <v>95000</v>
      </c>
      <c r="T154" s="470">
        <f t="shared" si="169"/>
        <v>314964.395424</v>
      </c>
      <c r="U154" s="470"/>
      <c r="V154" s="470">
        <f t="shared" si="171"/>
        <v>538964.395424</v>
      </c>
      <c r="W154" s="471">
        <v>12</v>
      </c>
      <c r="X154" s="470">
        <f t="shared" si="172"/>
        <v>44913.6996186667</v>
      </c>
      <c r="Y154" s="476"/>
      <c r="Z154" s="470">
        <f t="shared" si="173"/>
        <v>44913.6996186667</v>
      </c>
      <c r="AA154" s="473">
        <v>27029.2036746667</v>
      </c>
      <c r="AB154" s="473">
        <f t="shared" si="174"/>
        <v>17884.495944</v>
      </c>
      <c r="AC154" s="473"/>
      <c r="AD154" s="473"/>
      <c r="AE154" s="473"/>
    </row>
    <row r="155" ht="18" spans="1:31">
      <c r="A155" s="467">
        <v>133</v>
      </c>
      <c r="B155" s="11" t="s">
        <v>334</v>
      </c>
      <c r="C155" s="470">
        <v>330481.666666667</v>
      </c>
      <c r="D155" s="469">
        <v>12</v>
      </c>
      <c r="E155" s="470">
        <f t="shared" si="159"/>
        <v>3965780</v>
      </c>
      <c r="F155" s="470"/>
      <c r="G155" s="474">
        <v>259662.4</v>
      </c>
      <c r="H155" s="476"/>
      <c r="I155" s="470">
        <f t="shared" si="160"/>
        <v>3706117.6</v>
      </c>
      <c r="J155" s="470">
        <v>200000</v>
      </c>
      <c r="K155" s="470">
        <v>0.2</v>
      </c>
      <c r="L155" s="470">
        <f t="shared" si="161"/>
        <v>741223.520000001</v>
      </c>
      <c r="M155" s="470">
        <f t="shared" si="162"/>
        <v>941223.520000001</v>
      </c>
      <c r="N155" s="470">
        <f t="shared" si="163"/>
        <v>1200885.92</v>
      </c>
      <c r="O155" s="470">
        <f t="shared" si="164"/>
        <v>2764894.08</v>
      </c>
      <c r="P155" s="470">
        <f t="shared" si="165"/>
        <v>21000</v>
      </c>
      <c r="Q155" s="470">
        <f t="shared" si="166"/>
        <v>33000</v>
      </c>
      <c r="R155" s="470">
        <f t="shared" si="167"/>
        <v>75000</v>
      </c>
      <c r="S155" s="470">
        <f t="shared" si="168"/>
        <v>95000</v>
      </c>
      <c r="T155" s="470">
        <f t="shared" si="169"/>
        <v>244627.756800001</v>
      </c>
      <c r="U155" s="470"/>
      <c r="V155" s="470">
        <f t="shared" si="171"/>
        <v>468627.756800001</v>
      </c>
      <c r="W155" s="471">
        <v>12</v>
      </c>
      <c r="X155" s="470">
        <f t="shared" si="172"/>
        <v>39052.3130666667</v>
      </c>
      <c r="Y155" s="476"/>
      <c r="Z155" s="470">
        <f t="shared" si="173"/>
        <v>39052.3130666667</v>
      </c>
      <c r="AA155" s="473">
        <v>22338.4826046667</v>
      </c>
      <c r="AB155" s="473">
        <f t="shared" si="174"/>
        <v>16713.830462</v>
      </c>
      <c r="AC155" s="473"/>
      <c r="AD155" s="473"/>
      <c r="AE155" s="473"/>
    </row>
    <row r="156" ht="18" spans="1:31">
      <c r="A156" s="467">
        <v>134</v>
      </c>
      <c r="B156" s="18" t="s">
        <v>336</v>
      </c>
      <c r="C156" s="470">
        <v>315849</v>
      </c>
      <c r="D156" s="469">
        <v>12</v>
      </c>
      <c r="E156" s="470">
        <f t="shared" si="159"/>
        <v>3790188</v>
      </c>
      <c r="F156" s="470"/>
      <c r="G156" s="474">
        <v>245615.04</v>
      </c>
      <c r="H156" s="476"/>
      <c r="I156" s="470">
        <f t="shared" si="160"/>
        <v>3544572.96</v>
      </c>
      <c r="J156" s="470">
        <v>200000</v>
      </c>
      <c r="K156" s="470">
        <v>0.2</v>
      </c>
      <c r="L156" s="470">
        <f t="shared" si="161"/>
        <v>708914.592</v>
      </c>
      <c r="M156" s="470">
        <f t="shared" si="162"/>
        <v>908914.592</v>
      </c>
      <c r="N156" s="470">
        <f t="shared" si="163"/>
        <v>1154529.632</v>
      </c>
      <c r="O156" s="470">
        <f t="shared" si="164"/>
        <v>2635658.368</v>
      </c>
      <c r="P156" s="470">
        <f t="shared" si="165"/>
        <v>21000</v>
      </c>
      <c r="Q156" s="470">
        <f t="shared" si="166"/>
        <v>33000</v>
      </c>
      <c r="R156" s="470">
        <f t="shared" si="167"/>
        <v>75000</v>
      </c>
      <c r="S156" s="470">
        <f t="shared" si="168"/>
        <v>95000</v>
      </c>
      <c r="T156" s="470">
        <f t="shared" si="169"/>
        <v>217488.25728</v>
      </c>
      <c r="U156" s="470"/>
      <c r="V156" s="470">
        <f t="shared" si="171"/>
        <v>441488.25728</v>
      </c>
      <c r="W156" s="471">
        <v>12</v>
      </c>
      <c r="X156" s="470">
        <f t="shared" si="172"/>
        <v>36790.6881066667</v>
      </c>
      <c r="Y156" s="476"/>
      <c r="Z156" s="470">
        <f t="shared" si="173"/>
        <v>36790.6881066667</v>
      </c>
      <c r="AA156" s="473">
        <v>21640.9528626667</v>
      </c>
      <c r="AB156" s="473">
        <f t="shared" si="174"/>
        <v>15149.735244</v>
      </c>
      <c r="AC156" s="473"/>
      <c r="AD156" s="473"/>
      <c r="AE156" s="473"/>
    </row>
    <row r="157" ht="18" spans="1:31">
      <c r="A157" s="467">
        <v>135</v>
      </c>
      <c r="B157" s="18" t="s">
        <v>343</v>
      </c>
      <c r="C157" s="470">
        <v>274459.75</v>
      </c>
      <c r="D157" s="469">
        <v>12</v>
      </c>
      <c r="E157" s="470">
        <f t="shared" si="159"/>
        <v>3293517</v>
      </c>
      <c r="F157" s="470">
        <v>0</v>
      </c>
      <c r="G157" s="474">
        <v>215481.36</v>
      </c>
      <c r="H157" s="476"/>
      <c r="I157" s="470">
        <f t="shared" si="160"/>
        <v>3078035.64</v>
      </c>
      <c r="J157" s="470">
        <v>200000</v>
      </c>
      <c r="K157" s="470">
        <v>0.2</v>
      </c>
      <c r="L157" s="470">
        <f t="shared" si="161"/>
        <v>615607.128</v>
      </c>
      <c r="M157" s="470">
        <f t="shared" si="162"/>
        <v>815607.128</v>
      </c>
      <c r="N157" s="470">
        <f t="shared" si="163"/>
        <v>1031088.488</v>
      </c>
      <c r="O157" s="470">
        <f t="shared" si="164"/>
        <v>2262428.512</v>
      </c>
      <c r="P157" s="470">
        <f t="shared" si="165"/>
        <v>21000</v>
      </c>
      <c r="Q157" s="470">
        <f t="shared" si="166"/>
        <v>33000</v>
      </c>
      <c r="R157" s="470">
        <f t="shared" si="167"/>
        <v>75000</v>
      </c>
      <c r="S157" s="470">
        <f t="shared" si="168"/>
        <v>95000</v>
      </c>
      <c r="T157" s="470">
        <f t="shared" si="169"/>
        <v>139109.98752</v>
      </c>
      <c r="U157" s="470"/>
      <c r="V157" s="470">
        <f t="shared" si="171"/>
        <v>363109.98752</v>
      </c>
      <c r="W157" s="471">
        <v>12</v>
      </c>
      <c r="X157" s="470">
        <f t="shared" si="172"/>
        <v>30259.1656266667</v>
      </c>
      <c r="Y157" s="476"/>
      <c r="Z157" s="470">
        <f t="shared" si="173"/>
        <v>30259.1656266667</v>
      </c>
      <c r="AA157" s="473">
        <v>17042.7138666667</v>
      </c>
      <c r="AB157" s="473">
        <f t="shared" si="174"/>
        <v>13216.45176</v>
      </c>
      <c r="AC157" s="473"/>
      <c r="AD157" s="473"/>
      <c r="AE157" s="473"/>
    </row>
    <row r="158" ht="18" spans="1:31">
      <c r="A158" s="467">
        <v>136</v>
      </c>
      <c r="B158" s="18" t="s">
        <v>345</v>
      </c>
      <c r="C158" s="470">
        <v>274459.75</v>
      </c>
      <c r="D158" s="469">
        <v>12</v>
      </c>
      <c r="E158" s="470">
        <f t="shared" si="159"/>
        <v>3293517</v>
      </c>
      <c r="F158" s="470">
        <v>0</v>
      </c>
      <c r="G158" s="474">
        <v>215481.36</v>
      </c>
      <c r="H158" s="476"/>
      <c r="I158" s="470">
        <f t="shared" si="160"/>
        <v>3078035.64</v>
      </c>
      <c r="J158" s="470">
        <v>200000</v>
      </c>
      <c r="K158" s="470">
        <v>0.2</v>
      </c>
      <c r="L158" s="470">
        <f t="shared" si="161"/>
        <v>615607.128</v>
      </c>
      <c r="M158" s="470">
        <f t="shared" si="162"/>
        <v>815607.128</v>
      </c>
      <c r="N158" s="470">
        <f t="shared" si="163"/>
        <v>1031088.488</v>
      </c>
      <c r="O158" s="470">
        <f t="shared" si="164"/>
        <v>2262428.512</v>
      </c>
      <c r="P158" s="470">
        <f t="shared" si="165"/>
        <v>21000</v>
      </c>
      <c r="Q158" s="470">
        <f t="shared" si="166"/>
        <v>33000</v>
      </c>
      <c r="R158" s="470">
        <f t="shared" si="167"/>
        <v>75000</v>
      </c>
      <c r="S158" s="470">
        <f t="shared" si="168"/>
        <v>95000</v>
      </c>
      <c r="T158" s="470">
        <f t="shared" si="169"/>
        <v>139109.98752</v>
      </c>
      <c r="U158" s="470"/>
      <c r="V158" s="470">
        <f t="shared" si="171"/>
        <v>363109.98752</v>
      </c>
      <c r="W158" s="471">
        <v>12</v>
      </c>
      <c r="X158" s="470">
        <f t="shared" si="172"/>
        <v>30259.1656266667</v>
      </c>
      <c r="Y158" s="476"/>
      <c r="Z158" s="470">
        <f t="shared" si="173"/>
        <v>30259.1656266667</v>
      </c>
      <c r="AA158" s="473">
        <v>17042.7138666667</v>
      </c>
      <c r="AB158" s="473">
        <f t="shared" si="174"/>
        <v>13216.45176</v>
      </c>
      <c r="AC158" s="473"/>
      <c r="AD158" s="473"/>
      <c r="AE158" s="473"/>
    </row>
    <row r="159" ht="18" spans="1:31">
      <c r="A159" s="467">
        <v>137</v>
      </c>
      <c r="B159" s="18" t="s">
        <v>347</v>
      </c>
      <c r="C159" s="470">
        <v>274459.75</v>
      </c>
      <c r="D159" s="469">
        <v>12</v>
      </c>
      <c r="E159" s="470">
        <f t="shared" si="159"/>
        <v>3293517</v>
      </c>
      <c r="F159" s="470">
        <v>0</v>
      </c>
      <c r="G159" s="474">
        <v>215481.36</v>
      </c>
      <c r="H159" s="476"/>
      <c r="I159" s="470">
        <f t="shared" si="160"/>
        <v>3078035.64</v>
      </c>
      <c r="J159" s="470">
        <v>200000</v>
      </c>
      <c r="K159" s="470">
        <v>0.2</v>
      </c>
      <c r="L159" s="470">
        <f t="shared" si="161"/>
        <v>615607.128</v>
      </c>
      <c r="M159" s="470">
        <f t="shared" si="162"/>
        <v>815607.128</v>
      </c>
      <c r="N159" s="470">
        <f t="shared" si="163"/>
        <v>1031088.488</v>
      </c>
      <c r="O159" s="470">
        <f t="shared" si="164"/>
        <v>2262428.512</v>
      </c>
      <c r="P159" s="470">
        <f t="shared" si="165"/>
        <v>21000</v>
      </c>
      <c r="Q159" s="470">
        <f t="shared" si="166"/>
        <v>33000</v>
      </c>
      <c r="R159" s="470">
        <f t="shared" si="167"/>
        <v>75000</v>
      </c>
      <c r="S159" s="470">
        <f t="shared" si="168"/>
        <v>95000</v>
      </c>
      <c r="T159" s="470">
        <f t="shared" si="169"/>
        <v>139109.98752</v>
      </c>
      <c r="U159" s="470"/>
      <c r="V159" s="470">
        <f t="shared" si="171"/>
        <v>363109.98752</v>
      </c>
      <c r="W159" s="471">
        <v>12</v>
      </c>
      <c r="X159" s="470">
        <f t="shared" si="172"/>
        <v>30259.1656266667</v>
      </c>
      <c r="Y159" s="476"/>
      <c r="Z159" s="470">
        <f t="shared" si="173"/>
        <v>30259.1656266667</v>
      </c>
      <c r="AA159" s="473">
        <v>17042.7138666667</v>
      </c>
      <c r="AB159" s="473">
        <f t="shared" si="174"/>
        <v>13216.45176</v>
      </c>
      <c r="AC159" s="473"/>
      <c r="AD159" s="473"/>
      <c r="AE159" s="473"/>
    </row>
    <row r="160" ht="18" spans="1:31">
      <c r="A160" s="467">
        <v>138</v>
      </c>
      <c r="B160" s="18" t="s">
        <v>349</v>
      </c>
      <c r="C160" s="470">
        <v>280631.916666667</v>
      </c>
      <c r="D160" s="469">
        <v>12</v>
      </c>
      <c r="E160" s="470">
        <f t="shared" si="159"/>
        <v>3367583</v>
      </c>
      <c r="F160" s="470">
        <v>0</v>
      </c>
      <c r="G160" s="474">
        <v>221406.64</v>
      </c>
      <c r="H160" s="476"/>
      <c r="I160" s="470">
        <f t="shared" si="160"/>
        <v>3146176.36</v>
      </c>
      <c r="J160" s="470">
        <v>200000</v>
      </c>
      <c r="K160" s="470">
        <v>0.2</v>
      </c>
      <c r="L160" s="470">
        <f t="shared" si="161"/>
        <v>629235.272000001</v>
      </c>
      <c r="M160" s="470">
        <f t="shared" si="162"/>
        <v>829235.272000001</v>
      </c>
      <c r="N160" s="470">
        <f t="shared" si="163"/>
        <v>1050641.912</v>
      </c>
      <c r="O160" s="470">
        <f t="shared" si="164"/>
        <v>2316941.088</v>
      </c>
      <c r="P160" s="470">
        <f t="shared" si="165"/>
        <v>21000</v>
      </c>
      <c r="Q160" s="470">
        <f t="shared" si="166"/>
        <v>33000</v>
      </c>
      <c r="R160" s="470">
        <f t="shared" si="167"/>
        <v>75000</v>
      </c>
      <c r="S160" s="470">
        <f t="shared" si="168"/>
        <v>95000</v>
      </c>
      <c r="T160" s="470">
        <f t="shared" si="169"/>
        <v>150557.628480001</v>
      </c>
      <c r="U160" s="470"/>
      <c r="V160" s="470">
        <f t="shared" si="171"/>
        <v>374557.628480001</v>
      </c>
      <c r="W160" s="471">
        <v>12</v>
      </c>
      <c r="X160" s="470">
        <f t="shared" si="172"/>
        <v>31213.1357066667</v>
      </c>
      <c r="Y160" s="476"/>
      <c r="Z160" s="470">
        <f t="shared" si="173"/>
        <v>31213.1357066667</v>
      </c>
      <c r="AA160" s="473">
        <v>17572.8850026667</v>
      </c>
      <c r="AB160" s="473">
        <f t="shared" si="174"/>
        <v>13640.250704</v>
      </c>
      <c r="AC160" s="473"/>
      <c r="AD160" s="473"/>
      <c r="AE160" s="473"/>
    </row>
    <row r="161" ht="18" spans="1:31">
      <c r="A161" s="467">
        <v>139</v>
      </c>
      <c r="B161" s="18" t="s">
        <v>350</v>
      </c>
      <c r="C161" s="470">
        <v>274459.75</v>
      </c>
      <c r="D161" s="469">
        <v>12</v>
      </c>
      <c r="E161" s="470">
        <f t="shared" si="159"/>
        <v>3293517</v>
      </c>
      <c r="F161" s="470">
        <v>0</v>
      </c>
      <c r="G161" s="474">
        <v>215481.36</v>
      </c>
      <c r="H161" s="476"/>
      <c r="I161" s="470">
        <f t="shared" si="160"/>
        <v>3078035.64</v>
      </c>
      <c r="J161" s="470">
        <v>200000</v>
      </c>
      <c r="K161" s="470">
        <v>0.2</v>
      </c>
      <c r="L161" s="470">
        <f t="shared" si="161"/>
        <v>615607.128</v>
      </c>
      <c r="M161" s="470">
        <f t="shared" si="162"/>
        <v>815607.128</v>
      </c>
      <c r="N161" s="470">
        <f t="shared" si="163"/>
        <v>1031088.488</v>
      </c>
      <c r="O161" s="470">
        <f t="shared" si="164"/>
        <v>2262428.512</v>
      </c>
      <c r="P161" s="470">
        <f t="shared" si="165"/>
        <v>21000</v>
      </c>
      <c r="Q161" s="470">
        <f t="shared" si="166"/>
        <v>33000</v>
      </c>
      <c r="R161" s="470">
        <f t="shared" si="167"/>
        <v>75000</v>
      </c>
      <c r="S161" s="470">
        <f t="shared" si="168"/>
        <v>95000</v>
      </c>
      <c r="T161" s="470">
        <f t="shared" si="169"/>
        <v>139109.98752</v>
      </c>
      <c r="U161" s="470"/>
      <c r="V161" s="470">
        <f t="shared" si="171"/>
        <v>363109.98752</v>
      </c>
      <c r="W161" s="471">
        <v>12</v>
      </c>
      <c r="X161" s="470">
        <f t="shared" si="172"/>
        <v>30259.1656266667</v>
      </c>
      <c r="Y161" s="476"/>
      <c r="Z161" s="470">
        <f t="shared" si="173"/>
        <v>30259.1656266667</v>
      </c>
      <c r="AA161" s="473">
        <v>17042.7138666667</v>
      </c>
      <c r="AB161" s="473">
        <f t="shared" si="174"/>
        <v>13216.45176</v>
      </c>
      <c r="AC161" s="473"/>
      <c r="AD161" s="473"/>
      <c r="AE161" s="473"/>
    </row>
    <row r="162" ht="18" spans="1:31">
      <c r="A162" s="467">
        <v>140</v>
      </c>
      <c r="B162" s="11" t="s">
        <v>359</v>
      </c>
      <c r="C162" s="470">
        <v>202598.166666667</v>
      </c>
      <c r="D162" s="469">
        <v>12</v>
      </c>
      <c r="E162" s="470">
        <f t="shared" si="159"/>
        <v>2431178</v>
      </c>
      <c r="F162" s="470">
        <f>263.19*12</f>
        <v>3158.28</v>
      </c>
      <c r="G162" s="474">
        <v>161854.24</v>
      </c>
      <c r="H162" s="476"/>
      <c r="I162" s="470">
        <f t="shared" si="160"/>
        <v>2266165.48</v>
      </c>
      <c r="J162" s="470">
        <v>200000</v>
      </c>
      <c r="K162" s="470">
        <v>0.2</v>
      </c>
      <c r="L162" s="470">
        <f t="shared" si="161"/>
        <v>453233.096000001</v>
      </c>
      <c r="M162" s="470">
        <f t="shared" si="162"/>
        <v>653233.096000001</v>
      </c>
      <c r="N162" s="470">
        <f t="shared" si="163"/>
        <v>818245.616000001</v>
      </c>
      <c r="O162" s="470">
        <f t="shared" si="164"/>
        <v>1612932.384</v>
      </c>
      <c r="P162" s="470">
        <f t="shared" si="165"/>
        <v>21000</v>
      </c>
      <c r="Q162" s="470">
        <f t="shared" si="166"/>
        <v>33000</v>
      </c>
      <c r="R162" s="470">
        <f t="shared" si="167"/>
        <v>75000</v>
      </c>
      <c r="S162" s="470">
        <f t="shared" si="168"/>
        <v>95000</v>
      </c>
      <c r="T162" s="470">
        <f t="shared" si="169"/>
        <v>2715.8006400007</v>
      </c>
      <c r="U162" s="470"/>
      <c r="V162" s="470">
        <f t="shared" si="171"/>
        <v>226715.800640001</v>
      </c>
      <c r="W162" s="471">
        <v>12</v>
      </c>
      <c r="X162" s="470">
        <f t="shared" si="172"/>
        <v>18892.9833866667</v>
      </c>
      <c r="Y162" s="476"/>
      <c r="Z162" s="470">
        <f t="shared" si="173"/>
        <v>18892.9833866667</v>
      </c>
      <c r="AA162" s="473">
        <v>10739.3048</v>
      </c>
      <c r="AB162" s="473">
        <f t="shared" si="174"/>
        <v>8153.67858666673</v>
      </c>
      <c r="AC162" s="473"/>
      <c r="AD162" s="473"/>
      <c r="AE162" s="473"/>
    </row>
    <row r="163" ht="18" spans="1:31">
      <c r="A163" s="467">
        <v>141</v>
      </c>
      <c r="B163" s="11" t="s">
        <v>362</v>
      </c>
      <c r="C163" s="470">
        <v>205598.166666667</v>
      </c>
      <c r="D163" s="469">
        <v>12</v>
      </c>
      <c r="E163" s="470">
        <f t="shared" si="159"/>
        <v>2467178</v>
      </c>
      <c r="F163" s="470"/>
      <c r="G163" s="474">
        <v>161854.24</v>
      </c>
      <c r="H163" s="476"/>
      <c r="I163" s="470">
        <f t="shared" si="160"/>
        <v>2305323.76</v>
      </c>
      <c r="J163" s="470">
        <v>200000</v>
      </c>
      <c r="K163" s="470">
        <v>0.2</v>
      </c>
      <c r="L163" s="470">
        <f t="shared" si="161"/>
        <v>461064.752000001</v>
      </c>
      <c r="M163" s="470">
        <f t="shared" si="162"/>
        <v>661064.752000001</v>
      </c>
      <c r="N163" s="470">
        <f t="shared" si="163"/>
        <v>822918.992000001</v>
      </c>
      <c r="O163" s="470">
        <f t="shared" si="164"/>
        <v>1644259.008</v>
      </c>
      <c r="P163" s="470">
        <f t="shared" si="165"/>
        <v>21000</v>
      </c>
      <c r="Q163" s="470">
        <f t="shared" si="166"/>
        <v>33000</v>
      </c>
      <c r="R163" s="470">
        <f t="shared" si="167"/>
        <v>75000</v>
      </c>
      <c r="S163" s="470">
        <f t="shared" si="168"/>
        <v>95000</v>
      </c>
      <c r="T163" s="470">
        <f t="shared" si="169"/>
        <v>9294.39168000067</v>
      </c>
      <c r="U163" s="470"/>
      <c r="V163" s="470">
        <f t="shared" si="171"/>
        <v>233294.391680001</v>
      </c>
      <c r="W163" s="471">
        <v>12</v>
      </c>
      <c r="X163" s="470">
        <f t="shared" si="172"/>
        <v>19441.1993066667</v>
      </c>
      <c r="Y163" s="476"/>
      <c r="Z163" s="470">
        <f t="shared" si="173"/>
        <v>19441.1993066667</v>
      </c>
      <c r="AA163" s="473">
        <v>11232.4576266667</v>
      </c>
      <c r="AB163" s="473">
        <f t="shared" si="174"/>
        <v>8208.74168000002</v>
      </c>
      <c r="AC163" s="473"/>
      <c r="AD163" s="473"/>
      <c r="AE163" s="473"/>
    </row>
    <row r="164" ht="15.75" customHeight="1" spans="1:31">
      <c r="A164" s="467">
        <v>142</v>
      </c>
      <c r="B164" s="11" t="s">
        <v>666</v>
      </c>
      <c r="C164" s="470">
        <v>202598.166666667</v>
      </c>
      <c r="D164" s="469">
        <v>12</v>
      </c>
      <c r="E164" s="470">
        <f t="shared" si="159"/>
        <v>2431178</v>
      </c>
      <c r="F164" s="470"/>
      <c r="G164" s="474">
        <v>161854.24</v>
      </c>
      <c r="H164" s="476"/>
      <c r="I164" s="470">
        <f t="shared" si="160"/>
        <v>2269323.76</v>
      </c>
      <c r="J164" s="470">
        <v>200000</v>
      </c>
      <c r="K164" s="470">
        <v>0.2</v>
      </c>
      <c r="L164" s="470">
        <f t="shared" si="161"/>
        <v>453864.752000001</v>
      </c>
      <c r="M164" s="470">
        <f t="shared" si="162"/>
        <v>653864.752000001</v>
      </c>
      <c r="N164" s="470">
        <f t="shared" si="163"/>
        <v>815718.992000001</v>
      </c>
      <c r="O164" s="470">
        <f t="shared" si="164"/>
        <v>1615459.008</v>
      </c>
      <c r="P164" s="470">
        <f t="shared" si="165"/>
        <v>21000</v>
      </c>
      <c r="Q164" s="470">
        <f t="shared" si="166"/>
        <v>33000</v>
      </c>
      <c r="R164" s="470">
        <f t="shared" si="167"/>
        <v>75000</v>
      </c>
      <c r="S164" s="470">
        <f t="shared" si="168"/>
        <v>95000</v>
      </c>
      <c r="T164" s="470">
        <f t="shared" si="169"/>
        <v>3246.39168000067</v>
      </c>
      <c r="U164" s="470"/>
      <c r="V164" s="470">
        <f t="shared" si="171"/>
        <v>227246.391680001</v>
      </c>
      <c r="W164" s="471">
        <v>12</v>
      </c>
      <c r="X164" s="470">
        <f t="shared" si="172"/>
        <v>18937.1993066667</v>
      </c>
      <c r="Y164" s="476"/>
      <c r="Z164" s="470">
        <f t="shared" si="173"/>
        <v>18937.1993066667</v>
      </c>
      <c r="AA164" s="473">
        <v>10776.4576266667</v>
      </c>
      <c r="AB164" s="473">
        <f t="shared" si="174"/>
        <v>8160.74168000002</v>
      </c>
      <c r="AC164" s="473"/>
      <c r="AD164" s="473"/>
      <c r="AE164" s="473"/>
    </row>
    <row r="165" ht="18" spans="1:31">
      <c r="A165" s="467">
        <v>143</v>
      </c>
      <c r="B165" s="11" t="s">
        <v>363</v>
      </c>
      <c r="C165" s="470">
        <v>202598.166666667</v>
      </c>
      <c r="D165" s="469">
        <v>12</v>
      </c>
      <c r="E165" s="470">
        <f t="shared" si="159"/>
        <v>2431178</v>
      </c>
      <c r="F165" s="470">
        <f>263.19*12</f>
        <v>3158.28</v>
      </c>
      <c r="G165" s="474">
        <v>161854.24</v>
      </c>
      <c r="H165" s="476"/>
      <c r="I165" s="470">
        <f t="shared" si="160"/>
        <v>2266165.48</v>
      </c>
      <c r="J165" s="470">
        <v>200000</v>
      </c>
      <c r="K165" s="470">
        <v>0.2</v>
      </c>
      <c r="L165" s="470">
        <f t="shared" si="161"/>
        <v>453233.096000001</v>
      </c>
      <c r="M165" s="470">
        <f t="shared" si="162"/>
        <v>653233.096000001</v>
      </c>
      <c r="N165" s="470">
        <f t="shared" si="163"/>
        <v>818245.616000001</v>
      </c>
      <c r="O165" s="470">
        <f t="shared" si="164"/>
        <v>1612932.384</v>
      </c>
      <c r="P165" s="470">
        <f t="shared" si="165"/>
        <v>21000</v>
      </c>
      <c r="Q165" s="470">
        <f t="shared" si="166"/>
        <v>33000</v>
      </c>
      <c r="R165" s="470">
        <f t="shared" si="167"/>
        <v>75000</v>
      </c>
      <c r="S165" s="470">
        <f t="shared" si="168"/>
        <v>95000</v>
      </c>
      <c r="T165" s="470">
        <f t="shared" si="169"/>
        <v>2715.8006400007</v>
      </c>
      <c r="U165" s="470"/>
      <c r="V165" s="470">
        <f t="shared" si="171"/>
        <v>226715.800640001</v>
      </c>
      <c r="W165" s="471">
        <v>12</v>
      </c>
      <c r="X165" s="470">
        <f t="shared" si="172"/>
        <v>18892.9833866667</v>
      </c>
      <c r="Y165" s="476"/>
      <c r="Z165" s="470">
        <f t="shared" si="173"/>
        <v>18892.9833866667</v>
      </c>
      <c r="AA165" s="473">
        <v>10739.3048</v>
      </c>
      <c r="AB165" s="473">
        <f t="shared" si="174"/>
        <v>8153.67858666673</v>
      </c>
      <c r="AC165" s="473"/>
      <c r="AD165" s="473"/>
      <c r="AE165" s="473"/>
    </row>
    <row r="166" ht="18" spans="1:31">
      <c r="A166" s="467">
        <v>144</v>
      </c>
      <c r="B166" s="11" t="s">
        <v>364</v>
      </c>
      <c r="C166" s="470">
        <v>202598.166666667</v>
      </c>
      <c r="D166" s="469">
        <v>12</v>
      </c>
      <c r="E166" s="470">
        <f t="shared" si="159"/>
        <v>2431178</v>
      </c>
      <c r="F166" s="470"/>
      <c r="G166" s="474">
        <v>161854.24</v>
      </c>
      <c r="H166" s="476"/>
      <c r="I166" s="470">
        <f t="shared" si="160"/>
        <v>2269323.76</v>
      </c>
      <c r="J166" s="470">
        <v>200000</v>
      </c>
      <c r="K166" s="470">
        <v>0.2</v>
      </c>
      <c r="L166" s="470">
        <f t="shared" si="161"/>
        <v>453864.752000001</v>
      </c>
      <c r="M166" s="470">
        <f t="shared" si="162"/>
        <v>653864.752000001</v>
      </c>
      <c r="N166" s="470">
        <f t="shared" si="163"/>
        <v>815718.992000001</v>
      </c>
      <c r="O166" s="470">
        <f t="shared" si="164"/>
        <v>1615459.008</v>
      </c>
      <c r="P166" s="470">
        <f t="shared" si="165"/>
        <v>21000</v>
      </c>
      <c r="Q166" s="470">
        <f t="shared" si="166"/>
        <v>33000</v>
      </c>
      <c r="R166" s="470">
        <f t="shared" si="167"/>
        <v>75000</v>
      </c>
      <c r="S166" s="470">
        <f t="shared" si="168"/>
        <v>95000</v>
      </c>
      <c r="T166" s="470">
        <f t="shared" si="169"/>
        <v>3246.39168000067</v>
      </c>
      <c r="U166" s="470"/>
      <c r="V166" s="470">
        <f t="shared" si="171"/>
        <v>227246.391680001</v>
      </c>
      <c r="W166" s="471">
        <v>12</v>
      </c>
      <c r="X166" s="470">
        <f t="shared" si="172"/>
        <v>18937.1993066667</v>
      </c>
      <c r="Y166" s="476"/>
      <c r="Z166" s="470">
        <f t="shared" si="173"/>
        <v>18937.1993066667</v>
      </c>
      <c r="AA166" s="473">
        <v>10776.4576266667</v>
      </c>
      <c r="AB166" s="473">
        <f t="shared" si="174"/>
        <v>8160.74168000002</v>
      </c>
      <c r="AC166" s="473"/>
      <c r="AD166" s="473"/>
      <c r="AE166" s="473"/>
    </row>
    <row r="167" ht="18" spans="1:31">
      <c r="A167" s="467">
        <v>145</v>
      </c>
      <c r="B167" s="11" t="s">
        <v>365</v>
      </c>
      <c r="C167" s="470">
        <v>200336.833333333</v>
      </c>
      <c r="D167" s="469">
        <v>12</v>
      </c>
      <c r="E167" s="470">
        <f t="shared" si="159"/>
        <v>2404042</v>
      </c>
      <c r="F167" s="470"/>
      <c r="G167" s="474">
        <v>156803.36</v>
      </c>
      <c r="H167" s="476"/>
      <c r="I167" s="470">
        <f t="shared" si="160"/>
        <v>2247238.64</v>
      </c>
      <c r="J167" s="470">
        <v>200000</v>
      </c>
      <c r="K167" s="470">
        <v>0.2</v>
      </c>
      <c r="L167" s="470">
        <f t="shared" si="161"/>
        <v>449447.727999999</v>
      </c>
      <c r="M167" s="470">
        <f t="shared" si="162"/>
        <v>649447.727999999</v>
      </c>
      <c r="N167" s="470">
        <f t="shared" si="163"/>
        <v>806251.087999999</v>
      </c>
      <c r="O167" s="470">
        <f t="shared" si="164"/>
        <v>1597790.912</v>
      </c>
      <c r="P167" s="470">
        <f t="shared" si="165"/>
        <v>21000</v>
      </c>
      <c r="Q167" s="470">
        <f t="shared" si="166"/>
        <v>33000</v>
      </c>
      <c r="R167" s="470">
        <f t="shared" si="167"/>
        <v>75000</v>
      </c>
      <c r="S167" s="470">
        <f t="shared" si="168"/>
        <v>94580.2732799994</v>
      </c>
      <c r="T167" s="470">
        <f t="shared" si="169"/>
        <v>0</v>
      </c>
      <c r="U167" s="470"/>
      <c r="V167" s="470">
        <f t="shared" si="171"/>
        <v>223580.273279999</v>
      </c>
      <c r="W167" s="471">
        <v>12</v>
      </c>
      <c r="X167" s="470">
        <f t="shared" si="172"/>
        <v>18631.6894399999</v>
      </c>
      <c r="Y167" s="476"/>
      <c r="Z167" s="470">
        <f t="shared" si="173"/>
        <v>18631.6894399999</v>
      </c>
      <c r="AA167" s="473">
        <v>11232.4576266667</v>
      </c>
      <c r="AB167" s="473">
        <f t="shared" si="174"/>
        <v>7399.23181333325</v>
      </c>
      <c r="AC167" s="473"/>
      <c r="AD167" s="473"/>
      <c r="AE167" s="473"/>
    </row>
    <row r="168" ht="18" spans="1:31">
      <c r="A168" s="467">
        <v>146</v>
      </c>
      <c r="B168" s="11" t="s">
        <v>367</v>
      </c>
      <c r="C168" s="470">
        <v>197336.833333333</v>
      </c>
      <c r="D168" s="469">
        <v>12</v>
      </c>
      <c r="E168" s="470">
        <f t="shared" si="159"/>
        <v>2368042</v>
      </c>
      <c r="F168" s="470"/>
      <c r="G168" s="474">
        <v>156803.36</v>
      </c>
      <c r="H168" s="476"/>
      <c r="I168" s="470">
        <f t="shared" si="160"/>
        <v>2211238.64</v>
      </c>
      <c r="J168" s="470">
        <v>200000</v>
      </c>
      <c r="K168" s="470">
        <v>0.2</v>
      </c>
      <c r="L168" s="470">
        <f t="shared" si="161"/>
        <v>442247.727999999</v>
      </c>
      <c r="M168" s="470">
        <f t="shared" si="162"/>
        <v>642247.727999999</v>
      </c>
      <c r="N168" s="470">
        <f t="shared" si="163"/>
        <v>799051.087999999</v>
      </c>
      <c r="O168" s="470">
        <f t="shared" si="164"/>
        <v>1568990.912</v>
      </c>
      <c r="P168" s="470">
        <f t="shared" si="165"/>
        <v>21000</v>
      </c>
      <c r="Q168" s="470">
        <f t="shared" si="166"/>
        <v>33000</v>
      </c>
      <c r="R168" s="470">
        <f t="shared" si="167"/>
        <v>75000</v>
      </c>
      <c r="S168" s="470">
        <f t="shared" si="168"/>
        <v>89108.2732799994</v>
      </c>
      <c r="T168" s="470">
        <f t="shared" si="169"/>
        <v>0</v>
      </c>
      <c r="U168" s="470"/>
      <c r="V168" s="470">
        <f t="shared" si="171"/>
        <v>218108.273279999</v>
      </c>
      <c r="W168" s="471">
        <v>12</v>
      </c>
      <c r="X168" s="470">
        <f t="shared" si="172"/>
        <v>18175.6894399999</v>
      </c>
      <c r="Y168" s="476"/>
      <c r="Z168" s="470">
        <f t="shared" si="173"/>
        <v>18175.6894399999</v>
      </c>
      <c r="AA168" s="473">
        <v>10776.4576266667</v>
      </c>
      <c r="AB168" s="473">
        <f t="shared" si="174"/>
        <v>7399.23181333325</v>
      </c>
      <c r="AC168" s="473"/>
      <c r="AD168" s="473"/>
      <c r="AE168" s="473"/>
    </row>
    <row r="169" ht="18" spans="1:31">
      <c r="A169" s="467">
        <v>147</v>
      </c>
      <c r="B169" s="14" t="s">
        <v>368</v>
      </c>
      <c r="C169" s="470">
        <v>200336.833333333</v>
      </c>
      <c r="D169" s="469">
        <v>12</v>
      </c>
      <c r="E169" s="470">
        <f t="shared" si="159"/>
        <v>2404042</v>
      </c>
      <c r="F169" s="470"/>
      <c r="G169" s="474">
        <v>156803.36</v>
      </c>
      <c r="H169" s="476"/>
      <c r="I169" s="470">
        <f t="shared" si="160"/>
        <v>2247238.64</v>
      </c>
      <c r="J169" s="470">
        <v>200000</v>
      </c>
      <c r="K169" s="470">
        <v>0.2</v>
      </c>
      <c r="L169" s="470">
        <f t="shared" si="161"/>
        <v>449447.727999999</v>
      </c>
      <c r="M169" s="470">
        <f t="shared" si="162"/>
        <v>649447.727999999</v>
      </c>
      <c r="N169" s="470">
        <f t="shared" si="163"/>
        <v>806251.087999999</v>
      </c>
      <c r="O169" s="470">
        <f t="shared" si="164"/>
        <v>1597790.912</v>
      </c>
      <c r="P169" s="470">
        <f t="shared" si="165"/>
        <v>21000</v>
      </c>
      <c r="Q169" s="470">
        <f t="shared" si="166"/>
        <v>33000</v>
      </c>
      <c r="R169" s="470">
        <f t="shared" si="167"/>
        <v>75000</v>
      </c>
      <c r="S169" s="470">
        <f t="shared" si="168"/>
        <v>94580.2732799994</v>
      </c>
      <c r="T169" s="470">
        <f t="shared" si="169"/>
        <v>0</v>
      </c>
      <c r="U169" s="470"/>
      <c r="V169" s="470">
        <f t="shared" si="171"/>
        <v>223580.273279999</v>
      </c>
      <c r="W169" s="471">
        <v>12</v>
      </c>
      <c r="X169" s="470">
        <f t="shared" si="172"/>
        <v>18631.6894399999</v>
      </c>
      <c r="Y169" s="476"/>
      <c r="Z169" s="470">
        <f t="shared" si="173"/>
        <v>18631.6894399999</v>
      </c>
      <c r="AA169" s="473">
        <v>11232.4576266667</v>
      </c>
      <c r="AB169" s="473">
        <f t="shared" si="174"/>
        <v>7399.23181333325</v>
      </c>
      <c r="AC169" s="473"/>
      <c r="AD169" s="473"/>
      <c r="AE169" s="473"/>
    </row>
    <row r="170" ht="18" spans="1:31">
      <c r="A170" s="467">
        <v>148</v>
      </c>
      <c r="B170" s="11" t="s">
        <v>369</v>
      </c>
      <c r="C170" s="470">
        <v>197336.833333333</v>
      </c>
      <c r="D170" s="469">
        <v>12</v>
      </c>
      <c r="E170" s="470">
        <f t="shared" si="159"/>
        <v>2368042</v>
      </c>
      <c r="F170" s="470"/>
      <c r="G170" s="474">
        <v>156803.36</v>
      </c>
      <c r="H170" s="476"/>
      <c r="I170" s="470">
        <f t="shared" si="160"/>
        <v>2211238.64</v>
      </c>
      <c r="J170" s="470">
        <v>200000</v>
      </c>
      <c r="K170" s="470">
        <v>0.2</v>
      </c>
      <c r="L170" s="470">
        <f t="shared" si="161"/>
        <v>442247.727999999</v>
      </c>
      <c r="M170" s="470">
        <f t="shared" si="162"/>
        <v>642247.727999999</v>
      </c>
      <c r="N170" s="470">
        <f t="shared" si="163"/>
        <v>799051.087999999</v>
      </c>
      <c r="O170" s="470">
        <f t="shared" si="164"/>
        <v>1568990.912</v>
      </c>
      <c r="P170" s="470">
        <f t="shared" si="165"/>
        <v>21000</v>
      </c>
      <c r="Q170" s="470">
        <f t="shared" si="166"/>
        <v>33000</v>
      </c>
      <c r="R170" s="470">
        <f t="shared" si="167"/>
        <v>75000</v>
      </c>
      <c r="S170" s="470">
        <f t="shared" si="168"/>
        <v>89108.2732799994</v>
      </c>
      <c r="T170" s="470">
        <f t="shared" si="169"/>
        <v>0</v>
      </c>
      <c r="U170" s="470"/>
      <c r="V170" s="470">
        <f t="shared" si="171"/>
        <v>218108.273279999</v>
      </c>
      <c r="W170" s="471">
        <v>12</v>
      </c>
      <c r="X170" s="470">
        <f t="shared" si="172"/>
        <v>18175.6894399999</v>
      </c>
      <c r="Y170" s="476"/>
      <c r="Z170" s="470">
        <f t="shared" si="173"/>
        <v>18175.6894399999</v>
      </c>
      <c r="AA170" s="473">
        <v>10776.4576266667</v>
      </c>
      <c r="AB170" s="473">
        <f t="shared" si="174"/>
        <v>7399.23181333325</v>
      </c>
      <c r="AC170" s="473"/>
      <c r="AD170" s="473"/>
      <c r="AE170" s="473"/>
    </row>
    <row r="171" ht="18" spans="1:31">
      <c r="A171" s="467">
        <v>149</v>
      </c>
      <c r="B171" s="18" t="s">
        <v>370</v>
      </c>
      <c r="C171" s="470">
        <v>197336.833333333</v>
      </c>
      <c r="D171" s="469">
        <v>12</v>
      </c>
      <c r="E171" s="470">
        <f t="shared" si="159"/>
        <v>2368042</v>
      </c>
      <c r="F171" s="470"/>
      <c r="G171" s="474">
        <v>156803.36</v>
      </c>
      <c r="H171" s="476"/>
      <c r="I171" s="470">
        <f t="shared" si="160"/>
        <v>2211238.64</v>
      </c>
      <c r="J171" s="470">
        <v>200000</v>
      </c>
      <c r="K171" s="470">
        <v>0.2</v>
      </c>
      <c r="L171" s="470">
        <f t="shared" si="161"/>
        <v>442247.727999999</v>
      </c>
      <c r="M171" s="470">
        <f t="shared" si="162"/>
        <v>642247.727999999</v>
      </c>
      <c r="N171" s="470">
        <f t="shared" si="163"/>
        <v>799051.087999999</v>
      </c>
      <c r="O171" s="470">
        <f t="shared" si="164"/>
        <v>1568990.912</v>
      </c>
      <c r="P171" s="470">
        <f t="shared" si="165"/>
        <v>21000</v>
      </c>
      <c r="Q171" s="470">
        <f t="shared" si="166"/>
        <v>33000</v>
      </c>
      <c r="R171" s="470">
        <f t="shared" si="167"/>
        <v>75000</v>
      </c>
      <c r="S171" s="470">
        <f t="shared" si="168"/>
        <v>89108.2732799994</v>
      </c>
      <c r="T171" s="470">
        <f t="shared" si="169"/>
        <v>0</v>
      </c>
      <c r="U171" s="470"/>
      <c r="V171" s="470">
        <f t="shared" si="171"/>
        <v>218108.273279999</v>
      </c>
      <c r="W171" s="471">
        <v>12</v>
      </c>
      <c r="X171" s="470">
        <f t="shared" si="172"/>
        <v>18175.6894399999</v>
      </c>
      <c r="Y171" s="476"/>
      <c r="Z171" s="470">
        <f t="shared" si="173"/>
        <v>18175.6894399999</v>
      </c>
      <c r="AA171" s="473">
        <v>10776.4576266667</v>
      </c>
      <c r="AB171" s="473">
        <f t="shared" si="174"/>
        <v>7399.23181333325</v>
      </c>
      <c r="AC171" s="473"/>
      <c r="AD171" s="473"/>
      <c r="AE171" s="473"/>
    </row>
    <row r="172" ht="18" spans="1:31">
      <c r="A172" s="467">
        <v>150</v>
      </c>
      <c r="B172" s="18" t="s">
        <v>357</v>
      </c>
      <c r="C172" s="470">
        <v>200336.833333333</v>
      </c>
      <c r="D172" s="469">
        <v>12</v>
      </c>
      <c r="E172" s="470">
        <f t="shared" si="159"/>
        <v>2404042</v>
      </c>
      <c r="F172" s="470"/>
      <c r="G172" s="474">
        <v>156803.36</v>
      </c>
      <c r="H172" s="476"/>
      <c r="I172" s="470">
        <f t="shared" si="160"/>
        <v>2247238.64</v>
      </c>
      <c r="J172" s="470">
        <v>200000</v>
      </c>
      <c r="K172" s="470">
        <v>0.2</v>
      </c>
      <c r="L172" s="470">
        <f t="shared" si="161"/>
        <v>449447.727999999</v>
      </c>
      <c r="M172" s="470">
        <f t="shared" si="162"/>
        <v>649447.727999999</v>
      </c>
      <c r="N172" s="470">
        <f t="shared" si="163"/>
        <v>806251.087999999</v>
      </c>
      <c r="O172" s="470">
        <f t="shared" si="164"/>
        <v>1597790.912</v>
      </c>
      <c r="P172" s="470">
        <f t="shared" si="165"/>
        <v>21000</v>
      </c>
      <c r="Q172" s="470">
        <f t="shared" si="166"/>
        <v>33000</v>
      </c>
      <c r="R172" s="470">
        <f t="shared" si="167"/>
        <v>75000</v>
      </c>
      <c r="S172" s="470">
        <f t="shared" si="168"/>
        <v>94580.2732799994</v>
      </c>
      <c r="T172" s="470">
        <f t="shared" si="169"/>
        <v>0</v>
      </c>
      <c r="U172" s="470"/>
      <c r="V172" s="470">
        <f t="shared" si="171"/>
        <v>223580.273279999</v>
      </c>
      <c r="W172" s="471">
        <v>12</v>
      </c>
      <c r="X172" s="470">
        <f t="shared" si="172"/>
        <v>18631.6894399999</v>
      </c>
      <c r="Y172" s="476"/>
      <c r="Z172" s="470">
        <f t="shared" si="173"/>
        <v>18631.6894399999</v>
      </c>
      <c r="AA172" s="473">
        <v>11232.4576266667</v>
      </c>
      <c r="AB172" s="473">
        <f t="shared" si="174"/>
        <v>7399.23181333325</v>
      </c>
      <c r="AC172" s="473"/>
      <c r="AD172" s="473"/>
      <c r="AE172" s="473"/>
    </row>
    <row r="173" ht="36" spans="1:31">
      <c r="A173" s="467">
        <v>151</v>
      </c>
      <c r="B173" s="11" t="s">
        <v>371</v>
      </c>
      <c r="C173" s="470">
        <v>189814.166666667</v>
      </c>
      <c r="D173" s="469">
        <v>12</v>
      </c>
      <c r="E173" s="470">
        <f t="shared" si="159"/>
        <v>2277770</v>
      </c>
      <c r="F173" s="470"/>
      <c r="G173" s="474">
        <v>146701.6</v>
      </c>
      <c r="H173" s="476"/>
      <c r="I173" s="470">
        <f t="shared" si="160"/>
        <v>2131068.4</v>
      </c>
      <c r="J173" s="470">
        <v>200000</v>
      </c>
      <c r="K173" s="470">
        <v>0.2</v>
      </c>
      <c r="L173" s="470">
        <f t="shared" si="161"/>
        <v>426213.680000001</v>
      </c>
      <c r="M173" s="470">
        <f t="shared" si="162"/>
        <v>626213.680000001</v>
      </c>
      <c r="N173" s="470">
        <f t="shared" si="163"/>
        <v>772915.280000001</v>
      </c>
      <c r="O173" s="470">
        <f t="shared" si="164"/>
        <v>1504854.72</v>
      </c>
      <c r="P173" s="470">
        <f t="shared" si="165"/>
        <v>21000</v>
      </c>
      <c r="Q173" s="470">
        <f t="shared" si="166"/>
        <v>33000</v>
      </c>
      <c r="R173" s="470">
        <f t="shared" si="167"/>
        <v>75000</v>
      </c>
      <c r="S173" s="470">
        <f t="shared" si="168"/>
        <v>76922.3968000007</v>
      </c>
      <c r="T173" s="470">
        <f t="shared" si="169"/>
        <v>0</v>
      </c>
      <c r="U173" s="470"/>
      <c r="V173" s="470">
        <f t="shared" si="171"/>
        <v>205922.396800001</v>
      </c>
      <c r="W173" s="471">
        <v>12</v>
      </c>
      <c r="X173" s="470">
        <f t="shared" si="172"/>
        <v>17160.1997333334</v>
      </c>
      <c r="Y173" s="476"/>
      <c r="Z173" s="470">
        <f t="shared" si="173"/>
        <v>17160.1997333334</v>
      </c>
      <c r="AA173" s="473">
        <v>9152.59979</v>
      </c>
      <c r="AB173" s="473">
        <f t="shared" si="174"/>
        <v>8007.59994333339</v>
      </c>
      <c r="AC173" s="473"/>
      <c r="AD173" s="473"/>
      <c r="AE173" s="473"/>
    </row>
    <row r="174" ht="18" spans="1:31">
      <c r="A174" s="467">
        <v>152</v>
      </c>
      <c r="B174" s="11" t="s">
        <v>373</v>
      </c>
      <c r="C174" s="470">
        <v>189814.166666667</v>
      </c>
      <c r="D174" s="469">
        <v>12</v>
      </c>
      <c r="E174" s="470">
        <f t="shared" si="159"/>
        <v>2277770</v>
      </c>
      <c r="F174" s="470"/>
      <c r="G174" s="474">
        <v>146701.6</v>
      </c>
      <c r="H174" s="476"/>
      <c r="I174" s="470">
        <f t="shared" si="160"/>
        <v>2131068.4</v>
      </c>
      <c r="J174" s="470">
        <v>200000</v>
      </c>
      <c r="K174" s="470">
        <v>0.2</v>
      </c>
      <c r="L174" s="470">
        <f t="shared" si="161"/>
        <v>426213.680000001</v>
      </c>
      <c r="M174" s="470">
        <f t="shared" si="162"/>
        <v>626213.680000001</v>
      </c>
      <c r="N174" s="470">
        <f t="shared" si="163"/>
        <v>772915.280000001</v>
      </c>
      <c r="O174" s="470">
        <f t="shared" si="164"/>
        <v>1504854.72</v>
      </c>
      <c r="P174" s="470">
        <f t="shared" si="165"/>
        <v>21000</v>
      </c>
      <c r="Q174" s="470">
        <f t="shared" si="166"/>
        <v>33000</v>
      </c>
      <c r="R174" s="470">
        <f t="shared" si="167"/>
        <v>75000</v>
      </c>
      <c r="S174" s="470">
        <f t="shared" si="168"/>
        <v>76922.3968000007</v>
      </c>
      <c r="T174" s="470">
        <f t="shared" si="169"/>
        <v>0</v>
      </c>
      <c r="U174" s="470"/>
      <c r="V174" s="470">
        <f t="shared" si="171"/>
        <v>205922.396800001</v>
      </c>
      <c r="W174" s="471">
        <v>12</v>
      </c>
      <c r="X174" s="470">
        <f t="shared" si="172"/>
        <v>17160.1997333334</v>
      </c>
      <c r="Y174" s="476"/>
      <c r="Z174" s="470">
        <f t="shared" si="173"/>
        <v>17160.1997333334</v>
      </c>
      <c r="AA174" s="473">
        <v>9152.59979</v>
      </c>
      <c r="AB174" s="473">
        <f t="shared" si="174"/>
        <v>8007.59994333339</v>
      </c>
      <c r="AC174" s="473"/>
      <c r="AD174" s="473"/>
      <c r="AE174" s="473"/>
    </row>
    <row r="175" ht="18" spans="1:31">
      <c r="A175" s="467">
        <v>153</v>
      </c>
      <c r="B175" s="18" t="s">
        <v>374</v>
      </c>
      <c r="C175" s="470">
        <v>195075.5</v>
      </c>
      <c r="D175" s="469">
        <v>12</v>
      </c>
      <c r="E175" s="470">
        <f t="shared" si="159"/>
        <v>2340906</v>
      </c>
      <c r="F175" s="470"/>
      <c r="G175" s="474">
        <v>151752.48</v>
      </c>
      <c r="H175" s="476"/>
      <c r="I175" s="470">
        <f t="shared" si="160"/>
        <v>2189153.52</v>
      </c>
      <c r="J175" s="470">
        <v>200000</v>
      </c>
      <c r="K175" s="470">
        <v>0.2</v>
      </c>
      <c r="L175" s="470">
        <f t="shared" si="161"/>
        <v>437830.704</v>
      </c>
      <c r="M175" s="470">
        <f t="shared" si="162"/>
        <v>637830.704</v>
      </c>
      <c r="N175" s="470">
        <f t="shared" si="163"/>
        <v>789583.184</v>
      </c>
      <c r="O175" s="470">
        <f t="shared" si="164"/>
        <v>1551322.816</v>
      </c>
      <c r="P175" s="470">
        <f t="shared" si="165"/>
        <v>21000</v>
      </c>
      <c r="Q175" s="470">
        <f t="shared" si="166"/>
        <v>33000</v>
      </c>
      <c r="R175" s="470">
        <f t="shared" si="167"/>
        <v>75000</v>
      </c>
      <c r="S175" s="470">
        <f t="shared" si="168"/>
        <v>85751.33504</v>
      </c>
      <c r="T175" s="470">
        <f t="shared" si="169"/>
        <v>0</v>
      </c>
      <c r="U175" s="470"/>
      <c r="V175" s="470">
        <f t="shared" si="171"/>
        <v>214751.33504</v>
      </c>
      <c r="W175" s="471">
        <v>12</v>
      </c>
      <c r="X175" s="470">
        <f t="shared" si="172"/>
        <v>17895.9445866667</v>
      </c>
      <c r="Y175" s="476"/>
      <c r="Z175" s="470">
        <f t="shared" si="173"/>
        <v>17895.9445866667</v>
      </c>
      <c r="AA175" s="473">
        <v>9504.20414</v>
      </c>
      <c r="AB175" s="473">
        <f t="shared" si="174"/>
        <v>8391.74044666667</v>
      </c>
      <c r="AC175" s="473"/>
      <c r="AD175" s="473"/>
      <c r="AE175" s="473"/>
    </row>
    <row r="176" ht="29.25" customHeight="1" spans="1:31">
      <c r="A176" s="467">
        <v>154</v>
      </c>
      <c r="B176" s="11" t="s">
        <v>376</v>
      </c>
      <c r="C176" s="470">
        <v>121145.75</v>
      </c>
      <c r="D176" s="469">
        <v>12</v>
      </c>
      <c r="E176" s="470">
        <f t="shared" si="159"/>
        <v>1453749</v>
      </c>
      <c r="F176" s="470"/>
      <c r="G176" s="474">
        <v>90379.92</v>
      </c>
      <c r="H176" s="476"/>
      <c r="I176" s="470">
        <f t="shared" si="160"/>
        <v>1363369.08</v>
      </c>
      <c r="J176" s="470">
        <v>200000</v>
      </c>
      <c r="K176" s="470">
        <v>0.2</v>
      </c>
      <c r="L176" s="470">
        <f t="shared" si="161"/>
        <v>272673.816</v>
      </c>
      <c r="M176" s="470">
        <f t="shared" si="162"/>
        <v>472673.816</v>
      </c>
      <c r="N176" s="470">
        <f t="shared" si="163"/>
        <v>563053.736</v>
      </c>
      <c r="O176" s="470">
        <f t="shared" si="164"/>
        <v>890695.264</v>
      </c>
      <c r="P176" s="470">
        <f t="shared" si="165"/>
        <v>21000</v>
      </c>
      <c r="Q176" s="470">
        <f t="shared" si="166"/>
        <v>33000</v>
      </c>
      <c r="R176" s="470">
        <f t="shared" si="167"/>
        <v>43604.2896</v>
      </c>
      <c r="S176" s="470">
        <f t="shared" si="168"/>
        <v>0</v>
      </c>
      <c r="T176" s="470">
        <f t="shared" si="169"/>
        <v>0</v>
      </c>
      <c r="U176" s="470"/>
      <c r="V176" s="470">
        <f t="shared" si="171"/>
        <v>97604.2896</v>
      </c>
      <c r="W176" s="471">
        <v>12</v>
      </c>
      <c r="X176" s="470">
        <f t="shared" si="172"/>
        <v>8133.6908</v>
      </c>
      <c r="Y176" s="476"/>
      <c r="Z176" s="470">
        <f t="shared" si="173"/>
        <v>8133.6908</v>
      </c>
      <c r="AA176" s="473">
        <v>4365.33075466667</v>
      </c>
      <c r="AB176" s="473">
        <f t="shared" si="174"/>
        <v>3768.36004533333</v>
      </c>
      <c r="AC176" s="473"/>
      <c r="AD176" s="473"/>
      <c r="AE176" s="473"/>
    </row>
    <row r="177" ht="18" spans="1:31">
      <c r="A177" s="467">
        <v>155</v>
      </c>
      <c r="B177" s="11" t="s">
        <v>378</v>
      </c>
      <c r="C177" s="470">
        <v>118598</v>
      </c>
      <c r="D177" s="469">
        <v>12</v>
      </c>
      <c r="E177" s="470">
        <f t="shared" si="159"/>
        <v>1423176</v>
      </c>
      <c r="F177" s="470"/>
      <c r="G177" s="474">
        <v>87934.08</v>
      </c>
      <c r="H177" s="476"/>
      <c r="I177" s="470">
        <f t="shared" si="160"/>
        <v>1335241.92</v>
      </c>
      <c r="J177" s="470">
        <v>200000</v>
      </c>
      <c r="K177" s="470">
        <v>0.2</v>
      </c>
      <c r="L177" s="470">
        <f t="shared" si="161"/>
        <v>267048.384</v>
      </c>
      <c r="M177" s="470">
        <f t="shared" si="162"/>
        <v>467048.384</v>
      </c>
      <c r="N177" s="470">
        <f t="shared" si="163"/>
        <v>554982.464</v>
      </c>
      <c r="O177" s="470">
        <f t="shared" si="164"/>
        <v>868193.536</v>
      </c>
      <c r="P177" s="470">
        <f t="shared" si="165"/>
        <v>21000</v>
      </c>
      <c r="Q177" s="470">
        <f t="shared" si="166"/>
        <v>33000</v>
      </c>
      <c r="R177" s="470">
        <f t="shared" si="167"/>
        <v>40229.0304</v>
      </c>
      <c r="S177" s="470">
        <f t="shared" si="168"/>
        <v>0</v>
      </c>
      <c r="T177" s="470">
        <f t="shared" si="169"/>
        <v>0</v>
      </c>
      <c r="U177" s="470"/>
      <c r="V177" s="470">
        <f t="shared" si="171"/>
        <v>94229.0304</v>
      </c>
      <c r="W177" s="471">
        <v>12</v>
      </c>
      <c r="X177" s="470">
        <f t="shared" si="172"/>
        <v>7852.4192</v>
      </c>
      <c r="Y177" s="476"/>
      <c r="Z177" s="470">
        <f t="shared" si="173"/>
        <v>7852.4192</v>
      </c>
      <c r="AA177" s="473">
        <v>4227.52372266667</v>
      </c>
      <c r="AB177" s="473">
        <f t="shared" si="174"/>
        <v>3624.89547733333</v>
      </c>
      <c r="AC177" s="473"/>
      <c r="AD177" s="473"/>
      <c r="AE177" s="473"/>
    </row>
    <row r="178" ht="18" spans="1:31">
      <c r="A178" s="467">
        <v>156</v>
      </c>
      <c r="B178" s="11" t="s">
        <v>379</v>
      </c>
      <c r="C178" s="470">
        <v>115598</v>
      </c>
      <c r="D178" s="469">
        <v>12</v>
      </c>
      <c r="E178" s="470">
        <f t="shared" si="159"/>
        <v>1387176</v>
      </c>
      <c r="F178" s="470"/>
      <c r="G178" s="474">
        <v>87934.08</v>
      </c>
      <c r="H178" s="476"/>
      <c r="I178" s="470">
        <f t="shared" si="160"/>
        <v>1299241.92</v>
      </c>
      <c r="J178" s="470">
        <v>200000</v>
      </c>
      <c r="K178" s="470">
        <v>0.2</v>
      </c>
      <c r="L178" s="470">
        <f t="shared" si="161"/>
        <v>259848.384</v>
      </c>
      <c r="M178" s="470">
        <f t="shared" si="162"/>
        <v>459848.384</v>
      </c>
      <c r="N178" s="470">
        <f t="shared" si="163"/>
        <v>547782.464</v>
      </c>
      <c r="O178" s="470">
        <f t="shared" si="164"/>
        <v>839393.536</v>
      </c>
      <c r="P178" s="470">
        <f t="shared" si="165"/>
        <v>21000</v>
      </c>
      <c r="Q178" s="470">
        <f t="shared" si="166"/>
        <v>33000</v>
      </c>
      <c r="R178" s="470">
        <f t="shared" si="167"/>
        <v>35909.0304</v>
      </c>
      <c r="S178" s="470">
        <f t="shared" si="168"/>
        <v>0</v>
      </c>
      <c r="T178" s="470">
        <f t="shared" si="169"/>
        <v>0</v>
      </c>
      <c r="U178" s="470"/>
      <c r="V178" s="470">
        <f t="shared" si="171"/>
        <v>89909.0304</v>
      </c>
      <c r="W178" s="471">
        <v>12</v>
      </c>
      <c r="X178" s="470">
        <f t="shared" si="172"/>
        <v>7492.4192</v>
      </c>
      <c r="Y178" s="476"/>
      <c r="Z178" s="470">
        <f t="shared" si="173"/>
        <v>7492.4192</v>
      </c>
      <c r="AA178" s="473">
        <v>3963.52372266667</v>
      </c>
      <c r="AB178" s="473">
        <f t="shared" si="174"/>
        <v>3528.89547733333</v>
      </c>
      <c r="AC178" s="473"/>
      <c r="AD178" s="473"/>
      <c r="AE178" s="473"/>
    </row>
    <row r="179" ht="18" spans="1:31">
      <c r="A179" s="467">
        <v>157</v>
      </c>
      <c r="B179" s="11" t="s">
        <v>380</v>
      </c>
      <c r="C179" s="470">
        <v>118598</v>
      </c>
      <c r="D179" s="469">
        <v>12</v>
      </c>
      <c r="E179" s="470">
        <f t="shared" si="159"/>
        <v>1423176</v>
      </c>
      <c r="F179" s="470"/>
      <c r="G179" s="474">
        <v>87934.08</v>
      </c>
      <c r="H179" s="476"/>
      <c r="I179" s="470">
        <f t="shared" si="160"/>
        <v>1335241.92</v>
      </c>
      <c r="J179" s="470">
        <v>200000</v>
      </c>
      <c r="K179" s="470">
        <v>0.2</v>
      </c>
      <c r="L179" s="470">
        <f t="shared" si="161"/>
        <v>267048.384</v>
      </c>
      <c r="M179" s="470">
        <f t="shared" si="162"/>
        <v>467048.384</v>
      </c>
      <c r="N179" s="470">
        <f t="shared" si="163"/>
        <v>554982.464</v>
      </c>
      <c r="O179" s="470">
        <f t="shared" si="164"/>
        <v>868193.536</v>
      </c>
      <c r="P179" s="470">
        <f t="shared" si="165"/>
        <v>21000</v>
      </c>
      <c r="Q179" s="470">
        <f t="shared" si="166"/>
        <v>33000</v>
      </c>
      <c r="R179" s="470">
        <f t="shared" si="167"/>
        <v>40229.0304</v>
      </c>
      <c r="S179" s="470">
        <f t="shared" si="168"/>
        <v>0</v>
      </c>
      <c r="T179" s="470">
        <f t="shared" si="169"/>
        <v>0</v>
      </c>
      <c r="U179" s="470"/>
      <c r="V179" s="470">
        <f t="shared" si="171"/>
        <v>94229.0304</v>
      </c>
      <c r="W179" s="471">
        <v>12</v>
      </c>
      <c r="X179" s="470">
        <f t="shared" si="172"/>
        <v>7852.4192</v>
      </c>
      <c r="Y179" s="476"/>
      <c r="Z179" s="470">
        <f t="shared" si="173"/>
        <v>7852.4192</v>
      </c>
      <c r="AA179" s="473">
        <v>4227.52372266667</v>
      </c>
      <c r="AB179" s="473">
        <f t="shared" si="174"/>
        <v>3624.89547733333</v>
      </c>
      <c r="AC179" s="473"/>
      <c r="AD179" s="473"/>
      <c r="AE179" s="473"/>
    </row>
    <row r="180" ht="18" spans="1:31">
      <c r="A180" s="459"/>
      <c r="B180" s="11" t="s">
        <v>381</v>
      </c>
      <c r="C180" s="483">
        <v>115598</v>
      </c>
      <c r="D180" s="469">
        <v>12</v>
      </c>
      <c r="E180" s="470">
        <f t="shared" si="159"/>
        <v>1387176</v>
      </c>
      <c r="F180" s="470"/>
      <c r="G180" s="474">
        <v>87934.08</v>
      </c>
      <c r="H180" s="476"/>
      <c r="I180" s="470">
        <f t="shared" si="160"/>
        <v>1299241.92</v>
      </c>
      <c r="J180" s="470">
        <v>200000</v>
      </c>
      <c r="K180" s="470">
        <v>0.2</v>
      </c>
      <c r="L180" s="470">
        <f t="shared" si="161"/>
        <v>259848.384</v>
      </c>
      <c r="M180" s="470">
        <f t="shared" si="162"/>
        <v>459848.384</v>
      </c>
      <c r="N180" s="470">
        <f t="shared" si="163"/>
        <v>547782.464</v>
      </c>
      <c r="O180" s="470">
        <f t="shared" si="164"/>
        <v>839393.536</v>
      </c>
      <c r="P180" s="470">
        <f t="shared" si="165"/>
        <v>21000</v>
      </c>
      <c r="Q180" s="470">
        <f t="shared" si="166"/>
        <v>33000</v>
      </c>
      <c r="R180" s="470">
        <f t="shared" si="167"/>
        <v>35909.0304</v>
      </c>
      <c r="S180" s="470">
        <f t="shared" si="168"/>
        <v>0</v>
      </c>
      <c r="T180" s="470">
        <f t="shared" si="169"/>
        <v>0</v>
      </c>
      <c r="U180" s="470"/>
      <c r="V180" s="470">
        <f t="shared" si="171"/>
        <v>89909.0304</v>
      </c>
      <c r="W180" s="471">
        <v>12</v>
      </c>
      <c r="X180" s="470">
        <f t="shared" si="172"/>
        <v>7492.4192</v>
      </c>
      <c r="Y180" s="476"/>
      <c r="Z180" s="470">
        <f t="shared" si="173"/>
        <v>7492.4192</v>
      </c>
      <c r="AA180" s="473">
        <v>3963.52372266667</v>
      </c>
      <c r="AB180" s="473">
        <f t="shared" si="174"/>
        <v>3528.89547733333</v>
      </c>
      <c r="AC180" s="473"/>
      <c r="AD180" s="473"/>
      <c r="AE180" s="473"/>
    </row>
    <row r="181" ht="18" spans="1:31">
      <c r="A181" s="459"/>
      <c r="B181" s="11" t="s">
        <v>382</v>
      </c>
      <c r="C181" s="483">
        <v>118598</v>
      </c>
      <c r="D181" s="469">
        <v>12</v>
      </c>
      <c r="E181" s="470">
        <f t="shared" si="159"/>
        <v>1423176</v>
      </c>
      <c r="F181" s="470"/>
      <c r="G181" s="474">
        <v>87934.08</v>
      </c>
      <c r="H181" s="476"/>
      <c r="I181" s="470">
        <f t="shared" si="160"/>
        <v>1335241.92</v>
      </c>
      <c r="J181" s="470">
        <v>200000</v>
      </c>
      <c r="K181" s="470">
        <v>0.2</v>
      </c>
      <c r="L181" s="470">
        <f t="shared" si="161"/>
        <v>267048.384</v>
      </c>
      <c r="M181" s="470">
        <f t="shared" si="162"/>
        <v>467048.384</v>
      </c>
      <c r="N181" s="470">
        <f t="shared" si="163"/>
        <v>554982.464</v>
      </c>
      <c r="O181" s="470">
        <f t="shared" si="164"/>
        <v>868193.536</v>
      </c>
      <c r="P181" s="470">
        <f t="shared" si="165"/>
        <v>21000</v>
      </c>
      <c r="Q181" s="470">
        <f t="shared" si="166"/>
        <v>33000</v>
      </c>
      <c r="R181" s="470">
        <f t="shared" si="167"/>
        <v>40229.0304</v>
      </c>
      <c r="S181" s="470">
        <f t="shared" si="168"/>
        <v>0</v>
      </c>
      <c r="T181" s="470">
        <f t="shared" si="169"/>
        <v>0</v>
      </c>
      <c r="U181" s="470"/>
      <c r="V181" s="470">
        <f t="shared" si="171"/>
        <v>94229.0304</v>
      </c>
      <c r="W181" s="471">
        <v>12</v>
      </c>
      <c r="X181" s="470">
        <f t="shared" si="172"/>
        <v>7852.4192</v>
      </c>
      <c r="Y181" s="476"/>
      <c r="Z181" s="470">
        <f t="shared" si="173"/>
        <v>7852.4192</v>
      </c>
      <c r="AA181" s="473">
        <v>4227.52372266667</v>
      </c>
      <c r="AB181" s="473">
        <f t="shared" si="174"/>
        <v>3624.89547733333</v>
      </c>
    </row>
    <row r="182" ht="18" spans="1:31">
      <c r="B182" s="18" t="s">
        <v>383</v>
      </c>
      <c r="C182" s="473">
        <v>115598</v>
      </c>
      <c r="D182" s="469">
        <v>12</v>
      </c>
      <c r="E182" s="470">
        <f t="shared" si="159"/>
        <v>1387176</v>
      </c>
      <c r="G182" s="474">
        <v>87934.08</v>
      </c>
      <c r="I182" s="470">
        <f t="shared" si="160"/>
        <v>1299241.92</v>
      </c>
      <c r="J182" s="470">
        <v>200000</v>
      </c>
      <c r="K182" s="470">
        <v>0.2</v>
      </c>
      <c r="L182" s="470">
        <f t="shared" si="161"/>
        <v>259848.384</v>
      </c>
      <c r="M182" s="470">
        <f t="shared" si="162"/>
        <v>459848.384</v>
      </c>
      <c r="N182" s="470">
        <f t="shared" si="163"/>
        <v>547782.464</v>
      </c>
      <c r="O182" s="470">
        <f t="shared" si="164"/>
        <v>839393.536</v>
      </c>
      <c r="P182" s="470">
        <f t="shared" si="165"/>
        <v>21000</v>
      </c>
      <c r="Q182" s="470">
        <f t="shared" si="166"/>
        <v>33000</v>
      </c>
      <c r="R182" s="470">
        <f t="shared" si="167"/>
        <v>35909.0304</v>
      </c>
      <c r="S182" s="470">
        <f t="shared" si="168"/>
        <v>0</v>
      </c>
      <c r="T182" s="470">
        <f t="shared" si="169"/>
        <v>0</v>
      </c>
      <c r="U182" s="470"/>
      <c r="V182" s="470">
        <f t="shared" si="171"/>
        <v>89909.0304</v>
      </c>
      <c r="W182" s="471">
        <v>12</v>
      </c>
      <c r="X182" s="470">
        <f t="shared" si="172"/>
        <v>7492.4192</v>
      </c>
      <c r="Z182" s="470">
        <f t="shared" si="173"/>
        <v>7492.4192</v>
      </c>
      <c r="AA182" s="473">
        <v>3963.52372266667</v>
      </c>
      <c r="AB182" s="473">
        <f t="shared" si="174"/>
        <v>3528.89547733333</v>
      </c>
    </row>
    <row r="183" ht="18" spans="1:31">
      <c r="B183" s="18" t="s">
        <v>385</v>
      </c>
      <c r="C183" s="473">
        <v>118598</v>
      </c>
      <c r="D183" s="469">
        <v>12</v>
      </c>
      <c r="E183" s="470">
        <f t="shared" si="159"/>
        <v>1423176</v>
      </c>
      <c r="G183" s="474">
        <v>87934.08</v>
      </c>
      <c r="I183" s="470">
        <f t="shared" si="160"/>
        <v>1335241.92</v>
      </c>
      <c r="J183" s="470">
        <v>200000</v>
      </c>
      <c r="K183" s="470">
        <v>0.2</v>
      </c>
      <c r="L183" s="470">
        <f t="shared" si="161"/>
        <v>267048.384</v>
      </c>
      <c r="M183" s="470">
        <f t="shared" si="162"/>
        <v>467048.384</v>
      </c>
      <c r="N183" s="470">
        <f t="shared" si="163"/>
        <v>554982.464</v>
      </c>
      <c r="O183" s="470">
        <f t="shared" si="164"/>
        <v>868193.536</v>
      </c>
      <c r="P183" s="470">
        <f t="shared" si="165"/>
        <v>21000</v>
      </c>
      <c r="Q183" s="470">
        <f t="shared" si="166"/>
        <v>33000</v>
      </c>
      <c r="R183" s="470">
        <f t="shared" si="167"/>
        <v>40229.0304</v>
      </c>
      <c r="S183" s="470">
        <f t="shared" si="168"/>
        <v>0</v>
      </c>
      <c r="T183" s="470">
        <f t="shared" si="169"/>
        <v>0</v>
      </c>
      <c r="U183" s="470"/>
      <c r="V183" s="470">
        <f t="shared" si="171"/>
        <v>94229.0304</v>
      </c>
      <c r="W183" s="471">
        <v>12</v>
      </c>
      <c r="X183" s="470">
        <f t="shared" si="172"/>
        <v>7852.4192</v>
      </c>
      <c r="Z183" s="470">
        <f t="shared" si="173"/>
        <v>7852.4192</v>
      </c>
      <c r="AA183" s="473">
        <v>4227.52372266667</v>
      </c>
      <c r="AB183" s="473">
        <f t="shared" si="174"/>
        <v>3624.89547733333</v>
      </c>
    </row>
    <row r="184" ht="18" spans="1:31">
      <c r="B184" s="11" t="s">
        <v>668</v>
      </c>
      <c r="C184" s="473">
        <v>118598</v>
      </c>
      <c r="D184" s="469">
        <v>12</v>
      </c>
      <c r="E184" s="470">
        <f t="shared" si="159"/>
        <v>1423176</v>
      </c>
      <c r="G184" s="474">
        <v>87934.08</v>
      </c>
      <c r="I184" s="470">
        <f t="shared" si="160"/>
        <v>1335241.92</v>
      </c>
      <c r="J184" s="470">
        <v>200000</v>
      </c>
      <c r="K184" s="470">
        <v>0.2</v>
      </c>
      <c r="L184" s="470">
        <f t="shared" si="161"/>
        <v>267048.384</v>
      </c>
      <c r="M184" s="470">
        <f t="shared" si="162"/>
        <v>467048.384</v>
      </c>
      <c r="N184" s="470">
        <f t="shared" si="163"/>
        <v>554982.464</v>
      </c>
      <c r="O184" s="470">
        <f t="shared" si="164"/>
        <v>868193.536</v>
      </c>
      <c r="P184" s="470">
        <f t="shared" si="165"/>
        <v>21000</v>
      </c>
      <c r="Q184" s="470">
        <f t="shared" si="166"/>
        <v>33000</v>
      </c>
      <c r="R184" s="470">
        <f t="shared" si="167"/>
        <v>40229.0304</v>
      </c>
      <c r="S184" s="470">
        <f t="shared" si="168"/>
        <v>0</v>
      </c>
      <c r="T184" s="470">
        <f t="shared" si="169"/>
        <v>0</v>
      </c>
      <c r="V184" s="470">
        <f t="shared" si="171"/>
        <v>94229.0304</v>
      </c>
      <c r="W184" s="471">
        <v>12</v>
      </c>
      <c r="X184" s="470">
        <f t="shared" si="172"/>
        <v>7852.4192</v>
      </c>
      <c r="Z184" s="470">
        <f t="shared" si="173"/>
        <v>7852.4192</v>
      </c>
      <c r="AA184" s="473">
        <v>4089.71669066667</v>
      </c>
      <c r="AB184" s="473">
        <f t="shared" si="174"/>
        <v>3762.70250933333</v>
      </c>
    </row>
    <row r="185" ht="18" spans="1:31">
      <c r="B185" s="11" t="s">
        <v>386</v>
      </c>
      <c r="C185" s="473">
        <v>118598</v>
      </c>
      <c r="D185" s="469">
        <v>12</v>
      </c>
      <c r="E185" s="470">
        <f t="shared" si="159"/>
        <v>1423176</v>
      </c>
      <c r="G185" s="474">
        <v>87934.08</v>
      </c>
      <c r="I185" s="470">
        <f t="shared" si="160"/>
        <v>1335241.92</v>
      </c>
      <c r="J185" s="470">
        <v>200000</v>
      </c>
      <c r="K185" s="470">
        <v>0.2</v>
      </c>
      <c r="L185" s="470">
        <f t="shared" si="161"/>
        <v>267048.384</v>
      </c>
      <c r="M185" s="470">
        <f t="shared" si="162"/>
        <v>467048.384</v>
      </c>
      <c r="N185" s="470">
        <f t="shared" si="163"/>
        <v>554982.464</v>
      </c>
      <c r="O185" s="470">
        <f t="shared" si="164"/>
        <v>868193.536</v>
      </c>
      <c r="P185" s="470">
        <f t="shared" si="165"/>
        <v>21000</v>
      </c>
      <c r="Q185" s="470">
        <f t="shared" si="166"/>
        <v>33000</v>
      </c>
      <c r="R185" s="470">
        <f t="shared" si="167"/>
        <v>40229.0304</v>
      </c>
      <c r="S185" s="470">
        <f t="shared" si="168"/>
        <v>0</v>
      </c>
      <c r="T185" s="470">
        <f t="shared" si="169"/>
        <v>0</v>
      </c>
      <c r="V185" s="470">
        <f t="shared" si="171"/>
        <v>94229.0304</v>
      </c>
      <c r="W185" s="471">
        <v>12</v>
      </c>
      <c r="X185" s="470">
        <f t="shared" si="172"/>
        <v>7852.4192</v>
      </c>
      <c r="Z185" s="470">
        <f t="shared" si="173"/>
        <v>7852.4192</v>
      </c>
      <c r="AA185" s="473">
        <v>4227.52372266667</v>
      </c>
      <c r="AB185" s="473">
        <f t="shared" si="174"/>
        <v>3624.89547733333</v>
      </c>
    </row>
    <row r="186" ht="18" spans="1:31">
      <c r="B186" s="18" t="s">
        <v>358</v>
      </c>
      <c r="C186" s="473">
        <v>116050.25</v>
      </c>
      <c r="D186" s="469">
        <v>12</v>
      </c>
      <c r="E186" s="470">
        <f t="shared" si="159"/>
        <v>1392603</v>
      </c>
      <c r="G186" s="474">
        <v>85488.24</v>
      </c>
      <c r="I186" s="470">
        <f t="shared" si="160"/>
        <v>1307114.76</v>
      </c>
      <c r="J186" s="470">
        <v>200000</v>
      </c>
      <c r="K186" s="470">
        <v>0.2</v>
      </c>
      <c r="L186" s="470">
        <f t="shared" si="161"/>
        <v>261422.952</v>
      </c>
      <c r="M186" s="470">
        <f t="shared" si="162"/>
        <v>461422.952</v>
      </c>
      <c r="N186" s="470">
        <f t="shared" si="163"/>
        <v>546911.192</v>
      </c>
      <c r="O186" s="470">
        <f t="shared" si="164"/>
        <v>845691.808</v>
      </c>
      <c r="P186" s="470">
        <f t="shared" si="165"/>
        <v>21000</v>
      </c>
      <c r="Q186" s="470">
        <f t="shared" si="166"/>
        <v>33000</v>
      </c>
      <c r="R186" s="470">
        <f t="shared" si="167"/>
        <v>36853.7712</v>
      </c>
      <c r="S186" s="470">
        <f t="shared" si="168"/>
        <v>0</v>
      </c>
      <c r="T186" s="470">
        <f t="shared" si="169"/>
        <v>0</v>
      </c>
      <c r="V186" s="470">
        <f t="shared" si="171"/>
        <v>90853.7712</v>
      </c>
      <c r="W186" s="471">
        <v>12</v>
      </c>
      <c r="X186" s="470">
        <f t="shared" si="172"/>
        <v>7571.1476</v>
      </c>
      <c r="Z186" s="470">
        <f t="shared" si="173"/>
        <v>7571.1476</v>
      </c>
      <c r="AA186" s="473">
        <v>4089.71669066667</v>
      </c>
      <c r="AB186" s="473">
        <f t="shared" si="174"/>
        <v>3481.43090933333</v>
      </c>
    </row>
    <row r="187" ht="18" spans="1:31">
      <c r="B187" s="18" t="s">
        <v>392</v>
      </c>
      <c r="C187" s="473">
        <v>102926.916666667</v>
      </c>
      <c r="D187" s="469">
        <v>12</v>
      </c>
      <c r="E187" s="470">
        <f t="shared" si="159"/>
        <v>1235123</v>
      </c>
      <c r="G187" s="474">
        <v>77689.84</v>
      </c>
      <c r="I187" s="470">
        <f t="shared" si="160"/>
        <v>1157433.16</v>
      </c>
      <c r="J187" s="470">
        <v>200000</v>
      </c>
      <c r="K187" s="470">
        <v>0.2</v>
      </c>
      <c r="L187" s="470">
        <f t="shared" si="161"/>
        <v>231486.632000001</v>
      </c>
      <c r="M187" s="470">
        <f t="shared" si="162"/>
        <v>431486.632000001</v>
      </c>
      <c r="N187" s="470">
        <f t="shared" si="163"/>
        <v>509176.472000001</v>
      </c>
      <c r="O187" s="470">
        <f t="shared" si="164"/>
        <v>725946.528000003</v>
      </c>
      <c r="P187" s="470">
        <f t="shared" si="165"/>
        <v>21000</v>
      </c>
      <c r="Q187" s="470">
        <f t="shared" si="166"/>
        <v>33000</v>
      </c>
      <c r="R187" s="470">
        <f t="shared" si="167"/>
        <v>18891.9792000005</v>
      </c>
      <c r="S187" s="470">
        <f t="shared" si="168"/>
        <v>0</v>
      </c>
      <c r="T187" s="470">
        <f t="shared" si="169"/>
        <v>0</v>
      </c>
      <c r="V187" s="470">
        <f t="shared" si="171"/>
        <v>72891.9792000005</v>
      </c>
      <c r="W187" s="471">
        <v>12</v>
      </c>
      <c r="X187" s="470">
        <f t="shared" si="172"/>
        <v>6074.33160000004</v>
      </c>
      <c r="Z187" s="470">
        <f t="shared" si="173"/>
        <v>6074.33160000004</v>
      </c>
      <c r="AA187" s="473">
        <v>3210.15440486667</v>
      </c>
      <c r="AB187" s="473">
        <f t="shared" si="174"/>
        <v>2864.17719513337</v>
      </c>
    </row>
    <row r="188" ht="18" spans="1:31">
      <c r="B188" s="18" t="s">
        <v>396</v>
      </c>
      <c r="C188" s="473">
        <v>95540.75</v>
      </c>
      <c r="D188" s="469">
        <v>12</v>
      </c>
      <c r="E188" s="470">
        <f t="shared" si="159"/>
        <v>1146489</v>
      </c>
      <c r="G188" s="474">
        <f t="shared" ref="G188:G190" si="176">6123.26*12</f>
        <v>73479.12</v>
      </c>
      <c r="I188" s="470">
        <f t="shared" si="160"/>
        <v>1073009.88</v>
      </c>
      <c r="J188" s="470">
        <v>200000</v>
      </c>
      <c r="K188" s="470">
        <v>0.2</v>
      </c>
      <c r="L188" s="470">
        <f t="shared" si="161"/>
        <v>214601.976</v>
      </c>
      <c r="M188" s="470">
        <f t="shared" si="162"/>
        <v>414601.976</v>
      </c>
      <c r="N188" s="470">
        <f t="shared" si="163"/>
        <v>488081.096</v>
      </c>
      <c r="O188" s="470">
        <f t="shared" si="164"/>
        <v>658407.904</v>
      </c>
      <c r="P188" s="470">
        <f t="shared" si="165"/>
        <v>21000</v>
      </c>
      <c r="Q188" s="470">
        <f t="shared" si="166"/>
        <v>33000</v>
      </c>
      <c r="R188" s="470">
        <f t="shared" si="167"/>
        <v>8761.1856</v>
      </c>
      <c r="S188" s="470">
        <f t="shared" si="168"/>
        <v>0</v>
      </c>
      <c r="T188" s="470">
        <f t="shared" si="169"/>
        <v>0</v>
      </c>
      <c r="V188" s="470">
        <f t="shared" si="171"/>
        <v>62761.1856</v>
      </c>
      <c r="W188" s="471">
        <v>12</v>
      </c>
      <c r="X188" s="470">
        <f t="shared" si="172"/>
        <v>5230.0988</v>
      </c>
      <c r="Z188" s="470">
        <f t="shared" si="173"/>
        <v>5230.0988</v>
      </c>
      <c r="AA188" s="473">
        <v>2708.91364066667</v>
      </c>
      <c r="AB188" s="473">
        <f t="shared" si="174"/>
        <v>2521.18515933333</v>
      </c>
    </row>
    <row r="189" ht="18" spans="1:31">
      <c r="B189" s="18" t="s">
        <v>399</v>
      </c>
      <c r="C189" s="473">
        <v>95540.75</v>
      </c>
      <c r="D189" s="469">
        <v>12</v>
      </c>
      <c r="E189" s="470">
        <f t="shared" si="159"/>
        <v>1146489</v>
      </c>
      <c r="G189" s="474">
        <f t="shared" si="176"/>
        <v>73479.12</v>
      </c>
      <c r="I189" s="470">
        <f t="shared" si="160"/>
        <v>1073009.88</v>
      </c>
      <c r="J189" s="470">
        <v>200000</v>
      </c>
      <c r="K189" s="470">
        <v>0.2</v>
      </c>
      <c r="L189" s="470">
        <f t="shared" si="161"/>
        <v>214601.976</v>
      </c>
      <c r="M189" s="470">
        <f t="shared" si="162"/>
        <v>414601.976</v>
      </c>
      <c r="N189" s="470">
        <f t="shared" si="163"/>
        <v>488081.096</v>
      </c>
      <c r="O189" s="470">
        <f t="shared" si="164"/>
        <v>658407.904</v>
      </c>
      <c r="P189" s="470">
        <f t="shared" si="165"/>
        <v>21000</v>
      </c>
      <c r="Q189" s="470">
        <f t="shared" si="166"/>
        <v>33000</v>
      </c>
      <c r="R189" s="470">
        <f t="shared" si="167"/>
        <v>8761.1856</v>
      </c>
      <c r="S189" s="470">
        <f t="shared" si="168"/>
        <v>0</v>
      </c>
      <c r="T189" s="470">
        <f t="shared" si="169"/>
        <v>0</v>
      </c>
      <c r="V189" s="470">
        <f t="shared" si="171"/>
        <v>62761.1856</v>
      </c>
      <c r="W189" s="471">
        <v>12</v>
      </c>
      <c r="X189" s="470">
        <f t="shared" si="172"/>
        <v>5230.0988</v>
      </c>
      <c r="Z189" s="470">
        <f t="shared" si="173"/>
        <v>5230.0988</v>
      </c>
      <c r="AA189" s="473">
        <v>2708.91364066667</v>
      </c>
      <c r="AB189" s="473">
        <f t="shared" si="174"/>
        <v>2521.18515933333</v>
      </c>
    </row>
    <row r="190" ht="18" spans="1:31">
      <c r="B190" s="18" t="s">
        <v>400</v>
      </c>
      <c r="C190" s="473">
        <v>95540.75</v>
      </c>
      <c r="D190" s="469">
        <v>12</v>
      </c>
      <c r="E190" s="470">
        <f t="shared" si="159"/>
        <v>1146489</v>
      </c>
      <c r="G190" s="474">
        <f t="shared" si="176"/>
        <v>73479.12</v>
      </c>
      <c r="I190" s="470">
        <f t="shared" si="160"/>
        <v>1073009.88</v>
      </c>
      <c r="J190" s="470">
        <v>200000</v>
      </c>
      <c r="K190" s="470">
        <v>0.2</v>
      </c>
      <c r="L190" s="470">
        <f t="shared" si="161"/>
        <v>214601.976</v>
      </c>
      <c r="M190" s="470">
        <f t="shared" si="162"/>
        <v>414601.976</v>
      </c>
      <c r="N190" s="470">
        <f t="shared" si="163"/>
        <v>488081.096</v>
      </c>
      <c r="O190" s="470">
        <f t="shared" si="164"/>
        <v>658407.904</v>
      </c>
      <c r="P190" s="470">
        <f t="shared" si="165"/>
        <v>21000</v>
      </c>
      <c r="Q190" s="470">
        <f t="shared" si="166"/>
        <v>33000</v>
      </c>
      <c r="R190" s="470">
        <f t="shared" si="167"/>
        <v>8761.1856</v>
      </c>
      <c r="S190" s="470">
        <f t="shared" si="168"/>
        <v>0</v>
      </c>
      <c r="T190" s="470">
        <f t="shared" si="169"/>
        <v>0</v>
      </c>
      <c r="V190" s="470">
        <f t="shared" si="171"/>
        <v>62761.1856</v>
      </c>
      <c r="W190" s="471">
        <v>12</v>
      </c>
      <c r="X190" s="470">
        <f t="shared" si="172"/>
        <v>5230.0988</v>
      </c>
      <c r="Z190" s="470">
        <f t="shared" si="173"/>
        <v>5230.0988</v>
      </c>
      <c r="AA190" s="473">
        <v>2708.91364066667</v>
      </c>
      <c r="AB190" s="473">
        <f t="shared" si="174"/>
        <v>2521.18515933333</v>
      </c>
    </row>
    <row r="191" ht="18" spans="1:31">
      <c r="B191" s="484" t="s">
        <v>401</v>
      </c>
      <c r="C191" s="473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70">
        <v>200000</v>
      </c>
      <c r="K191" s="470">
        <v>0.2</v>
      </c>
      <c r="L191" s="470">
        <f t="shared" si="161"/>
        <v>243797.52</v>
      </c>
      <c r="M191" s="470">
        <f t="shared" si="162"/>
        <v>443797.52</v>
      </c>
      <c r="N191" s="470">
        <f t="shared" si="163"/>
        <v>526839.92</v>
      </c>
      <c r="O191" s="470">
        <f t="shared" si="164"/>
        <v>775190.08</v>
      </c>
      <c r="P191" s="470">
        <f t="shared" si="165"/>
        <v>21000</v>
      </c>
      <c r="Q191" s="470">
        <f t="shared" si="166"/>
        <v>33000</v>
      </c>
      <c r="R191" s="470">
        <f t="shared" si="167"/>
        <v>26278.512</v>
      </c>
      <c r="S191" s="470">
        <f t="shared" si="168"/>
        <v>0</v>
      </c>
      <c r="T191" s="470">
        <f t="shared" si="169"/>
        <v>0</v>
      </c>
      <c r="V191" s="470">
        <f t="shared" si="171"/>
        <v>80278.512</v>
      </c>
      <c r="W191" s="471">
        <v>12</v>
      </c>
      <c r="X191" s="470">
        <f t="shared" si="172"/>
        <v>6689.876</v>
      </c>
      <c r="Z191" s="470">
        <f t="shared" si="173"/>
        <v>6689.876</v>
      </c>
      <c r="AA191" s="473">
        <v>3511.79662266667</v>
      </c>
      <c r="AB191" s="473">
        <f t="shared" si="174"/>
        <v>3178.07937733333</v>
      </c>
    </row>
    <row r="192" ht="18" spans="1:31">
      <c r="B192" s="484" t="s">
        <v>404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490">
        <v>12</v>
      </c>
      <c r="X192" s="486">
        <f t="shared" si="172"/>
        <v>6689.876</v>
      </c>
      <c r="Z192" s="486">
        <f t="shared" si="173"/>
        <v>6689.876</v>
      </c>
      <c r="AA192" s="473">
        <v>3511.79662266667</v>
      </c>
      <c r="AB192" s="473">
        <f t="shared" si="174"/>
        <v>3178.07937733333</v>
      </c>
    </row>
    <row r="193" ht="35.25" customHeight="1" spans="2:28">
      <c r="B193" s="8" t="s">
        <v>1011</v>
      </c>
      <c r="C193" s="617">
        <f>SUM(C6:C192)</f>
        <v>71132716.6392716</v>
      </c>
      <c r="D193" s="618"/>
      <c r="E193" s="475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1012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28">
      <c r="B195" s="33"/>
      <c r="C195" s="473"/>
      <c r="F195" s="500"/>
    </row>
    <row r="196" ht="13" spans="2:28">
      <c r="F196" s="501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1:13">
      <c r="B4" s="691" t="s">
        <v>2</v>
      </c>
      <c r="C4" s="692" t="s">
        <v>3</v>
      </c>
      <c r="D4" s="693" t="s">
        <v>4</v>
      </c>
      <c r="E4" s="674" t="s">
        <v>5</v>
      </c>
      <c r="F4" s="674" t="s">
        <v>7</v>
      </c>
      <c r="G4" s="674" t="s">
        <v>8</v>
      </c>
      <c r="H4" s="694" t="s">
        <v>9</v>
      </c>
      <c r="I4" s="674" t="s">
        <v>1072</v>
      </c>
      <c r="J4" s="674" t="s">
        <v>17</v>
      </c>
      <c r="K4" s="695" t="s">
        <v>18</v>
      </c>
      <c r="L4" s="696" t="s">
        <v>1073</v>
      </c>
    </row>
    <row r="5" s="1" customFormat="1" ht="37.5" customHeight="1" spans="1:13">
      <c r="A5" s="1">
        <v>1</v>
      </c>
      <c r="B5" s="351" t="s">
        <v>389</v>
      </c>
      <c r="C5" s="83" t="s">
        <v>390</v>
      </c>
      <c r="D5" s="15" t="s">
        <v>395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1:13">
      <c r="B6" s="351" t="s">
        <v>1074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3">
      <c r="A7" s="1">
        <v>2</v>
      </c>
      <c r="B7" s="351" t="s">
        <v>93</v>
      </c>
      <c r="C7" s="83" t="s">
        <v>94</v>
      </c>
      <c r="D7" s="15" t="s">
        <v>1075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'APRIL 2026'!R33</f>
        <v>27761.2933333333</v>
      </c>
      <c r="K7" s="510">
        <f>I7+J7</f>
        <v>64551.9814333333</v>
      </c>
      <c r="L7" s="509">
        <f t="shared" si="1"/>
        <v>251297.018566667</v>
      </c>
    </row>
    <row r="8" ht="28.5" customHeight="1" spans="1:13">
      <c r="A8" s="1"/>
      <c r="B8" s="22" t="s">
        <v>120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291119.601147312</v>
      </c>
    </row>
  </sheetData>
  <pageMargins left="0.7" right="0.7" top="0.75" bottom="0.75" header="0.3" footer="0.3"/>
  <pageSetup paperSize="1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1076</v>
      </c>
      <c r="B1" s="688"/>
      <c r="C1" s="688"/>
      <c r="D1" s="688"/>
      <c r="E1" s="688"/>
      <c r="F1" s="688"/>
    </row>
    <row r="2" ht="48.95" customHeight="1" spans="1:6">
      <c r="A2" s="58" t="s">
        <v>22</v>
      </c>
      <c r="B2" s="42" t="s">
        <v>465</v>
      </c>
      <c r="C2" s="689" t="s">
        <v>4</v>
      </c>
      <c r="D2" s="259" t="s">
        <v>1077</v>
      </c>
      <c r="E2" s="259" t="s">
        <v>1078</v>
      </c>
      <c r="F2" s="259" t="s">
        <v>1079</v>
      </c>
    </row>
    <row r="3" ht="30" customHeight="1" spans="1:6">
      <c r="A3" s="49">
        <v>1</v>
      </c>
      <c r="B3" s="43" t="s">
        <v>1080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1081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1082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1083</v>
      </c>
      <c r="C6" s="1200" t="s">
        <v>960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1084</v>
      </c>
      <c r="C7" s="1200" t="s">
        <v>962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1085</v>
      </c>
      <c r="C8" s="1200" t="s">
        <v>962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1086</v>
      </c>
      <c r="C9" s="1200" t="s">
        <v>962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1087</v>
      </c>
      <c r="C10" s="1200" t="s">
        <v>962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120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58" t="s">
        <v>22</v>
      </c>
      <c r="B14" s="42" t="s">
        <v>465</v>
      </c>
      <c r="C14" s="689" t="s">
        <v>4</v>
      </c>
      <c r="D14" s="259" t="s">
        <v>1077</v>
      </c>
      <c r="E14" s="259" t="s">
        <v>1078</v>
      </c>
      <c r="F14" s="259" t="s">
        <v>1079</v>
      </c>
    </row>
    <row r="15" ht="36" spans="1:6">
      <c r="B15" s="198" t="s">
        <v>1088</v>
      </c>
      <c r="C15" s="1200" t="s">
        <v>960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1:6">
      <c r="B16" s="198" t="s">
        <v>1089</v>
      </c>
      <c r="C16" s="1200" t="s">
        <v>966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120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22</v>
      </c>
      <c r="B1" s="90" t="s">
        <v>2</v>
      </c>
      <c r="C1" s="90" t="s">
        <v>3</v>
      </c>
      <c r="D1" s="671" t="s">
        <v>4</v>
      </c>
      <c r="E1" s="90" t="s">
        <v>831</v>
      </c>
      <c r="F1" s="671" t="s">
        <v>832</v>
      </c>
      <c r="G1" s="671" t="s">
        <v>833</v>
      </c>
      <c r="H1" s="671" t="s">
        <v>9</v>
      </c>
      <c r="I1" s="672" t="s">
        <v>427</v>
      </c>
      <c r="J1" s="672"/>
      <c r="K1" s="672"/>
      <c r="L1" s="672"/>
      <c r="M1" s="672"/>
      <c r="N1" s="673" t="s">
        <v>1090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74" t="s">
        <v>1091</v>
      </c>
      <c r="J2" s="674" t="s">
        <v>1092</v>
      </c>
      <c r="K2" s="674" t="s">
        <v>838</v>
      </c>
      <c r="L2" s="674" t="s">
        <v>1093</v>
      </c>
      <c r="M2" s="674" t="s">
        <v>18</v>
      </c>
      <c r="N2" s="673"/>
    </row>
    <row r="3" ht="17.5" spans="1:14">
      <c r="A3" s="9"/>
      <c r="B3" s="5"/>
      <c r="C3" s="5"/>
      <c r="D3" s="5"/>
      <c r="E3" s="5"/>
      <c r="F3" s="675"/>
      <c r="G3" s="675"/>
      <c r="H3" s="676"/>
      <c r="I3" s="675"/>
      <c r="J3" s="675"/>
      <c r="K3" s="675"/>
      <c r="L3" s="675"/>
      <c r="M3" s="675"/>
      <c r="N3" s="677"/>
    </row>
    <row r="4" ht="18" spans="1:14">
      <c r="A4" s="4"/>
      <c r="B4" s="4"/>
      <c r="C4" s="4"/>
      <c r="D4" s="4"/>
      <c r="E4" s="678" t="s">
        <v>21</v>
      </c>
      <c r="F4" s="678" t="s">
        <v>21</v>
      </c>
      <c r="G4" s="678" t="s">
        <v>21</v>
      </c>
      <c r="H4" s="679" t="s">
        <v>21</v>
      </c>
      <c r="I4" s="678" t="s">
        <v>21</v>
      </c>
      <c r="J4" s="678" t="s">
        <v>21</v>
      </c>
      <c r="K4" s="678" t="s">
        <v>21</v>
      </c>
      <c r="L4" s="678" t="s">
        <v>21</v>
      </c>
      <c r="M4" s="678" t="s">
        <v>21</v>
      </c>
      <c r="N4" s="679" t="s">
        <v>21</v>
      </c>
    </row>
    <row r="5" ht="18" spans="1:14">
      <c r="A5" s="4">
        <v>1</v>
      </c>
      <c r="B5" s="11" t="s">
        <v>1094</v>
      </c>
      <c r="C5" s="43" t="s">
        <v>1095</v>
      </c>
      <c r="D5" s="49" t="s">
        <v>275</v>
      </c>
      <c r="E5" s="680">
        <f>'[3]Annual &amp; Monthly'!$H$36</f>
        <v>218287.583333333</v>
      </c>
      <c r="F5" s="681">
        <v>50000</v>
      </c>
      <c r="G5" s="681"/>
      <c r="H5" s="682">
        <f t="shared" ref="H5:H8" si="0">E5+F5+G5</f>
        <v>268287.583333333</v>
      </c>
      <c r="I5" s="683"/>
      <c r="J5" s="683"/>
      <c r="K5" s="683">
        <v>29305.1955466667</v>
      </c>
      <c r="L5" s="684">
        <v>17463.0066666666</v>
      </c>
      <c r="M5" s="684">
        <f>I5+J5+K5+L5</f>
        <v>46768.2022133333</v>
      </c>
      <c r="N5" s="685">
        <f t="shared" ref="N5:N8" si="1">H5-M5</f>
        <v>221519.38112</v>
      </c>
    </row>
    <row r="6" ht="18" spans="1:14">
      <c r="A6" s="4">
        <v>2</v>
      </c>
      <c r="B6" s="11" t="s">
        <v>1096</v>
      </c>
      <c r="C6" s="43" t="s">
        <v>1097</v>
      </c>
      <c r="D6" s="49" t="s">
        <v>275</v>
      </c>
      <c r="E6" s="680">
        <f>'[3]Annual &amp; Monthly'!$H$36</f>
        <v>218287.583333333</v>
      </c>
      <c r="F6" s="681">
        <v>50000</v>
      </c>
      <c r="G6" s="681"/>
      <c r="H6" s="685">
        <f t="shared" si="0"/>
        <v>268287.583333333</v>
      </c>
      <c r="I6" s="683"/>
      <c r="J6" s="683"/>
      <c r="K6" s="683">
        <v>29305.1955466667</v>
      </c>
      <c r="L6" s="684">
        <f t="shared" ref="L6:L7" si="2">218287.583333333*0.08</f>
        <v>17463.0066666666</v>
      </c>
      <c r="M6" s="684">
        <f t="shared" ref="M6:M8" si="3">I6+J6+K6+L6</f>
        <v>46768.2022133333</v>
      </c>
      <c r="N6" s="685">
        <f t="shared" si="1"/>
        <v>221519.38112</v>
      </c>
    </row>
    <row r="7" ht="18" spans="1:14">
      <c r="A7" s="4">
        <v>3</v>
      </c>
      <c r="B7" s="11" t="s">
        <v>1098</v>
      </c>
      <c r="C7" s="43" t="s">
        <v>1099</v>
      </c>
      <c r="D7" s="49" t="s">
        <v>275</v>
      </c>
      <c r="E7" s="680">
        <f>'[3]Annual &amp; Monthly'!$H$36</f>
        <v>218287.583333333</v>
      </c>
      <c r="F7" s="681">
        <v>50000</v>
      </c>
      <c r="G7" s="681"/>
      <c r="H7" s="685">
        <f t="shared" si="0"/>
        <v>268287.583333333</v>
      </c>
      <c r="I7" s="683"/>
      <c r="J7" s="683"/>
      <c r="K7" s="683">
        <v>29305.1955466667</v>
      </c>
      <c r="L7" s="684">
        <f t="shared" si="2"/>
        <v>17463.0066666666</v>
      </c>
      <c r="M7" s="684">
        <f t="shared" si="3"/>
        <v>46768.2022133333</v>
      </c>
      <c r="N7" s="685">
        <f t="shared" si="1"/>
        <v>221519.38112</v>
      </c>
    </row>
    <row r="8" ht="19.5" customHeight="1" spans="1:14">
      <c r="A8" s="4">
        <v>5</v>
      </c>
      <c r="B8" s="11" t="s">
        <v>1100</v>
      </c>
      <c r="C8" s="11" t="s">
        <v>778</v>
      </c>
      <c r="D8" s="10" t="s">
        <v>42</v>
      </c>
      <c r="E8" s="85">
        <v>582118.083333333</v>
      </c>
      <c r="F8" s="85">
        <v>160000</v>
      </c>
      <c r="G8" s="220"/>
      <c r="H8" s="685">
        <f t="shared" si="0"/>
        <v>742118.083333333</v>
      </c>
      <c r="J8" s="85"/>
      <c r="K8" s="85">
        <v>112212.004906667</v>
      </c>
      <c r="L8" s="85">
        <v>46569.4466666667</v>
      </c>
      <c r="M8" s="684">
        <f t="shared" si="3"/>
        <v>158781.451573334</v>
      </c>
      <c r="N8" s="685">
        <f t="shared" si="1"/>
        <v>583336.631759999</v>
      </c>
    </row>
    <row r="9" ht="24" customHeight="1" spans="1:14">
      <c r="A9" s="10"/>
      <c r="B9" s="686" t="s">
        <v>120</v>
      </c>
      <c r="C9" s="20"/>
      <c r="D9" s="20"/>
      <c r="E9" s="687">
        <f t="shared" ref="E9:N9" si="4">SUM(E5:E8)</f>
        <v>1236980.83333333</v>
      </c>
      <c r="F9" s="687">
        <f t="shared" si="4"/>
        <v>310000</v>
      </c>
      <c r="G9" s="687">
        <f t="shared" si="4"/>
        <v>0</v>
      </c>
      <c r="H9" s="687">
        <f t="shared" si="4"/>
        <v>1546980.83333333</v>
      </c>
      <c r="I9" s="687">
        <f t="shared" si="4"/>
        <v>0</v>
      </c>
      <c r="J9" s="687">
        <f t="shared" si="4"/>
        <v>0</v>
      </c>
      <c r="K9" s="687">
        <f t="shared" si="4"/>
        <v>200127.591546667</v>
      </c>
      <c r="L9" s="687">
        <f t="shared" si="4"/>
        <v>98958.4666666666</v>
      </c>
      <c r="M9" s="687">
        <f t="shared" si="4"/>
        <v>299086.058213334</v>
      </c>
      <c r="N9" s="687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22</v>
      </c>
      <c r="B1" s="90" t="s">
        <v>2</v>
      </c>
      <c r="C1" s="90" t="s">
        <v>3</v>
      </c>
      <c r="D1" s="671" t="s">
        <v>4</v>
      </c>
      <c r="E1" s="90" t="s">
        <v>831</v>
      </c>
      <c r="F1" s="671" t="s">
        <v>832</v>
      </c>
      <c r="G1" s="671" t="s">
        <v>833</v>
      </c>
      <c r="H1" s="671" t="s">
        <v>9</v>
      </c>
      <c r="I1" s="672" t="s">
        <v>427</v>
      </c>
      <c r="J1" s="672"/>
      <c r="K1" s="672"/>
      <c r="L1" s="672"/>
      <c r="M1" s="672"/>
      <c r="N1" s="673" t="s">
        <v>1090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74" t="s">
        <v>1091</v>
      </c>
      <c r="J2" s="674" t="s">
        <v>1092</v>
      </c>
      <c r="K2" s="674" t="s">
        <v>838</v>
      </c>
      <c r="L2" s="674" t="s">
        <v>1093</v>
      </c>
      <c r="M2" s="674" t="s">
        <v>18</v>
      </c>
      <c r="N2" s="673"/>
    </row>
    <row r="3" ht="17.5" spans="1:14">
      <c r="A3" s="9"/>
      <c r="B3" s="5"/>
      <c r="C3" s="5"/>
      <c r="D3" s="5"/>
      <c r="E3" s="5"/>
      <c r="F3" s="675"/>
      <c r="G3" s="675"/>
      <c r="H3" s="676"/>
      <c r="I3" s="675"/>
      <c r="J3" s="675"/>
      <c r="K3" s="675"/>
      <c r="L3" s="675"/>
      <c r="M3" s="675"/>
      <c r="N3" s="677"/>
    </row>
    <row r="4" ht="18" spans="1:14">
      <c r="A4" s="4"/>
      <c r="B4" s="4"/>
      <c r="C4" s="4"/>
      <c r="D4" s="4"/>
      <c r="E4" s="678" t="s">
        <v>21</v>
      </c>
      <c r="F4" s="678" t="s">
        <v>21</v>
      </c>
      <c r="G4" s="678" t="s">
        <v>21</v>
      </c>
      <c r="H4" s="679" t="s">
        <v>21</v>
      </c>
      <c r="I4" s="678" t="s">
        <v>21</v>
      </c>
      <c r="J4" s="678" t="s">
        <v>21</v>
      </c>
      <c r="K4" s="678" t="s">
        <v>21</v>
      </c>
      <c r="L4" s="678" t="s">
        <v>21</v>
      </c>
      <c r="M4" s="678" t="s">
        <v>21</v>
      </c>
      <c r="N4" s="679" t="s">
        <v>21</v>
      </c>
    </row>
    <row r="5" ht="18" spans="1:14">
      <c r="A5" s="4">
        <v>1</v>
      </c>
      <c r="B5" s="11" t="s">
        <v>1094</v>
      </c>
      <c r="C5" s="43" t="s">
        <v>1095</v>
      </c>
      <c r="D5" s="49" t="s">
        <v>275</v>
      </c>
      <c r="E5" s="680">
        <f>'[3]Annual &amp; Monthly'!$H$36</f>
        <v>218287.583333333</v>
      </c>
      <c r="F5" s="681">
        <v>50000</v>
      </c>
      <c r="G5" s="681"/>
      <c r="H5" s="682">
        <f t="shared" ref="H5:H9" si="0">E5+F5+G5</f>
        <v>268287.583333333</v>
      </c>
      <c r="I5" s="683"/>
      <c r="J5" s="683"/>
      <c r="K5" s="683">
        <v>29305.1955466667</v>
      </c>
      <c r="L5" s="684">
        <v>17463.0066666666</v>
      </c>
      <c r="M5" s="684">
        <f>I5+J5+K5+L5</f>
        <v>46768.2022133333</v>
      </c>
      <c r="N5" s="685">
        <f t="shared" ref="N5:N9" si="1">H5-M5</f>
        <v>221519.38112</v>
      </c>
    </row>
    <row r="6" ht="18" spans="1:14">
      <c r="A6" s="4">
        <v>2</v>
      </c>
      <c r="B6" s="11" t="s">
        <v>1096</v>
      </c>
      <c r="C6" s="43" t="s">
        <v>1097</v>
      </c>
      <c r="D6" s="49" t="s">
        <v>275</v>
      </c>
      <c r="E6" s="680">
        <f>'[3]Annual &amp; Monthly'!$H$36</f>
        <v>218287.583333333</v>
      </c>
      <c r="F6" s="681">
        <v>50000</v>
      </c>
      <c r="G6" s="681"/>
      <c r="H6" s="685">
        <f t="shared" si="0"/>
        <v>268287.583333333</v>
      </c>
      <c r="I6" s="683"/>
      <c r="J6" s="683"/>
      <c r="K6" s="683">
        <v>29305.1955466667</v>
      </c>
      <c r="L6" s="684">
        <f t="shared" ref="L6:L8" si="2">218287.583333333*0.08</f>
        <v>17463.0066666666</v>
      </c>
      <c r="M6" s="684">
        <f t="shared" ref="M6:M9" si="3">I6+J6+K6+L6</f>
        <v>46768.2022133333</v>
      </c>
      <c r="N6" s="685">
        <f t="shared" si="1"/>
        <v>221519.38112</v>
      </c>
    </row>
    <row r="7" ht="18" spans="1:14">
      <c r="A7" s="4">
        <v>3</v>
      </c>
      <c r="B7" s="11" t="s">
        <v>1098</v>
      </c>
      <c r="C7" s="43" t="s">
        <v>1099</v>
      </c>
      <c r="D7" s="49" t="s">
        <v>275</v>
      </c>
      <c r="E7" s="680">
        <f>'[3]Annual &amp; Monthly'!$H$36</f>
        <v>218287.583333333</v>
      </c>
      <c r="F7" s="681">
        <v>50000</v>
      </c>
      <c r="G7" s="681"/>
      <c r="H7" s="685">
        <f t="shared" si="0"/>
        <v>268287.583333333</v>
      </c>
      <c r="I7" s="683"/>
      <c r="J7" s="683"/>
      <c r="K7" s="683">
        <v>29305.1955466667</v>
      </c>
      <c r="L7" s="684">
        <f t="shared" si="2"/>
        <v>17463.0066666666</v>
      </c>
      <c r="M7" s="684">
        <f t="shared" si="3"/>
        <v>46768.2022133333</v>
      </c>
      <c r="N7" s="685">
        <f t="shared" si="1"/>
        <v>221519.38112</v>
      </c>
    </row>
    <row r="8" ht="18" spans="1:14">
      <c r="A8" s="4">
        <v>4</v>
      </c>
      <c r="B8" s="11" t="s">
        <v>1101</v>
      </c>
      <c r="C8" s="43" t="s">
        <v>1102</v>
      </c>
      <c r="D8" s="49" t="s">
        <v>275</v>
      </c>
      <c r="E8" s="680">
        <f>'[3]Annual &amp; Monthly'!$H$36</f>
        <v>218287.583333333</v>
      </c>
      <c r="F8" s="681">
        <v>50000</v>
      </c>
      <c r="G8" s="681"/>
      <c r="H8" s="685">
        <f t="shared" si="0"/>
        <v>268287.583333333</v>
      </c>
      <c r="I8" s="683"/>
      <c r="J8" s="683"/>
      <c r="K8" s="683">
        <v>29305.1955466667</v>
      </c>
      <c r="L8" s="684">
        <f t="shared" si="2"/>
        <v>17463.0066666666</v>
      </c>
      <c r="M8" s="684">
        <f t="shared" si="3"/>
        <v>46768.2022133333</v>
      </c>
      <c r="N8" s="685">
        <f t="shared" si="1"/>
        <v>221519.38112</v>
      </c>
    </row>
    <row r="9" ht="19.5" customHeight="1" spans="1:14">
      <c r="A9" s="4">
        <v>5</v>
      </c>
      <c r="B9" s="11" t="s">
        <v>1100</v>
      </c>
      <c r="C9" s="11" t="s">
        <v>778</v>
      </c>
      <c r="D9" s="10" t="s">
        <v>42</v>
      </c>
      <c r="E9" s="85">
        <v>582118.083333333</v>
      </c>
      <c r="F9" s="85">
        <v>160000</v>
      </c>
      <c r="G9" s="220"/>
      <c r="H9" s="685">
        <f t="shared" si="0"/>
        <v>742118.083333333</v>
      </c>
      <c r="J9" s="85"/>
      <c r="K9" s="85">
        <v>112212.004906667</v>
      </c>
      <c r="L9" s="85">
        <v>46569.4466666667</v>
      </c>
      <c r="M9" s="684">
        <f t="shared" si="3"/>
        <v>158781.451573334</v>
      </c>
      <c r="N9" s="685">
        <f t="shared" si="1"/>
        <v>583336.631759999</v>
      </c>
    </row>
    <row r="10" ht="24" customHeight="1" spans="1:14">
      <c r="A10" s="10"/>
      <c r="B10" s="686" t="s">
        <v>120</v>
      </c>
      <c r="C10" s="20"/>
      <c r="D10" s="20"/>
      <c r="E10" s="687">
        <f>SUM(E5:E9)</f>
        <v>1455268.41666667</v>
      </c>
      <c r="F10" s="687">
        <f t="shared" ref="F10:N10" si="4">SUM(F5:F9)</f>
        <v>360000</v>
      </c>
      <c r="G10" s="687">
        <f t="shared" si="4"/>
        <v>0</v>
      </c>
      <c r="H10" s="687">
        <f t="shared" si="4"/>
        <v>1815268.41666667</v>
      </c>
      <c r="I10" s="687">
        <f t="shared" si="4"/>
        <v>0</v>
      </c>
      <c r="J10" s="687">
        <f t="shared" si="4"/>
        <v>0</v>
      </c>
      <c r="K10" s="687">
        <f t="shared" si="4"/>
        <v>229432.787093334</v>
      </c>
      <c r="L10" s="687">
        <f t="shared" si="4"/>
        <v>116421.473333333</v>
      </c>
      <c r="M10" s="687">
        <f t="shared" si="4"/>
        <v>345854.260426667</v>
      </c>
      <c r="N10" s="687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9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29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29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29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5" t="s">
        <v>694</v>
      </c>
    </row>
    <row r="5" ht="17.5" spans="1:29">
      <c r="A5" s="467">
        <v>1</v>
      </c>
      <c r="B5" s="8"/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2"/>
      <c r="AA5" s="473"/>
      <c r="AB5" s="473"/>
      <c r="AC5" s="473"/>
    </row>
    <row r="6" ht="18" spans="1:29">
      <c r="A6" s="467">
        <v>3</v>
      </c>
      <c r="B6" s="11" t="s">
        <v>1103</v>
      </c>
      <c r="C6" s="468">
        <v>268287.583333333</v>
      </c>
      <c r="D6" s="469">
        <v>12</v>
      </c>
      <c r="E6" s="470">
        <f>C6*D6</f>
        <v>3219451</v>
      </c>
      <c r="F6" s="470"/>
      <c r="G6" s="470">
        <v>209556.08</v>
      </c>
      <c r="H6" s="470"/>
      <c r="I6" s="470">
        <f t="shared" ref="I6:I13" si="0">E6-F6-G6-H6</f>
        <v>3009894.92</v>
      </c>
      <c r="J6" s="470">
        <v>200000</v>
      </c>
      <c r="K6" s="470">
        <v>0.2</v>
      </c>
      <c r="L6" s="470">
        <f t="shared" ref="L6:L13" si="1">I6*K6</f>
        <v>601978.983999999</v>
      </c>
      <c r="M6" s="470">
        <f t="shared" ref="M6:M13" si="2">J6+L6</f>
        <v>801978.983999999</v>
      </c>
      <c r="N6" s="470">
        <f t="shared" ref="N6:N13" si="3">F6+G6+H6+M6</f>
        <v>1011535.064</v>
      </c>
      <c r="O6" s="470">
        <f t="shared" ref="O6:O13" si="4">E6-N6</f>
        <v>2207915.936</v>
      </c>
      <c r="P6" s="470">
        <f t="shared" ref="P6:P13" si="5">IF(O6&lt;300000,0.07*O6,21000)</f>
        <v>21000</v>
      </c>
      <c r="Q6" s="470">
        <f t="shared" ref="Q6:Q13" si="6">IF((O6-300000)&lt;0,0,IF((O6-300000)&lt;300000,0.11*(O6-300000),33000))</f>
        <v>33000</v>
      </c>
      <c r="R6" s="470">
        <f t="shared" ref="R6:R13" si="7">IF((O6-600000)&lt;0,0,IF((O6-600000)&lt;500000,0.15*(O6-600000),75000))</f>
        <v>75000</v>
      </c>
      <c r="S6" s="470">
        <f t="shared" ref="S6:S13" si="8">IF((O6-1100000)&lt;0,0,IF((O6-1100000)&lt;500000,0.19*(O6-1100000),95000))</f>
        <v>95000</v>
      </c>
      <c r="T6" s="470">
        <f t="shared" ref="T6:T13" si="9">IF((O6-1600000)&lt;0,0,IF((O6-1600000)&lt;1600000,0.21*(O6-1600000),336000))</f>
        <v>127662.346559999</v>
      </c>
      <c r="U6" s="470"/>
      <c r="V6" s="470">
        <f t="shared" ref="V6:V13" si="10">P6+Q6+R6+S6+T6+U6</f>
        <v>351662.346559999</v>
      </c>
      <c r="W6" s="471">
        <v>12</v>
      </c>
      <c r="X6" s="470">
        <f t="shared" ref="X6:X13" si="11">V6/W6</f>
        <v>29305.1955466666</v>
      </c>
      <c r="Y6" s="470"/>
      <c r="Z6" s="472">
        <f t="shared" ref="Z6:Z13" si="12">X6</f>
        <v>29305.1955466666</v>
      </c>
      <c r="AA6" s="473"/>
      <c r="AB6" s="473"/>
      <c r="AC6" s="473"/>
    </row>
    <row r="7" s="654" customFormat="1" ht="18" spans="1:29">
      <c r="A7" s="655">
        <v>4</v>
      </c>
      <c r="B7" s="11" t="s">
        <v>1081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59">
        <v>12</v>
      </c>
      <c r="X7" s="658">
        <f t="shared" si="11"/>
        <v>61040.2353066667</v>
      </c>
      <c r="Y7" s="658"/>
      <c r="Z7" s="472">
        <f t="shared" si="12"/>
        <v>61040.2353066667</v>
      </c>
      <c r="AA7" s="660"/>
      <c r="AB7" s="660"/>
      <c r="AC7" s="660"/>
    </row>
    <row r="8" s="654" customFormat="1" ht="18" spans="1:29">
      <c r="A8" s="655">
        <v>5</v>
      </c>
      <c r="B8" s="11" t="s">
        <v>1104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59">
        <v>12</v>
      </c>
      <c r="X8" s="658">
        <f t="shared" si="11"/>
        <v>36790.6881066667</v>
      </c>
      <c r="Y8" s="658"/>
      <c r="Z8" s="472">
        <f t="shared" si="12"/>
        <v>36790.6881066667</v>
      </c>
      <c r="AA8" s="660"/>
      <c r="AB8" s="660"/>
      <c r="AC8" s="660"/>
    </row>
    <row r="9" ht="18" spans="1:29">
      <c r="A9" s="467">
        <v>6</v>
      </c>
      <c r="B9" s="11" t="s">
        <v>1105</v>
      </c>
      <c r="C9" s="468">
        <v>268287.583333333</v>
      </c>
      <c r="D9" s="469">
        <v>12</v>
      </c>
      <c r="E9" s="470">
        <f t="shared" si="13"/>
        <v>3219451</v>
      </c>
      <c r="F9" s="470"/>
      <c r="G9" s="470">
        <v>209556.08</v>
      </c>
      <c r="H9" s="470"/>
      <c r="I9" s="470">
        <f t="shared" si="0"/>
        <v>3009894.92</v>
      </c>
      <c r="J9" s="470">
        <v>200000</v>
      </c>
      <c r="K9" s="470">
        <v>0.2</v>
      </c>
      <c r="L9" s="470">
        <f t="shared" si="1"/>
        <v>601978.983999999</v>
      </c>
      <c r="M9" s="470">
        <f t="shared" si="2"/>
        <v>801978.983999999</v>
      </c>
      <c r="N9" s="470">
        <f t="shared" si="3"/>
        <v>1011535.064</v>
      </c>
      <c r="O9" s="470">
        <f t="shared" si="4"/>
        <v>2207915.936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127662.346559999</v>
      </c>
      <c r="U9" s="470"/>
      <c r="V9" s="470">
        <f t="shared" si="10"/>
        <v>351662.346559999</v>
      </c>
      <c r="W9" s="471">
        <v>12</v>
      </c>
      <c r="X9" s="470">
        <f t="shared" si="11"/>
        <v>29305.1955466666</v>
      </c>
      <c r="Y9" s="470"/>
      <c r="Z9" s="472">
        <f t="shared" si="12"/>
        <v>29305.1955466666</v>
      </c>
      <c r="AA9" s="473"/>
      <c r="AB9" s="473"/>
      <c r="AC9" s="473"/>
    </row>
    <row r="10" s="654" customFormat="1" ht="18" spans="1:29">
      <c r="A10" s="655">
        <v>7</v>
      </c>
      <c r="B10" s="11" t="s">
        <v>1106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59">
        <v>12</v>
      </c>
      <c r="X10" s="658">
        <f t="shared" si="11"/>
        <v>42537.3319466667</v>
      </c>
      <c r="Y10" s="658"/>
      <c r="Z10" s="472">
        <f t="shared" si="12"/>
        <v>42537.3319466667</v>
      </c>
      <c r="AA10" s="660"/>
      <c r="AB10" s="660"/>
      <c r="AC10" s="660"/>
    </row>
    <row r="11" s="654" customFormat="1" ht="18" spans="1:29">
      <c r="A11" s="655">
        <v>8</v>
      </c>
      <c r="B11" s="11" t="s">
        <v>1107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59">
        <v>12</v>
      </c>
      <c r="X11" s="658">
        <f t="shared" si="11"/>
        <v>70640.2353066667</v>
      </c>
      <c r="Y11" s="658"/>
      <c r="Z11" s="472">
        <f t="shared" si="12"/>
        <v>70640.2353066667</v>
      </c>
      <c r="AA11" s="660"/>
      <c r="AB11" s="660"/>
      <c r="AC11" s="660"/>
    </row>
    <row r="12" ht="18" spans="1:29">
      <c r="A12" s="467">
        <v>9</v>
      </c>
      <c r="B12" s="11" t="s">
        <v>1086</v>
      </c>
      <c r="C12" s="468">
        <v>268287.583333333</v>
      </c>
      <c r="D12" s="469">
        <v>12</v>
      </c>
      <c r="E12" s="470">
        <f t="shared" si="13"/>
        <v>3219451</v>
      </c>
      <c r="F12" s="470"/>
      <c r="G12" s="470">
        <v>209556.08</v>
      </c>
      <c r="H12" s="470"/>
      <c r="I12" s="470">
        <f t="shared" si="0"/>
        <v>3009894.92</v>
      </c>
      <c r="J12" s="470">
        <v>200000</v>
      </c>
      <c r="K12" s="470">
        <v>0.2</v>
      </c>
      <c r="L12" s="470">
        <f t="shared" si="1"/>
        <v>601978.983999999</v>
      </c>
      <c r="M12" s="470">
        <f t="shared" si="2"/>
        <v>801978.983999999</v>
      </c>
      <c r="N12" s="470">
        <f t="shared" si="3"/>
        <v>1011535.064</v>
      </c>
      <c r="O12" s="470">
        <f t="shared" si="4"/>
        <v>2207915.936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127662.346559999</v>
      </c>
      <c r="U12" s="470"/>
      <c r="V12" s="470">
        <f t="shared" si="10"/>
        <v>351662.346559999</v>
      </c>
      <c r="W12" s="471">
        <v>12</v>
      </c>
      <c r="X12" s="470">
        <f t="shared" si="11"/>
        <v>29305.1955466666</v>
      </c>
      <c r="Y12" s="470"/>
      <c r="Z12" s="472">
        <f t="shared" si="12"/>
        <v>29305.1955466666</v>
      </c>
      <c r="AA12" s="473"/>
      <c r="AB12" s="473"/>
      <c r="AC12" s="473"/>
    </row>
    <row r="13" s="654" customFormat="1" ht="18" spans="1:29">
      <c r="A13" s="655">
        <v>10</v>
      </c>
      <c r="B13" s="11" t="s">
        <v>1087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59">
        <v>12</v>
      </c>
      <c r="X13" s="658">
        <f t="shared" si="11"/>
        <v>29305.1955466666</v>
      </c>
      <c r="Y13" s="658"/>
      <c r="Z13" s="472">
        <f t="shared" si="12"/>
        <v>29305.1955466666</v>
      </c>
      <c r="AA13" s="660"/>
      <c r="AB13" s="660"/>
      <c r="AC13" s="660"/>
    </row>
    <row r="14" ht="26.25" customHeight="1" spans="1:29">
      <c r="B14" s="498" t="s">
        <v>1012</v>
      </c>
      <c r="C14" s="493"/>
      <c r="D14" s="494"/>
      <c r="E14" s="494"/>
      <c r="F14" s="499"/>
      <c r="G14" s="499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499"/>
      <c r="W14" s="494"/>
      <c r="X14" s="494"/>
      <c r="Y14" s="494"/>
      <c r="Z14" s="496">
        <f>SUM(Z6:Z13)</f>
        <v>328229.272853333</v>
      </c>
    </row>
    <row r="15" ht="26.25" customHeight="1" spans="1:29">
      <c r="B15" s="661"/>
      <c r="C15" s="662"/>
      <c r="D15" s="663"/>
      <c r="E15" s="663"/>
      <c r="F15" s="664"/>
      <c r="G15" s="664"/>
      <c r="H15" s="665"/>
      <c r="I15" s="665"/>
      <c r="J15" s="665"/>
      <c r="K15" s="665"/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4"/>
      <c r="W15" s="663"/>
      <c r="X15" s="663"/>
      <c r="Y15" s="663"/>
      <c r="Z15" s="663"/>
    </row>
    <row r="16" ht="17.5" spans="1:29">
      <c r="B16" s="33"/>
      <c r="C16" s="296" t="s">
        <v>1108</v>
      </c>
      <c r="D16" s="296">
        <v>12</v>
      </c>
      <c r="E16" s="473" t="s">
        <v>1109</v>
      </c>
      <c r="F16" s="500"/>
    </row>
    <row r="17" ht="18" spans="1:26">
      <c r="A17" s="620"/>
      <c r="B17" s="11" t="s">
        <v>1103</v>
      </c>
      <c r="C17" s="666">
        <f>218287.583333333*0.08</f>
        <v>17463.0066666666</v>
      </c>
      <c r="D17" s="667">
        <v>12</v>
      </c>
      <c r="E17" s="668">
        <f>C17*D17</f>
        <v>209556.08</v>
      </c>
      <c r="F17" s="501"/>
      <c r="Z17" s="496"/>
    </row>
    <row r="18" ht="18" spans="1:26">
      <c r="A18" s="620"/>
      <c r="B18" s="11" t="s">
        <v>1081</v>
      </c>
      <c r="C18" s="645">
        <f>390248.916666667*0.08</f>
        <v>31219.9133333334</v>
      </c>
      <c r="D18" s="667">
        <v>12</v>
      </c>
      <c r="E18" s="668">
        <f t="shared" ref="E18:E24" si="15">C18*D18</f>
        <v>374638.96</v>
      </c>
    </row>
    <row r="19" ht="18" spans="1:26">
      <c r="A19" s="620"/>
      <c r="B19" s="11" t="s">
        <v>1104</v>
      </c>
      <c r="C19" s="666">
        <f>255849*0.08</f>
        <v>20467.92</v>
      </c>
      <c r="D19" s="667">
        <v>12</v>
      </c>
      <c r="E19" s="668">
        <f t="shared" si="15"/>
        <v>245615.04</v>
      </c>
    </row>
    <row r="20" ht="18" spans="1:26">
      <c r="A20" s="620"/>
      <c r="B20" s="11" t="s">
        <v>1105</v>
      </c>
      <c r="C20" s="666">
        <f>218287.583333333*0.08</f>
        <v>17463.0066666666</v>
      </c>
      <c r="D20" s="667">
        <v>12</v>
      </c>
      <c r="E20" s="668">
        <f t="shared" si="15"/>
        <v>209556.08</v>
      </c>
    </row>
    <row r="21" ht="18" spans="1:26">
      <c r="A21" s="620"/>
      <c r="B21" s="11" t="s">
        <v>1106</v>
      </c>
      <c r="C21" s="666">
        <f>293029.666666667*0.08</f>
        <v>23442.3733333334</v>
      </c>
      <c r="D21" s="667">
        <v>12</v>
      </c>
      <c r="E21" s="668">
        <f t="shared" si="15"/>
        <v>281308.48</v>
      </c>
    </row>
    <row r="22" ht="18" spans="1:26">
      <c r="A22" s="620"/>
      <c r="B22" s="11" t="s">
        <v>1107</v>
      </c>
      <c r="C22" s="645">
        <f>390248.916666667*0.08</f>
        <v>31219.9133333334</v>
      </c>
      <c r="D22" s="667">
        <v>12</v>
      </c>
      <c r="E22" s="668">
        <f t="shared" si="15"/>
        <v>374638.96</v>
      </c>
    </row>
    <row r="23" ht="18" spans="1:26">
      <c r="A23" s="620"/>
      <c r="B23" s="11" t="s">
        <v>1086</v>
      </c>
      <c r="C23" s="666">
        <f t="shared" ref="C23:C24" si="16">218287.583333333*0.08</f>
        <v>17463.0066666666</v>
      </c>
      <c r="D23" s="667">
        <v>12</v>
      </c>
      <c r="E23" s="668">
        <f t="shared" si="15"/>
        <v>209556.08</v>
      </c>
    </row>
    <row r="24" ht="18" spans="1:26">
      <c r="A24" s="620"/>
      <c r="B24" s="11" t="s">
        <v>1087</v>
      </c>
      <c r="C24" s="666">
        <f t="shared" si="16"/>
        <v>17463.0066666666</v>
      </c>
      <c r="D24" s="667">
        <v>12</v>
      </c>
      <c r="E24" s="668">
        <f t="shared" si="15"/>
        <v>209556.08</v>
      </c>
    </row>
    <row r="25" ht="15.5" spans="1:26">
      <c r="C25" s="669"/>
      <c r="D25" s="669"/>
      <c r="E25" s="66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20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39" t="s">
        <v>9</v>
      </c>
      <c r="K3" s="638" t="s">
        <v>10</v>
      </c>
      <c r="L3" s="638" t="s">
        <v>888</v>
      </c>
      <c r="M3" s="638" t="s">
        <v>889</v>
      </c>
      <c r="N3" s="638" t="s">
        <v>15</v>
      </c>
      <c r="O3" s="640" t="s">
        <v>16</v>
      </c>
      <c r="P3" s="638" t="s">
        <v>17</v>
      </c>
      <c r="Q3" s="641" t="s">
        <v>18</v>
      </c>
      <c r="R3" s="302" t="s">
        <v>1110</v>
      </c>
      <c r="S3" s="642" t="s">
        <v>1111</v>
      </c>
    </row>
    <row r="4" ht="18" spans="1:20">
      <c r="A4" s="1"/>
      <c r="B4" s="1"/>
      <c r="C4" s="8"/>
      <c r="D4" s="8"/>
      <c r="E4" s="82" t="s">
        <v>21</v>
      </c>
      <c r="F4" s="82" t="s">
        <v>21</v>
      </c>
      <c r="G4" s="82" t="s">
        <v>21</v>
      </c>
      <c r="H4" s="82" t="s">
        <v>21</v>
      </c>
      <c r="I4" s="82" t="s">
        <v>21</v>
      </c>
      <c r="J4" s="507" t="s">
        <v>21</v>
      </c>
      <c r="K4" s="82" t="s">
        <v>21</v>
      </c>
      <c r="L4" s="82" t="s">
        <v>21</v>
      </c>
      <c r="M4" s="82" t="s">
        <v>21</v>
      </c>
      <c r="N4" s="82" t="s">
        <v>21</v>
      </c>
      <c r="O4" s="82" t="s">
        <v>21</v>
      </c>
      <c r="P4" s="82" t="s">
        <v>21</v>
      </c>
      <c r="Q4" s="508" t="s">
        <v>21</v>
      </c>
      <c r="R4" s="82" t="s">
        <v>21</v>
      </c>
      <c r="S4" s="507" t="s">
        <v>21</v>
      </c>
    </row>
    <row r="5" s="1" customFormat="1" ht="20.1" customHeight="1" spans="1:20">
      <c r="A5" s="95">
        <v>1</v>
      </c>
      <c r="B5" s="643" t="s">
        <v>923</v>
      </c>
      <c r="C5" s="86" t="s">
        <v>924</v>
      </c>
      <c r="D5" s="644" t="s">
        <v>925</v>
      </c>
      <c r="E5" s="645">
        <v>601396.833333333</v>
      </c>
      <c r="F5" s="645"/>
      <c r="G5" s="646">
        <f>160000</f>
        <v>160000</v>
      </c>
      <c r="H5" s="646"/>
      <c r="I5" s="647">
        <v>0</v>
      </c>
      <c r="J5" s="648">
        <f t="shared" ref="J5:J6" si="0">SUM(E5:I5)</f>
        <v>761396.833333333</v>
      </c>
      <c r="K5" s="645"/>
      <c r="L5" s="645"/>
      <c r="M5" s="645"/>
      <c r="N5" s="645">
        <v>0</v>
      </c>
      <c r="O5" s="645">
        <v>124854.858666667</v>
      </c>
      <c r="P5" s="645"/>
      <c r="Q5" s="649">
        <f t="shared" ref="Q5:Q8" si="1">O5+N5+M5+L5+K5+P5</f>
        <v>124854.858666667</v>
      </c>
      <c r="R5" s="645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186</v>
      </c>
      <c r="C6" s="83" t="s">
        <v>926</v>
      </c>
      <c r="D6" s="95" t="s">
        <v>486</v>
      </c>
      <c r="E6" s="645">
        <v>620675.583333333</v>
      </c>
      <c r="F6" s="645"/>
      <c r="G6" s="646">
        <v>160000</v>
      </c>
      <c r="H6" s="646"/>
      <c r="I6" s="647">
        <v>0</v>
      </c>
      <c r="J6" s="648">
        <f t="shared" si="0"/>
        <v>780675.583333333</v>
      </c>
      <c r="K6" s="645"/>
      <c r="L6" s="645">
        <f>50000</f>
        <v>50000</v>
      </c>
      <c r="M6" s="645">
        <f>59583.33</f>
        <v>59583.33</v>
      </c>
      <c r="N6" s="645"/>
      <c r="O6" s="645">
        <f>128556.38</f>
        <v>128556.38</v>
      </c>
      <c r="P6" s="645"/>
      <c r="Q6" s="649">
        <f t="shared" si="1"/>
        <v>238139.71</v>
      </c>
      <c r="R6" s="645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43" t="s">
        <v>930</v>
      </c>
      <c r="C7" s="83" t="s">
        <v>655</v>
      </c>
      <c r="D7" s="644" t="s">
        <v>42</v>
      </c>
      <c r="E7" s="645">
        <v>582118.083333333</v>
      </c>
      <c r="F7" s="645"/>
      <c r="G7" s="646"/>
      <c r="H7" s="646">
        <f>80000</f>
        <v>80000</v>
      </c>
      <c r="I7" s="645">
        <v>0</v>
      </c>
      <c r="J7" s="648">
        <f t="shared" ref="J7" si="3">SUM(E7:I7)</f>
        <v>662118.083333333</v>
      </c>
      <c r="K7" s="645"/>
      <c r="L7" s="645">
        <f>100000</f>
        <v>100000</v>
      </c>
      <c r="M7" s="645">
        <f>103000</f>
        <v>103000</v>
      </c>
      <c r="N7" s="645">
        <v>0</v>
      </c>
      <c r="O7" s="645">
        <v>105793.338666667</v>
      </c>
      <c r="P7" s="645"/>
      <c r="Q7" s="649">
        <f t="shared" si="1"/>
        <v>308793.338666667</v>
      </c>
      <c r="R7" s="645">
        <v>353324.744666667</v>
      </c>
      <c r="S7" s="648">
        <f t="shared" si="2"/>
        <v>353324.744666666</v>
      </c>
      <c r="T7" s="650"/>
    </row>
    <row r="8" s="636" customFormat="1" ht="20.1" customHeight="1" spans="1:20">
      <c r="A8" s="95">
        <v>4</v>
      </c>
      <c r="B8" s="651" t="s">
        <v>933</v>
      </c>
      <c r="C8" s="83" t="s">
        <v>934</v>
      </c>
      <c r="D8" s="644" t="s">
        <v>36</v>
      </c>
      <c r="E8" s="645">
        <v>762373.166666667</v>
      </c>
      <c r="F8" s="645"/>
      <c r="G8" s="646"/>
      <c r="H8" s="646">
        <v>90000</v>
      </c>
      <c r="I8" s="645"/>
      <c r="J8" s="648">
        <f t="shared" ref="J8" si="4">SUM(E8:I8)</f>
        <v>852373.166666667</v>
      </c>
      <c r="K8" s="645"/>
      <c r="L8" s="652">
        <v>50000</v>
      </c>
      <c r="M8" s="652">
        <v>200000</v>
      </c>
      <c r="O8" s="645">
        <v>142322.314666667</v>
      </c>
      <c r="P8" s="645"/>
      <c r="Q8" s="649">
        <f t="shared" si="1"/>
        <v>392322.314666667</v>
      </c>
      <c r="R8" s="645">
        <v>460050.852</v>
      </c>
      <c r="S8" s="648">
        <f t="shared" si="2"/>
        <v>460050.852</v>
      </c>
      <c r="T8" s="650"/>
    </row>
    <row r="9" ht="29.1" customHeight="1" spans="1:20">
      <c r="E9" s="653">
        <f>SUM(E5:E8)</f>
        <v>2566563.66666667</v>
      </c>
      <c r="F9" s="653">
        <f t="shared" ref="F9:S9" si="5">SUM(F5:F8)</f>
        <v>0</v>
      </c>
      <c r="G9" s="653">
        <f t="shared" si="5"/>
        <v>320000</v>
      </c>
      <c r="H9" s="653">
        <f t="shared" si="5"/>
        <v>170000</v>
      </c>
      <c r="I9" s="653">
        <f t="shared" si="5"/>
        <v>0</v>
      </c>
      <c r="J9" s="653">
        <f t="shared" si="5"/>
        <v>3056563.66666667</v>
      </c>
      <c r="K9" s="653">
        <f t="shared" si="5"/>
        <v>0</v>
      </c>
      <c r="L9" s="653">
        <f t="shared" si="5"/>
        <v>200000</v>
      </c>
      <c r="M9" s="653">
        <f t="shared" si="5"/>
        <v>362583.33</v>
      </c>
      <c r="N9" s="653">
        <f t="shared" si="5"/>
        <v>0</v>
      </c>
      <c r="O9" s="653">
        <f t="shared" si="5"/>
        <v>501526.892000001</v>
      </c>
      <c r="P9" s="653">
        <f t="shared" si="5"/>
        <v>0</v>
      </c>
      <c r="Q9" s="653">
        <f t="shared" si="5"/>
        <v>1064110.222</v>
      </c>
      <c r="R9" s="653">
        <f t="shared" si="5"/>
        <v>1992453.44466667</v>
      </c>
      <c r="S9" s="653">
        <f t="shared" si="5"/>
        <v>1992453.44466667</v>
      </c>
    </row>
  </sheetData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20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888</v>
      </c>
      <c r="M3" s="218" t="s">
        <v>889</v>
      </c>
      <c r="N3" s="218" t="s">
        <v>15</v>
      </c>
      <c r="O3" s="24" t="s">
        <v>16</v>
      </c>
      <c r="P3" s="218" t="s">
        <v>17</v>
      </c>
      <c r="Q3" s="506" t="s">
        <v>18</v>
      </c>
      <c r="R3" s="80" t="s">
        <v>1110</v>
      </c>
      <c r="S3" s="635" t="s">
        <v>1111</v>
      </c>
    </row>
    <row r="4" ht="18" spans="1:20">
      <c r="A4" s="1"/>
      <c r="B4" s="1"/>
      <c r="C4" s="8"/>
      <c r="D4" s="8"/>
      <c r="E4" s="82" t="s">
        <v>21</v>
      </c>
      <c r="F4" s="82" t="s">
        <v>21</v>
      </c>
      <c r="G4" s="82" t="s">
        <v>21</v>
      </c>
      <c r="H4" s="82" t="s">
        <v>21</v>
      </c>
      <c r="I4" s="82" t="s">
        <v>21</v>
      </c>
      <c r="J4" s="507" t="s">
        <v>21</v>
      </c>
      <c r="K4" s="82" t="s">
        <v>21</v>
      </c>
      <c r="L4" s="82" t="s">
        <v>21</v>
      </c>
      <c r="M4" s="82" t="s">
        <v>21</v>
      </c>
      <c r="N4" s="82" t="s">
        <v>21</v>
      </c>
      <c r="O4" s="82" t="s">
        <v>21</v>
      </c>
      <c r="P4" s="82" t="s">
        <v>21</v>
      </c>
      <c r="Q4" s="508" t="s">
        <v>21</v>
      </c>
      <c r="R4" s="82" t="s">
        <v>21</v>
      </c>
      <c r="S4" s="507" t="s">
        <v>21</v>
      </c>
    </row>
    <row r="5" s="1" customFormat="1" ht="20.1" customHeight="1" spans="1:20">
      <c r="A5" s="10">
        <v>6</v>
      </c>
      <c r="B5" s="18" t="s">
        <v>908</v>
      </c>
      <c r="C5" s="17" t="s">
        <v>909</v>
      </c>
      <c r="D5" s="10" t="s">
        <v>29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6">
      <c r="A1" s="236" t="s">
        <v>0</v>
      </c>
      <c r="B1" s="236"/>
      <c r="C1" s="236"/>
      <c r="D1" s="236"/>
    </row>
    <row r="2" ht="33.75" customHeight="1" spans="1:6">
      <c r="A2" s="236" t="s">
        <v>1112</v>
      </c>
      <c r="B2" s="257"/>
      <c r="C2" s="236"/>
      <c r="D2" s="236"/>
      <c r="E2" s="78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4" t="s">
        <v>484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628">
        <v>540000</v>
      </c>
      <c r="F7" s="13"/>
    </row>
    <row r="8" customHeight="1" spans="1:6">
      <c r="A8" s="10">
        <v>2</v>
      </c>
      <c r="B8" s="11" t="s">
        <v>27</v>
      </c>
      <c r="C8" s="12" t="s">
        <v>28</v>
      </c>
      <c r="D8" s="10" t="s">
        <v>29</v>
      </c>
      <c r="E8" s="628">
        <v>180000</v>
      </c>
      <c r="F8" s="13"/>
    </row>
    <row r="9" customHeight="1" spans="1:6">
      <c r="A9" s="10">
        <v>3</v>
      </c>
      <c r="B9" s="14" t="s">
        <v>30</v>
      </c>
      <c r="C9" s="4" t="s">
        <v>31</v>
      </c>
      <c r="D9" s="10" t="s">
        <v>29</v>
      </c>
      <c r="E9" s="628">
        <v>180000</v>
      </c>
      <c r="F9" s="13"/>
    </row>
    <row r="10" customHeight="1" spans="1:6">
      <c r="A10" s="10">
        <v>4</v>
      </c>
      <c r="B10" s="11" t="s">
        <v>32</v>
      </c>
      <c r="C10" s="17" t="s">
        <v>33</v>
      </c>
      <c r="D10" s="10" t="s">
        <v>29</v>
      </c>
      <c r="E10" s="628">
        <v>180000</v>
      </c>
      <c r="F10" s="13"/>
    </row>
    <row r="11" customHeight="1" spans="1:6">
      <c r="A11" s="10">
        <v>5</v>
      </c>
      <c r="B11" s="14" t="s">
        <v>300</v>
      </c>
      <c r="C11" s="4" t="s">
        <v>907</v>
      </c>
      <c r="D11" s="10" t="s">
        <v>29</v>
      </c>
      <c r="E11" s="628">
        <v>180000</v>
      </c>
      <c r="F11" s="13"/>
    </row>
    <row r="12" customHeight="1" spans="1:6">
      <c r="A12" s="10">
        <v>6</v>
      </c>
      <c r="B12" s="18" t="s">
        <v>908</v>
      </c>
      <c r="C12" s="17" t="s">
        <v>909</v>
      </c>
      <c r="D12" s="10" t="s">
        <v>29</v>
      </c>
      <c r="E12" s="628">
        <v>180000</v>
      </c>
      <c r="F12" s="13"/>
    </row>
    <row r="13" customHeight="1" spans="1:6">
      <c r="A13" s="10">
        <v>7</v>
      </c>
      <c r="B13" s="11" t="s">
        <v>34</v>
      </c>
      <c r="C13" s="12" t="s">
        <v>910</v>
      </c>
      <c r="D13" s="15" t="s">
        <v>39</v>
      </c>
      <c r="E13" s="628">
        <v>126000</v>
      </c>
      <c r="F13" s="13"/>
    </row>
    <row r="14" customHeight="1" spans="1:6">
      <c r="A14" s="10">
        <v>8</v>
      </c>
      <c r="B14" s="11" t="s">
        <v>37</v>
      </c>
      <c r="C14" s="4" t="s">
        <v>38</v>
      </c>
      <c r="D14" s="10" t="s">
        <v>42</v>
      </c>
      <c r="E14" s="628">
        <v>126000</v>
      </c>
      <c r="F14" s="13"/>
    </row>
    <row r="15" customHeight="1" spans="1:6">
      <c r="A15" s="10">
        <v>9</v>
      </c>
      <c r="B15" s="11" t="s">
        <v>40</v>
      </c>
      <c r="C15" s="4" t="s">
        <v>643</v>
      </c>
      <c r="D15" s="15" t="s">
        <v>192</v>
      </c>
      <c r="E15" s="628">
        <v>90000</v>
      </c>
      <c r="F15" s="13"/>
    </row>
    <row r="16" customHeight="1" spans="1:6">
      <c r="A16" s="10">
        <v>10</v>
      </c>
      <c r="B16" s="14" t="s">
        <v>43</v>
      </c>
      <c r="C16" s="17" t="s">
        <v>52</v>
      </c>
      <c r="D16" s="15" t="s">
        <v>47</v>
      </c>
      <c r="E16" s="628">
        <v>90000</v>
      </c>
      <c r="F16" s="13"/>
    </row>
    <row r="17" customHeight="1" spans="1:6">
      <c r="A17" s="10">
        <v>11</v>
      </c>
      <c r="B17" s="11" t="s">
        <v>45</v>
      </c>
      <c r="C17" s="4" t="s">
        <v>46</v>
      </c>
      <c r="D17" s="10" t="s">
        <v>53</v>
      </c>
      <c r="E17" s="628">
        <v>90000</v>
      </c>
      <c r="F17" s="13"/>
    </row>
    <row r="18" customHeight="1" spans="1:6">
      <c r="A18" s="10">
        <v>12</v>
      </c>
      <c r="B18" s="11" t="s">
        <v>48</v>
      </c>
      <c r="C18" s="4" t="s">
        <v>911</v>
      </c>
      <c r="D18" s="10" t="s">
        <v>56</v>
      </c>
      <c r="E18" s="628">
        <v>90000</v>
      </c>
    </row>
    <row r="19" customHeight="1" spans="1:6">
      <c r="A19" s="10">
        <v>13</v>
      </c>
      <c r="B19" s="11" t="s">
        <v>51</v>
      </c>
      <c r="C19" s="12" t="s">
        <v>61</v>
      </c>
      <c r="D19" s="15" t="s">
        <v>601</v>
      </c>
      <c r="E19" s="628">
        <v>90000</v>
      </c>
      <c r="F19" s="13"/>
    </row>
    <row r="20" customHeight="1" spans="1:6">
      <c r="A20" s="10">
        <v>14</v>
      </c>
      <c r="B20" s="18" t="s">
        <v>54</v>
      </c>
      <c r="C20" s="4" t="s">
        <v>55</v>
      </c>
      <c r="D20" s="15" t="s">
        <v>59</v>
      </c>
      <c r="E20" s="628">
        <v>90000</v>
      </c>
      <c r="F20" s="13"/>
    </row>
    <row r="21" ht="18.75" customHeight="1" spans="1:6">
      <c r="A21" s="10">
        <v>15</v>
      </c>
      <c r="B21" s="11" t="s">
        <v>65</v>
      </c>
      <c r="C21" s="12" t="s">
        <v>178</v>
      </c>
      <c r="D21" s="15" t="s">
        <v>70</v>
      </c>
      <c r="E21" s="628">
        <v>68000</v>
      </c>
      <c r="F21" s="13"/>
    </row>
    <row r="22" customHeight="1" spans="1:6">
      <c r="A22" s="10">
        <v>16</v>
      </c>
      <c r="B22" s="14" t="s">
        <v>68</v>
      </c>
      <c r="C22" s="17" t="s">
        <v>69</v>
      </c>
      <c r="D22" s="10" t="s">
        <v>180</v>
      </c>
      <c r="E22" s="628">
        <v>68000</v>
      </c>
      <c r="F22" s="13"/>
    </row>
    <row r="23" ht="21.6" customHeight="1" spans="1:6">
      <c r="A23" s="10">
        <v>17</v>
      </c>
      <c r="B23" s="11" t="s">
        <v>71</v>
      </c>
      <c r="C23" s="17" t="s">
        <v>72</v>
      </c>
      <c r="D23" s="15" t="s">
        <v>180</v>
      </c>
      <c r="E23" s="628">
        <v>68000</v>
      </c>
      <c r="F23" s="13"/>
    </row>
    <row r="24" customHeight="1" spans="1:6">
      <c r="A24" s="10">
        <v>18</v>
      </c>
      <c r="B24" s="14" t="s">
        <v>73</v>
      </c>
      <c r="C24" s="17" t="s">
        <v>74</v>
      </c>
      <c r="D24" s="10" t="s">
        <v>81</v>
      </c>
      <c r="E24" s="628">
        <v>68000</v>
      </c>
      <c r="F24" s="13"/>
    </row>
    <row r="25" ht="18.75" customHeight="1" spans="1:6">
      <c r="A25" s="10">
        <v>19</v>
      </c>
      <c r="B25" s="4" t="s">
        <v>478</v>
      </c>
      <c r="C25" s="4" t="s">
        <v>94</v>
      </c>
      <c r="D25" s="10" t="s">
        <v>86</v>
      </c>
      <c r="E25" s="628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94</v>
      </c>
      <c r="D26" s="15" t="s">
        <v>86</v>
      </c>
      <c r="E26" s="628">
        <v>54000</v>
      </c>
      <c r="F26" s="13"/>
    </row>
    <row r="27" customHeight="1" spans="1:6">
      <c r="A27" s="10">
        <v>21</v>
      </c>
      <c r="B27" s="11" t="s">
        <v>82</v>
      </c>
      <c r="C27" s="17" t="s">
        <v>69</v>
      </c>
      <c r="D27" s="10" t="s">
        <v>86</v>
      </c>
      <c r="E27" s="628">
        <v>54000</v>
      </c>
      <c r="F27" s="13"/>
    </row>
    <row r="28" ht="18.75" customHeight="1" spans="1:6">
      <c r="A28" s="10">
        <v>22</v>
      </c>
      <c r="B28" s="18" t="s">
        <v>84</v>
      </c>
      <c r="C28" s="12" t="s">
        <v>85</v>
      </c>
      <c r="D28" s="15" t="s">
        <v>99</v>
      </c>
      <c r="E28" s="628">
        <v>54000</v>
      </c>
      <c r="F28" s="13"/>
    </row>
    <row r="29" ht="18.75" customHeight="1" spans="1:6">
      <c r="A29" s="10">
        <v>23</v>
      </c>
      <c r="B29" s="18" t="s">
        <v>87</v>
      </c>
      <c r="C29" s="4" t="s">
        <v>88</v>
      </c>
      <c r="D29" s="10" t="s">
        <v>225</v>
      </c>
      <c r="E29" s="628">
        <v>54000</v>
      </c>
      <c r="F29" s="13"/>
    </row>
    <row r="30" ht="18.75" customHeight="1" spans="1:6">
      <c r="A30" s="10">
        <v>24</v>
      </c>
      <c r="B30" s="18" t="s">
        <v>89</v>
      </c>
      <c r="C30" s="4" t="s">
        <v>88</v>
      </c>
      <c r="D30" s="10" t="s">
        <v>225</v>
      </c>
      <c r="E30" s="628">
        <v>54000</v>
      </c>
      <c r="F30" s="13"/>
    </row>
    <row r="31" ht="18.75" customHeight="1" spans="1:6">
      <c r="A31" s="10">
        <v>25</v>
      </c>
      <c r="B31" s="18" t="s">
        <v>91</v>
      </c>
      <c r="C31" s="17" t="s">
        <v>646</v>
      </c>
      <c r="D31" s="15" t="s">
        <v>86</v>
      </c>
      <c r="E31" s="628">
        <v>54000</v>
      </c>
      <c r="F31" s="13"/>
    </row>
    <row r="32" ht="18.75" customHeight="1" spans="1:6">
      <c r="A32" s="10">
        <v>26</v>
      </c>
      <c r="B32" s="18" t="s">
        <v>95</v>
      </c>
      <c r="C32" s="4" t="s">
        <v>647</v>
      </c>
      <c r="D32" s="10" t="s">
        <v>108</v>
      </c>
      <c r="E32" s="628">
        <v>54000</v>
      </c>
      <c r="F32" s="13"/>
    </row>
    <row r="33" ht="18.75" customHeight="1" spans="1:6">
      <c r="A33" s="10">
        <v>27</v>
      </c>
      <c r="B33" s="18" t="s">
        <v>103</v>
      </c>
      <c r="C33" s="12" t="s">
        <v>104</v>
      </c>
      <c r="D33" s="15" t="s">
        <v>111</v>
      </c>
      <c r="E33" s="628">
        <v>54000</v>
      </c>
      <c r="F33" s="13"/>
    </row>
    <row r="34" ht="21" customHeight="1" spans="1:6">
      <c r="A34" s="10"/>
      <c r="B34" s="20" t="s">
        <v>120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121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122</v>
      </c>
      <c r="C37" s="4" t="s">
        <v>123</v>
      </c>
      <c r="D37" s="10" t="s">
        <v>124</v>
      </c>
      <c r="E37" s="628">
        <v>270000</v>
      </c>
      <c r="F37" s="13"/>
    </row>
    <row r="38" ht="18.75" customHeight="1" spans="1:6">
      <c r="A38" s="10">
        <v>2</v>
      </c>
      <c r="B38" s="18" t="s">
        <v>127</v>
      </c>
      <c r="C38" s="4" t="s">
        <v>128</v>
      </c>
      <c r="D38" s="10" t="s">
        <v>81</v>
      </c>
      <c r="E38" s="628">
        <v>68000</v>
      </c>
      <c r="F38" s="13"/>
    </row>
    <row r="39" ht="18.75" customHeight="1" spans="1:6">
      <c r="A39" s="10">
        <v>3</v>
      </c>
      <c r="B39" s="11" t="s">
        <v>129</v>
      </c>
      <c r="C39" s="4" t="s">
        <v>128</v>
      </c>
      <c r="D39" s="15" t="s">
        <v>75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137</v>
      </c>
      <c r="C42" s="5"/>
      <c r="D42" s="24"/>
      <c r="E42" s="628"/>
      <c r="F42" s="13"/>
    </row>
    <row r="43" customHeight="1" spans="1:6">
      <c r="A43" s="10">
        <v>1</v>
      </c>
      <c r="B43" s="11" t="s">
        <v>912</v>
      </c>
      <c r="C43" s="4" t="s">
        <v>913</v>
      </c>
      <c r="D43" s="10" t="s">
        <v>124</v>
      </c>
      <c r="E43" s="628">
        <v>270000</v>
      </c>
      <c r="F43" s="13"/>
    </row>
    <row r="44" customHeight="1" spans="1:6">
      <c r="A44" s="10">
        <v>2</v>
      </c>
      <c r="B44" s="11" t="s">
        <v>914</v>
      </c>
      <c r="C44" s="4" t="s">
        <v>44</v>
      </c>
      <c r="D44" s="10" t="s">
        <v>39</v>
      </c>
      <c r="E44" s="628">
        <v>126000</v>
      </c>
      <c r="F44" s="13"/>
    </row>
    <row r="45" customHeight="1" spans="1:6">
      <c r="A45" s="10">
        <v>3</v>
      </c>
      <c r="B45" s="11" t="s">
        <v>138</v>
      </c>
      <c r="C45" s="4" t="s">
        <v>648</v>
      </c>
      <c r="D45" s="10" t="s">
        <v>210</v>
      </c>
      <c r="E45" s="628">
        <v>180000</v>
      </c>
      <c r="F45" s="13"/>
    </row>
    <row r="46" customHeight="1" spans="1:6">
      <c r="A46" s="10">
        <v>4</v>
      </c>
      <c r="B46" s="11" t="s">
        <v>141</v>
      </c>
      <c r="C46" s="4" t="s">
        <v>145</v>
      </c>
      <c r="D46" s="10" t="s">
        <v>39</v>
      </c>
      <c r="E46" s="628">
        <v>126000</v>
      </c>
      <c r="F46" s="13"/>
    </row>
    <row r="47" customHeight="1" spans="1:6">
      <c r="A47" s="10">
        <v>5</v>
      </c>
      <c r="B47" s="11" t="s">
        <v>144</v>
      </c>
      <c r="C47" s="4" t="s">
        <v>145</v>
      </c>
      <c r="D47" s="10" t="s">
        <v>39</v>
      </c>
      <c r="E47" s="628">
        <v>126000</v>
      </c>
      <c r="F47" s="13"/>
    </row>
    <row r="48" customHeight="1" spans="1:6">
      <c r="A48" s="10">
        <v>6</v>
      </c>
      <c r="B48" s="11" t="s">
        <v>146</v>
      </c>
      <c r="C48" s="4" t="s">
        <v>145</v>
      </c>
      <c r="D48" s="10" t="s">
        <v>42</v>
      </c>
      <c r="E48" s="628">
        <v>126000</v>
      </c>
      <c r="F48" s="13"/>
    </row>
    <row r="49" customHeight="1" spans="1:6">
      <c r="A49" s="10">
        <v>7</v>
      </c>
      <c r="B49" s="14" t="s">
        <v>147</v>
      </c>
      <c r="C49" s="4" t="s">
        <v>52</v>
      </c>
      <c r="D49" s="16" t="s">
        <v>47</v>
      </c>
      <c r="E49" s="628">
        <v>90000</v>
      </c>
      <c r="F49" s="13"/>
    </row>
    <row r="50" customHeight="1" spans="1:6">
      <c r="A50" s="10">
        <v>8</v>
      </c>
      <c r="B50" s="11" t="s">
        <v>151</v>
      </c>
      <c r="C50" s="4" t="s">
        <v>152</v>
      </c>
      <c r="D50" s="10" t="s">
        <v>75</v>
      </c>
      <c r="E50" s="628">
        <v>68000</v>
      </c>
      <c r="F50" s="13"/>
    </row>
    <row r="51" customHeight="1" spans="1:6">
      <c r="A51" s="10">
        <v>9</v>
      </c>
      <c r="B51" s="11" t="s">
        <v>155</v>
      </c>
      <c r="C51" s="4" t="s">
        <v>152</v>
      </c>
      <c r="D51" s="10" t="s">
        <v>99</v>
      </c>
      <c r="E51" s="628">
        <v>54000</v>
      </c>
      <c r="F51" s="13"/>
    </row>
    <row r="52" customHeight="1" spans="1:6">
      <c r="A52" s="10">
        <v>10</v>
      </c>
      <c r="B52" s="11" t="s">
        <v>915</v>
      </c>
      <c r="C52" s="4" t="s">
        <v>152</v>
      </c>
      <c r="D52" s="10" t="s">
        <v>99</v>
      </c>
      <c r="E52" s="628">
        <v>54000</v>
      </c>
      <c r="F52" s="13"/>
    </row>
    <row r="53" customHeight="1" spans="1:6">
      <c r="A53" s="10">
        <v>11</v>
      </c>
      <c r="B53" s="11" t="s">
        <v>157</v>
      </c>
      <c r="C53" s="4" t="s">
        <v>152</v>
      </c>
      <c r="D53" s="10" t="s">
        <v>99</v>
      </c>
      <c r="E53" s="628">
        <v>54000</v>
      </c>
      <c r="F53" s="13"/>
    </row>
    <row r="54" ht="25.5" customHeight="1" spans="1:6">
      <c r="A54" s="10"/>
      <c r="B54" s="20" t="s">
        <v>120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159</v>
      </c>
      <c r="C56" s="21"/>
      <c r="D56" s="21"/>
      <c r="E56" s="631"/>
      <c r="F56" s="13"/>
    </row>
    <row r="57" customHeight="1" spans="1:6">
      <c r="A57" s="10">
        <v>1</v>
      </c>
      <c r="B57" s="11" t="s">
        <v>916</v>
      </c>
      <c r="C57" s="12" t="s">
        <v>161</v>
      </c>
      <c r="D57" s="15" t="s">
        <v>124</v>
      </c>
      <c r="E57" s="628">
        <v>270000</v>
      </c>
      <c r="F57" s="13"/>
    </row>
    <row r="58" customHeight="1" spans="1:6">
      <c r="A58" s="10">
        <v>2</v>
      </c>
      <c r="B58" s="11" t="s">
        <v>162</v>
      </c>
      <c r="C58" s="12" t="s">
        <v>485</v>
      </c>
      <c r="D58" s="15" t="s">
        <v>486</v>
      </c>
      <c r="E58" s="628">
        <v>126000</v>
      </c>
      <c r="F58" s="13"/>
    </row>
    <row r="59" customHeight="1" spans="1:6">
      <c r="A59" s="10"/>
      <c r="B59" s="20" t="s">
        <v>120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164</v>
      </c>
      <c r="C61" s="21"/>
      <c r="D61" s="21"/>
      <c r="E61" s="631"/>
      <c r="F61" s="13"/>
    </row>
    <row r="62" customHeight="1" spans="1:6">
      <c r="A62" s="10">
        <v>1</v>
      </c>
      <c r="B62" s="11" t="s">
        <v>917</v>
      </c>
      <c r="C62" s="17" t="s">
        <v>918</v>
      </c>
      <c r="D62" s="10" t="s">
        <v>124</v>
      </c>
      <c r="E62" s="628">
        <v>270000</v>
      </c>
      <c r="F62" s="13"/>
    </row>
    <row r="63" customHeight="1" spans="1:6">
      <c r="A63" s="10">
        <v>2</v>
      </c>
      <c r="B63" s="351" t="s">
        <v>919</v>
      </c>
      <c r="C63" s="17" t="s">
        <v>920</v>
      </c>
      <c r="D63" s="15" t="s">
        <v>50</v>
      </c>
      <c r="E63" s="628">
        <v>126000</v>
      </c>
      <c r="F63" s="13"/>
    </row>
    <row r="64" customHeight="1" spans="1:6">
      <c r="A64" s="10">
        <v>3</v>
      </c>
      <c r="B64" s="11" t="s">
        <v>167</v>
      </c>
      <c r="C64" s="4" t="s">
        <v>52</v>
      </c>
      <c r="D64" s="10" t="s">
        <v>53</v>
      </c>
      <c r="E64" s="628">
        <v>90000</v>
      </c>
      <c r="F64" s="13"/>
    </row>
    <row r="65" customHeight="1" spans="1:6">
      <c r="A65" s="10">
        <v>4</v>
      </c>
      <c r="B65" s="18" t="s">
        <v>921</v>
      </c>
      <c r="C65" s="17" t="s">
        <v>217</v>
      </c>
      <c r="D65" s="15" t="s">
        <v>601</v>
      </c>
      <c r="E65" s="628">
        <v>90000</v>
      </c>
      <c r="F65" s="13"/>
    </row>
    <row r="66" customHeight="1" spans="1:6">
      <c r="A66" s="10">
        <v>5</v>
      </c>
      <c r="B66" s="14" t="s">
        <v>922</v>
      </c>
      <c r="C66" s="17" t="s">
        <v>52</v>
      </c>
      <c r="D66" s="15" t="s">
        <v>192</v>
      </c>
      <c r="E66" s="628">
        <v>90000</v>
      </c>
      <c r="F66" s="13"/>
    </row>
    <row r="67" customHeight="1" spans="1:6">
      <c r="A67" s="10">
        <v>7</v>
      </c>
      <c r="B67" s="11" t="s">
        <v>171</v>
      </c>
      <c r="C67" s="4" t="s">
        <v>152</v>
      </c>
      <c r="D67" s="10" t="s">
        <v>131</v>
      </c>
      <c r="E67" s="628">
        <v>68000</v>
      </c>
      <c r="F67" s="13"/>
    </row>
    <row r="68" customHeight="1" spans="1:6">
      <c r="A68" s="10">
        <v>8</v>
      </c>
      <c r="B68" s="11" t="s">
        <v>172</v>
      </c>
      <c r="C68" s="17" t="s">
        <v>72</v>
      </c>
      <c r="D68" s="10" t="s">
        <v>131</v>
      </c>
      <c r="E68" s="628">
        <v>68000</v>
      </c>
      <c r="F68" s="13"/>
    </row>
    <row r="69" customHeight="1" spans="1:6">
      <c r="A69" s="10">
        <v>9</v>
      </c>
      <c r="B69" s="11" t="s">
        <v>174</v>
      </c>
      <c r="C69" s="17" t="s">
        <v>72</v>
      </c>
      <c r="D69" s="10" t="s">
        <v>131</v>
      </c>
      <c r="E69" s="628">
        <v>68000</v>
      </c>
      <c r="F69" s="13"/>
    </row>
    <row r="70" customHeight="1" spans="1:6">
      <c r="A70" s="10">
        <v>10</v>
      </c>
      <c r="B70" s="11" t="s">
        <v>175</v>
      </c>
      <c r="C70" s="4" t="s">
        <v>649</v>
      </c>
      <c r="D70" s="10" t="s">
        <v>70</v>
      </c>
      <c r="E70" s="628">
        <v>68000</v>
      </c>
      <c r="F70" s="13"/>
    </row>
    <row r="71" ht="21.6" customHeight="1" spans="1:6">
      <c r="A71" s="10">
        <v>11</v>
      </c>
      <c r="B71" s="11" t="s">
        <v>179</v>
      </c>
      <c r="C71" s="4" t="s">
        <v>152</v>
      </c>
      <c r="D71" s="10" t="s">
        <v>75</v>
      </c>
      <c r="E71" s="628">
        <v>68000</v>
      </c>
    </row>
    <row r="72" ht="27" customHeight="1" spans="1:6">
      <c r="A72" s="10"/>
      <c r="B72" s="20" t="s">
        <v>120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183</v>
      </c>
      <c r="C74" s="21"/>
      <c r="D74" s="21"/>
      <c r="E74" s="631"/>
      <c r="F74" s="13"/>
    </row>
    <row r="75" customHeight="1" spans="1:6">
      <c r="A75" s="10">
        <v>1</v>
      </c>
      <c r="B75" s="11" t="s">
        <v>184</v>
      </c>
      <c r="C75" s="4" t="s">
        <v>185</v>
      </c>
      <c r="D75" s="10" t="s">
        <v>124</v>
      </c>
      <c r="E75" s="628">
        <v>270000</v>
      </c>
      <c r="F75" s="13"/>
    </row>
    <row r="76" customHeight="1" spans="1:6">
      <c r="A76" s="10">
        <v>2</v>
      </c>
      <c r="B76" s="14" t="s">
        <v>923</v>
      </c>
      <c r="C76" s="4" t="s">
        <v>924</v>
      </c>
      <c r="D76" s="15" t="s">
        <v>925</v>
      </c>
      <c r="E76" s="628">
        <v>126000</v>
      </c>
      <c r="F76" s="13"/>
    </row>
    <row r="77" customHeight="1" spans="1:6">
      <c r="A77" s="10">
        <v>3</v>
      </c>
      <c r="B77" s="18" t="s">
        <v>186</v>
      </c>
      <c r="C77" s="12" t="s">
        <v>926</v>
      </c>
      <c r="D77" s="10" t="s">
        <v>486</v>
      </c>
      <c r="E77" s="628">
        <v>126000</v>
      </c>
      <c r="F77" s="13"/>
    </row>
    <row r="78" customHeight="1" spans="1:6">
      <c r="A78" s="10">
        <v>4</v>
      </c>
      <c r="B78" s="11" t="s">
        <v>190</v>
      </c>
      <c r="C78" s="4" t="s">
        <v>191</v>
      </c>
      <c r="D78" s="15" t="s">
        <v>214</v>
      </c>
      <c r="E78" s="628">
        <v>90000</v>
      </c>
      <c r="F78" s="13"/>
    </row>
    <row r="79" customHeight="1" spans="1:6">
      <c r="A79" s="10">
        <v>5</v>
      </c>
      <c r="B79" s="11" t="s">
        <v>197</v>
      </c>
      <c r="C79" s="4" t="s">
        <v>182</v>
      </c>
      <c r="D79" s="10" t="s">
        <v>78</v>
      </c>
      <c r="E79" s="628">
        <v>68000</v>
      </c>
      <c r="F79" s="13"/>
    </row>
    <row r="80" customHeight="1" spans="1:6">
      <c r="A80" s="10">
        <v>6</v>
      </c>
      <c r="B80" s="11" t="s">
        <v>201</v>
      </c>
      <c r="C80" s="4" t="s">
        <v>182</v>
      </c>
      <c r="D80" s="10" t="s">
        <v>99</v>
      </c>
      <c r="E80" s="628">
        <v>54000</v>
      </c>
      <c r="F80" s="13"/>
    </row>
    <row r="81" customHeight="1" spans="1:6">
      <c r="A81" s="10">
        <v>7</v>
      </c>
      <c r="B81" s="11" t="s">
        <v>203</v>
      </c>
      <c r="C81" s="4" t="s">
        <v>204</v>
      </c>
      <c r="D81" s="10" t="s">
        <v>111</v>
      </c>
      <c r="E81" s="628">
        <v>54000</v>
      </c>
      <c r="F81" s="13"/>
    </row>
    <row r="82" customHeight="1" spans="1:6">
      <c r="A82" s="10"/>
      <c r="B82" s="20" t="s">
        <v>120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205</v>
      </c>
      <c r="C84" s="25"/>
      <c r="D84" s="21"/>
      <c r="E84" s="628"/>
      <c r="F84" s="13"/>
    </row>
    <row r="85" customHeight="1" spans="1:6">
      <c r="A85" s="10">
        <v>1</v>
      </c>
      <c r="B85" s="11" t="s">
        <v>208</v>
      </c>
      <c r="C85" s="4" t="s">
        <v>145</v>
      </c>
      <c r="D85" s="10" t="s">
        <v>39</v>
      </c>
      <c r="E85" s="628">
        <v>126000</v>
      </c>
      <c r="F85" s="13"/>
    </row>
    <row r="86" customHeight="1" spans="1:6">
      <c r="A86" s="10">
        <v>2</v>
      </c>
      <c r="B86" s="11" t="s">
        <v>206</v>
      </c>
      <c r="C86" s="4" t="s">
        <v>145</v>
      </c>
      <c r="D86" s="10" t="s">
        <v>39</v>
      </c>
      <c r="E86" s="628">
        <v>126000</v>
      </c>
      <c r="F86" s="13"/>
    </row>
    <row r="87" customHeight="1" spans="1:6">
      <c r="A87" s="10">
        <v>3</v>
      </c>
      <c r="B87" s="11" t="s">
        <v>479</v>
      </c>
      <c r="C87" s="4" t="s">
        <v>145</v>
      </c>
      <c r="D87" s="10" t="s">
        <v>42</v>
      </c>
      <c r="E87" s="628">
        <v>126000</v>
      </c>
      <c r="F87" s="13"/>
    </row>
    <row r="88" ht="21.6" customHeight="1" spans="1:6">
      <c r="A88" s="10">
        <v>4</v>
      </c>
      <c r="B88" s="11" t="s">
        <v>211</v>
      </c>
      <c r="C88" s="4" t="s">
        <v>927</v>
      </c>
      <c r="D88" s="15" t="s">
        <v>56</v>
      </c>
      <c r="E88" s="628">
        <v>90000</v>
      </c>
      <c r="F88" s="13"/>
    </row>
    <row r="89" ht="21.6" customHeight="1" spans="1:6">
      <c r="A89" s="10">
        <v>5</v>
      </c>
      <c r="B89" s="11" t="s">
        <v>212</v>
      </c>
      <c r="C89" s="12" t="s">
        <v>217</v>
      </c>
      <c r="D89" s="15" t="s">
        <v>601</v>
      </c>
      <c r="E89" s="628">
        <v>90000</v>
      </c>
      <c r="F89" s="13"/>
    </row>
    <row r="90" ht="21.6" customHeight="1" spans="1:6">
      <c r="A90" s="10">
        <v>6</v>
      </c>
      <c r="B90" s="11" t="s">
        <v>213</v>
      </c>
      <c r="C90" s="12" t="s">
        <v>52</v>
      </c>
      <c r="D90" s="15" t="s">
        <v>600</v>
      </c>
      <c r="E90" s="628">
        <v>90000</v>
      </c>
      <c r="F90" s="13"/>
    </row>
    <row r="91" ht="21.6" customHeight="1" spans="1:6">
      <c r="A91" s="10">
        <v>7</v>
      </c>
      <c r="B91" s="11" t="s">
        <v>215</v>
      </c>
      <c r="C91" s="17" t="s">
        <v>72</v>
      </c>
      <c r="D91" s="15" t="s">
        <v>131</v>
      </c>
      <c r="E91" s="628">
        <v>68000</v>
      </c>
      <c r="F91" s="13"/>
    </row>
    <row r="92" ht="21.6" customHeight="1" spans="1:6">
      <c r="A92" s="10">
        <v>8</v>
      </c>
      <c r="B92" s="11" t="s">
        <v>216</v>
      </c>
      <c r="C92" s="17" t="s">
        <v>217</v>
      </c>
      <c r="D92" s="15" t="s">
        <v>67</v>
      </c>
      <c r="E92" s="628">
        <v>90000</v>
      </c>
      <c r="F92" s="13"/>
    </row>
    <row r="93" ht="21.6" customHeight="1" spans="1:6">
      <c r="A93" s="10">
        <v>9</v>
      </c>
      <c r="B93" s="11" t="s">
        <v>220</v>
      </c>
      <c r="C93" s="4" t="s">
        <v>221</v>
      </c>
      <c r="D93" s="10" t="s">
        <v>75</v>
      </c>
      <c r="E93" s="628">
        <v>68000</v>
      </c>
      <c r="F93" s="13"/>
    </row>
    <row r="94" ht="21.6" customHeight="1" spans="1:6">
      <c r="A94" s="10">
        <v>10</v>
      </c>
      <c r="B94" s="11" t="s">
        <v>224</v>
      </c>
      <c r="C94" s="17" t="s">
        <v>505</v>
      </c>
      <c r="D94" s="15" t="s">
        <v>108</v>
      </c>
      <c r="E94" s="628">
        <v>54000</v>
      </c>
      <c r="F94" s="13"/>
    </row>
    <row r="95" customHeight="1" spans="1:6">
      <c r="A95" s="10"/>
      <c r="B95" s="20" t="s">
        <v>120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226</v>
      </c>
      <c r="C97" s="21"/>
      <c r="D97" s="21"/>
      <c r="E97" s="631"/>
      <c r="F97" s="13"/>
    </row>
    <row r="98" customHeight="1" spans="1:6">
      <c r="A98" s="10">
        <v>1</v>
      </c>
      <c r="B98" s="14" t="s">
        <v>227</v>
      </c>
      <c r="C98" s="4" t="s">
        <v>650</v>
      </c>
      <c r="D98" s="16" t="s">
        <v>304</v>
      </c>
      <c r="E98" s="628">
        <v>270000</v>
      </c>
      <c r="F98" s="13"/>
    </row>
    <row r="99" customHeight="1" spans="1:6">
      <c r="A99" s="10">
        <v>2</v>
      </c>
      <c r="B99" s="11" t="s">
        <v>229</v>
      </c>
      <c r="C99" s="4" t="s">
        <v>230</v>
      </c>
      <c r="D99" s="15" t="s">
        <v>214</v>
      </c>
      <c r="E99" s="628">
        <v>90000</v>
      </c>
      <c r="F99" s="13"/>
    </row>
    <row r="100" customHeight="1" spans="1:6">
      <c r="A100" s="10">
        <v>3</v>
      </c>
      <c r="B100" s="11" t="s">
        <v>235</v>
      </c>
      <c r="C100" s="4" t="s">
        <v>651</v>
      </c>
      <c r="D100" s="15" t="s">
        <v>70</v>
      </c>
      <c r="E100" s="628">
        <v>68000</v>
      </c>
      <c r="F100" s="13"/>
    </row>
    <row r="101" customHeight="1" spans="1:6">
      <c r="A101" s="10">
        <v>4</v>
      </c>
      <c r="B101" s="11" t="s">
        <v>236</v>
      </c>
      <c r="C101" s="4" t="s">
        <v>200</v>
      </c>
      <c r="D101" s="15" t="s">
        <v>75</v>
      </c>
      <c r="E101" s="628">
        <v>68000</v>
      </c>
      <c r="F101" s="13"/>
    </row>
    <row r="102" customHeight="1" spans="1:6">
      <c r="A102" s="4"/>
      <c r="B102" s="20" t="s">
        <v>120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239</v>
      </c>
      <c r="C104" s="4"/>
      <c r="D104" s="4"/>
      <c r="E104" s="632"/>
      <c r="F104" s="13"/>
    </row>
    <row r="105" customHeight="1" spans="1:6">
      <c r="A105" s="4">
        <v>1</v>
      </c>
      <c r="B105" s="11" t="s">
        <v>652</v>
      </c>
      <c r="C105" s="12" t="s">
        <v>241</v>
      </c>
      <c r="D105" s="15" t="s">
        <v>124</v>
      </c>
      <c r="E105" s="628">
        <v>270000</v>
      </c>
      <c r="F105" s="13"/>
    </row>
    <row r="106" customHeight="1" spans="1:6">
      <c r="A106" s="4">
        <v>2</v>
      </c>
      <c r="B106" s="11" t="s">
        <v>242</v>
      </c>
      <c r="C106" s="4" t="s">
        <v>243</v>
      </c>
      <c r="D106" s="16" t="s">
        <v>36</v>
      </c>
      <c r="E106" s="628">
        <v>180000</v>
      </c>
      <c r="F106" s="13"/>
    </row>
    <row r="107" customHeight="1" spans="1:6">
      <c r="A107" s="4">
        <v>3</v>
      </c>
      <c r="B107" s="11" t="s">
        <v>244</v>
      </c>
      <c r="C107" s="4" t="s">
        <v>653</v>
      </c>
      <c r="D107" s="10" t="s">
        <v>56</v>
      </c>
      <c r="E107" s="628">
        <v>90000</v>
      </c>
      <c r="F107" s="13"/>
    </row>
    <row r="108" customHeight="1" spans="1:6">
      <c r="A108" s="4">
        <v>4</v>
      </c>
      <c r="B108" s="11" t="s">
        <v>246</v>
      </c>
      <c r="C108" s="4" t="s">
        <v>653</v>
      </c>
      <c r="D108" s="10" t="s">
        <v>56</v>
      </c>
      <c r="E108" s="628">
        <v>90000</v>
      </c>
      <c r="F108" s="13"/>
    </row>
    <row r="109" customHeight="1" spans="1:6">
      <c r="A109" s="4">
        <v>5</v>
      </c>
      <c r="B109" s="11" t="s">
        <v>249</v>
      </c>
      <c r="C109" s="4" t="s">
        <v>250</v>
      </c>
      <c r="D109" s="15" t="s">
        <v>928</v>
      </c>
      <c r="E109" s="628">
        <v>54000</v>
      </c>
      <c r="F109" s="13"/>
    </row>
    <row r="110" customHeight="1" spans="1:6">
      <c r="A110" s="4">
        <v>6</v>
      </c>
      <c r="B110" s="18" t="s">
        <v>252</v>
      </c>
      <c r="C110" s="4" t="s">
        <v>250</v>
      </c>
      <c r="D110" s="10" t="s">
        <v>506</v>
      </c>
      <c r="E110" s="628">
        <v>54000</v>
      </c>
      <c r="F110" s="13"/>
    </row>
    <row r="111" customHeight="1" spans="1:6">
      <c r="A111" s="4">
        <v>7</v>
      </c>
      <c r="B111" s="18" t="s">
        <v>253</v>
      </c>
      <c r="C111" s="4" t="s">
        <v>250</v>
      </c>
      <c r="D111" s="15" t="s">
        <v>108</v>
      </c>
      <c r="E111" s="628">
        <v>54000</v>
      </c>
      <c r="F111" s="13"/>
    </row>
    <row r="112" ht="25.5" customHeight="1" spans="1:6">
      <c r="A112" s="4"/>
      <c r="B112" s="20" t="s">
        <v>120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257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165</v>
      </c>
      <c r="C115" s="4" t="s">
        <v>145</v>
      </c>
      <c r="D115" s="10" t="s">
        <v>50</v>
      </c>
      <c r="E115" s="628">
        <v>126000</v>
      </c>
      <c r="F115" s="13"/>
    </row>
    <row r="116" ht="18.75" customHeight="1" spans="1:6">
      <c r="A116" s="10">
        <v>2</v>
      </c>
      <c r="B116" s="11" t="s">
        <v>259</v>
      </c>
      <c r="C116" s="4" t="s">
        <v>260</v>
      </c>
      <c r="D116" s="15" t="s">
        <v>70</v>
      </c>
      <c r="E116" s="628">
        <v>68000</v>
      </c>
      <c r="F116" s="13"/>
    </row>
    <row r="117" customHeight="1" spans="1:6">
      <c r="A117" s="10">
        <v>3</v>
      </c>
      <c r="B117" s="11" t="s">
        <v>193</v>
      </c>
      <c r="C117" s="12" t="s">
        <v>929</v>
      </c>
      <c r="D117" s="15" t="s">
        <v>173</v>
      </c>
      <c r="E117" s="628">
        <v>68000</v>
      </c>
      <c r="F117" s="13"/>
    </row>
    <row r="118" ht="24.75" customHeight="1" spans="1:6">
      <c r="A118" s="4"/>
      <c r="B118" s="20" t="s">
        <v>120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278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279</v>
      </c>
      <c r="C121" s="12" t="s">
        <v>280</v>
      </c>
      <c r="D121" s="15" t="s">
        <v>124</v>
      </c>
      <c r="E121" s="628">
        <v>270000</v>
      </c>
      <c r="F121" s="13"/>
    </row>
    <row r="122" customHeight="1" spans="1:6">
      <c r="A122" s="4">
        <v>2</v>
      </c>
      <c r="B122" s="11" t="s">
        <v>281</v>
      </c>
      <c r="C122" s="12" t="s">
        <v>654</v>
      </c>
      <c r="D122" s="15" t="s">
        <v>210</v>
      </c>
      <c r="E122" s="628">
        <v>180000</v>
      </c>
      <c r="F122" s="13"/>
    </row>
    <row r="123" customHeight="1" spans="1:6">
      <c r="A123" s="4">
        <v>3</v>
      </c>
      <c r="B123" s="14" t="s">
        <v>283</v>
      </c>
      <c r="C123" s="12" t="s">
        <v>655</v>
      </c>
      <c r="D123" s="15" t="s">
        <v>39</v>
      </c>
      <c r="E123" s="628">
        <v>126000</v>
      </c>
      <c r="F123" s="13"/>
    </row>
    <row r="124" customHeight="1" spans="1:6">
      <c r="A124" s="4">
        <v>4</v>
      </c>
      <c r="B124" s="14" t="s">
        <v>930</v>
      </c>
      <c r="C124" s="12" t="s">
        <v>655</v>
      </c>
      <c r="D124" s="15" t="s">
        <v>42</v>
      </c>
      <c r="E124" s="628">
        <v>126000</v>
      </c>
      <c r="F124" s="13"/>
    </row>
    <row r="125" customHeight="1" spans="1:6">
      <c r="A125" s="4">
        <v>5</v>
      </c>
      <c r="B125" s="11" t="s">
        <v>286</v>
      </c>
      <c r="C125" s="12" t="s">
        <v>288</v>
      </c>
      <c r="D125" s="15" t="s">
        <v>47</v>
      </c>
      <c r="E125" s="628">
        <v>90000</v>
      </c>
      <c r="F125" s="13"/>
    </row>
    <row r="126" customHeight="1" spans="1:6">
      <c r="A126" s="4">
        <v>6</v>
      </c>
      <c r="B126" s="11" t="s">
        <v>287</v>
      </c>
      <c r="C126" s="12" t="s">
        <v>656</v>
      </c>
      <c r="D126" s="15" t="s">
        <v>53</v>
      </c>
      <c r="E126" s="628">
        <v>90000</v>
      </c>
      <c r="F126" s="13"/>
    </row>
    <row r="127" customHeight="1" spans="1:6">
      <c r="A127" s="4">
        <v>7</v>
      </c>
      <c r="B127" s="11" t="s">
        <v>289</v>
      </c>
      <c r="C127" s="12" t="s">
        <v>288</v>
      </c>
      <c r="D127" s="15" t="s">
        <v>214</v>
      </c>
      <c r="E127" s="628">
        <v>90000</v>
      </c>
      <c r="F127" s="13"/>
    </row>
    <row r="128" customHeight="1" spans="1:6">
      <c r="A128" s="4">
        <v>8</v>
      </c>
      <c r="B128" s="11" t="s">
        <v>292</v>
      </c>
      <c r="C128" s="12" t="s">
        <v>657</v>
      </c>
      <c r="D128" s="10" t="s">
        <v>86</v>
      </c>
      <c r="E128" s="628">
        <v>54000</v>
      </c>
      <c r="F128" s="13"/>
    </row>
    <row r="129" customHeight="1" spans="1:6">
      <c r="A129" s="4">
        <v>9</v>
      </c>
      <c r="B129" s="18" t="s">
        <v>294</v>
      </c>
      <c r="C129" s="12" t="s">
        <v>295</v>
      </c>
      <c r="D129" s="15" t="s">
        <v>111</v>
      </c>
      <c r="E129" s="628">
        <v>54000</v>
      </c>
      <c r="F129" s="13"/>
    </row>
    <row r="130" customHeight="1" spans="1:6">
      <c r="A130" s="4">
        <v>10</v>
      </c>
      <c r="B130" s="18" t="s">
        <v>296</v>
      </c>
      <c r="C130" s="12" t="s">
        <v>291</v>
      </c>
      <c r="D130" s="15" t="s">
        <v>111</v>
      </c>
      <c r="E130" s="628">
        <v>54000</v>
      </c>
      <c r="F130" s="13"/>
    </row>
    <row r="131" ht="28.5" customHeight="1" spans="1:6">
      <c r="A131" s="4"/>
      <c r="B131" s="20" t="s">
        <v>120</v>
      </c>
      <c r="C131" s="26" t="s">
        <v>658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299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931</v>
      </c>
      <c r="C134" s="12" t="s">
        <v>932</v>
      </c>
      <c r="D134" s="15" t="s">
        <v>124</v>
      </c>
      <c r="E134" s="628">
        <v>270000</v>
      </c>
      <c r="F134" s="13"/>
    </row>
    <row r="135" customHeight="1" spans="1:6">
      <c r="A135" s="27">
        <v>2</v>
      </c>
      <c r="B135" s="11" t="s">
        <v>933</v>
      </c>
      <c r="C135" s="12" t="s">
        <v>934</v>
      </c>
      <c r="D135" s="15" t="s">
        <v>36</v>
      </c>
      <c r="E135" s="628">
        <v>180000</v>
      </c>
      <c r="F135" s="13"/>
    </row>
    <row r="136" customHeight="1" spans="1:6">
      <c r="A136" s="27">
        <v>3</v>
      </c>
      <c r="B136" s="14" t="s">
        <v>302</v>
      </c>
      <c r="C136" s="4" t="s">
        <v>488</v>
      </c>
      <c r="D136" s="16" t="s">
        <v>36</v>
      </c>
      <c r="E136" s="628">
        <v>180000</v>
      </c>
      <c r="F136" s="13"/>
    </row>
    <row r="137" customHeight="1" spans="1:6">
      <c r="A137" s="27">
        <v>4</v>
      </c>
      <c r="B137" s="11" t="s">
        <v>305</v>
      </c>
      <c r="C137" s="12" t="s">
        <v>935</v>
      </c>
      <c r="D137" s="15" t="s">
        <v>192</v>
      </c>
      <c r="E137" s="628">
        <v>90000</v>
      </c>
      <c r="F137" s="13"/>
    </row>
    <row r="138" customHeight="1" spans="1:6">
      <c r="A138" s="27">
        <v>5</v>
      </c>
      <c r="B138" s="11" t="s">
        <v>307</v>
      </c>
      <c r="C138" s="4" t="s">
        <v>311</v>
      </c>
      <c r="D138" s="15" t="s">
        <v>192</v>
      </c>
      <c r="E138" s="628">
        <v>90000</v>
      </c>
      <c r="F138" s="13"/>
    </row>
    <row r="139" customHeight="1" spans="1:6">
      <c r="A139" s="27">
        <v>6</v>
      </c>
      <c r="B139" s="11" t="s">
        <v>309</v>
      </c>
      <c r="C139" s="4" t="s">
        <v>311</v>
      </c>
      <c r="D139" s="15" t="s">
        <v>192</v>
      </c>
      <c r="E139" s="628">
        <v>90000</v>
      </c>
      <c r="F139" s="13"/>
    </row>
    <row r="140" customHeight="1" spans="1:6">
      <c r="A140" s="27">
        <v>7</v>
      </c>
      <c r="B140" s="11" t="s">
        <v>231</v>
      </c>
      <c r="C140" s="12" t="s">
        <v>936</v>
      </c>
      <c r="D140" s="15" t="s">
        <v>173</v>
      </c>
      <c r="E140" s="628">
        <v>68000</v>
      </c>
      <c r="F140" s="13"/>
    </row>
    <row r="141" customHeight="1" spans="1:6">
      <c r="A141" s="27">
        <v>8</v>
      </c>
      <c r="B141" s="11" t="s">
        <v>312</v>
      </c>
      <c r="C141" s="12" t="s">
        <v>936</v>
      </c>
      <c r="D141" s="15" t="s">
        <v>173</v>
      </c>
      <c r="E141" s="628">
        <v>68000</v>
      </c>
      <c r="F141" s="13"/>
    </row>
    <row r="142" customHeight="1" spans="1:6">
      <c r="A142" s="27">
        <v>9</v>
      </c>
      <c r="B142" s="11" t="s">
        <v>313</v>
      </c>
      <c r="C142" s="4" t="s">
        <v>937</v>
      </c>
      <c r="D142" s="15" t="s">
        <v>173</v>
      </c>
      <c r="E142" s="628">
        <v>68000</v>
      </c>
      <c r="F142" s="13"/>
    </row>
    <row r="143" customHeight="1" spans="1:6">
      <c r="A143" s="27">
        <v>10</v>
      </c>
      <c r="B143" s="11" t="s">
        <v>315</v>
      </c>
      <c r="C143" s="12" t="s">
        <v>660</v>
      </c>
      <c r="D143" s="15" t="s">
        <v>70</v>
      </c>
      <c r="E143" s="628">
        <v>68000</v>
      </c>
      <c r="F143" s="13"/>
    </row>
    <row r="144" customHeight="1" spans="1:6">
      <c r="A144" s="27">
        <v>11</v>
      </c>
      <c r="B144" s="11" t="s">
        <v>317</v>
      </c>
      <c r="C144" s="12" t="s">
        <v>318</v>
      </c>
      <c r="D144" s="15" t="s">
        <v>131</v>
      </c>
      <c r="E144" s="628">
        <v>68000</v>
      </c>
      <c r="F144" s="13"/>
    </row>
    <row r="145" customHeight="1" spans="1:6">
      <c r="A145" s="27">
        <v>12</v>
      </c>
      <c r="B145" s="11" t="s">
        <v>62</v>
      </c>
      <c r="C145" s="12" t="s">
        <v>938</v>
      </c>
      <c r="D145" s="15" t="s">
        <v>173</v>
      </c>
      <c r="E145" s="628">
        <v>68000</v>
      </c>
      <c r="F145" s="13"/>
    </row>
    <row r="146" customHeight="1" spans="1:6">
      <c r="A146" s="27">
        <v>13</v>
      </c>
      <c r="B146" s="18" t="s">
        <v>319</v>
      </c>
      <c r="C146" s="4" t="s">
        <v>320</v>
      </c>
      <c r="D146" s="15" t="s">
        <v>180</v>
      </c>
      <c r="E146" s="628">
        <v>68000</v>
      </c>
      <c r="F146" s="13"/>
    </row>
    <row r="147" customHeight="1" spans="1:6">
      <c r="A147" s="27">
        <v>14</v>
      </c>
      <c r="B147" s="11" t="s">
        <v>321</v>
      </c>
      <c r="C147" s="4" t="s">
        <v>939</v>
      </c>
      <c r="D147" s="15" t="s">
        <v>78</v>
      </c>
      <c r="E147" s="628">
        <v>68000</v>
      </c>
      <c r="F147" s="13"/>
    </row>
    <row r="148" customHeight="1" spans="1:6">
      <c r="A148" s="27">
        <v>15</v>
      </c>
      <c r="B148" s="11" t="s">
        <v>322</v>
      </c>
      <c r="C148" s="4" t="s">
        <v>939</v>
      </c>
      <c r="D148" s="15" t="s">
        <v>153</v>
      </c>
      <c r="E148" s="628">
        <v>68000</v>
      </c>
      <c r="F148" s="13"/>
    </row>
    <row r="149" customHeight="1" spans="1:6">
      <c r="A149" s="27">
        <v>16</v>
      </c>
      <c r="B149" s="11" t="s">
        <v>324</v>
      </c>
      <c r="C149" s="4" t="s">
        <v>939</v>
      </c>
      <c r="D149" s="15" t="s">
        <v>153</v>
      </c>
      <c r="E149" s="628">
        <v>68000</v>
      </c>
      <c r="F149" s="13"/>
    </row>
    <row r="150" customHeight="1" spans="1:6">
      <c r="A150" s="27">
        <v>17</v>
      </c>
      <c r="B150" s="11" t="s">
        <v>325</v>
      </c>
      <c r="C150" s="12" t="s">
        <v>326</v>
      </c>
      <c r="D150" s="15" t="s">
        <v>75</v>
      </c>
      <c r="E150" s="628">
        <v>68000</v>
      </c>
      <c r="F150" s="13"/>
    </row>
    <row r="151" customHeight="1" spans="1:6">
      <c r="A151" s="27">
        <v>18</v>
      </c>
      <c r="B151" s="11" t="s">
        <v>327</v>
      </c>
      <c r="C151" s="12" t="s">
        <v>328</v>
      </c>
      <c r="D151" s="10" t="s">
        <v>99</v>
      </c>
      <c r="E151" s="628">
        <v>54000</v>
      </c>
      <c r="F151" s="13"/>
    </row>
    <row r="152" customHeight="1" spans="1:6">
      <c r="A152" s="27">
        <v>19</v>
      </c>
      <c r="B152" s="11" t="s">
        <v>329</v>
      </c>
      <c r="C152" s="12" t="s">
        <v>661</v>
      </c>
      <c r="D152" s="15" t="s">
        <v>78</v>
      </c>
      <c r="E152" s="628">
        <v>68000</v>
      </c>
      <c r="F152" s="13"/>
    </row>
    <row r="153" customHeight="1" spans="1:6">
      <c r="A153" s="27">
        <v>20</v>
      </c>
      <c r="B153" s="11" t="s">
        <v>331</v>
      </c>
      <c r="C153" s="12" t="s">
        <v>662</v>
      </c>
      <c r="D153" s="15" t="s">
        <v>86</v>
      </c>
      <c r="E153" s="628">
        <v>54000</v>
      </c>
      <c r="F153" s="13"/>
    </row>
    <row r="154" customHeight="1" spans="1:6">
      <c r="A154" s="27">
        <v>21</v>
      </c>
      <c r="B154" s="11" t="s">
        <v>333</v>
      </c>
      <c r="C154" s="12" t="s">
        <v>663</v>
      </c>
      <c r="D154" s="15" t="s">
        <v>78</v>
      </c>
      <c r="E154" s="628">
        <v>68000</v>
      </c>
      <c r="F154" s="13"/>
    </row>
    <row r="155" customHeight="1" spans="1:6">
      <c r="A155" s="27">
        <v>22</v>
      </c>
      <c r="B155" s="11" t="s">
        <v>334</v>
      </c>
      <c r="C155" s="12" t="s">
        <v>664</v>
      </c>
      <c r="D155" s="15" t="s">
        <v>86</v>
      </c>
      <c r="E155" s="628">
        <v>54000</v>
      </c>
      <c r="F155" s="13"/>
    </row>
    <row r="156" customHeight="1" spans="1:6">
      <c r="A156" s="27">
        <v>23</v>
      </c>
      <c r="B156" s="18" t="s">
        <v>336</v>
      </c>
      <c r="C156" s="12" t="s">
        <v>337</v>
      </c>
      <c r="D156" s="15" t="s">
        <v>225</v>
      </c>
      <c r="E156" s="628">
        <v>54000</v>
      </c>
      <c r="F156" s="13"/>
    </row>
    <row r="157" customHeight="1" spans="1:6">
      <c r="A157" s="27">
        <v>24</v>
      </c>
      <c r="B157" s="18" t="s">
        <v>343</v>
      </c>
      <c r="C157" s="12" t="s">
        <v>344</v>
      </c>
      <c r="D157" s="15" t="s">
        <v>111</v>
      </c>
      <c r="E157" s="628">
        <v>54000</v>
      </c>
      <c r="F157" s="13"/>
    </row>
    <row r="158" customHeight="1" spans="1:6">
      <c r="A158" s="27">
        <v>25</v>
      </c>
      <c r="B158" s="18" t="s">
        <v>345</v>
      </c>
      <c r="C158" s="12" t="s">
        <v>346</v>
      </c>
      <c r="D158" s="15" t="s">
        <v>111</v>
      </c>
      <c r="E158" s="628">
        <v>54000</v>
      </c>
      <c r="F158" s="13"/>
    </row>
    <row r="159" customHeight="1" spans="1:6">
      <c r="A159" s="27">
        <v>26</v>
      </c>
      <c r="B159" s="18" t="s">
        <v>347</v>
      </c>
      <c r="C159" s="12" t="s">
        <v>348</v>
      </c>
      <c r="D159" s="15" t="s">
        <v>111</v>
      </c>
      <c r="E159" s="628">
        <v>54000</v>
      </c>
      <c r="F159" s="13"/>
    </row>
    <row r="160" customHeight="1" spans="1:6">
      <c r="A160" s="27">
        <v>27</v>
      </c>
      <c r="B160" s="18" t="s">
        <v>349</v>
      </c>
      <c r="C160" s="12" t="s">
        <v>665</v>
      </c>
      <c r="D160" s="15" t="s">
        <v>108</v>
      </c>
      <c r="E160" s="628">
        <v>54000</v>
      </c>
      <c r="F160" s="13"/>
    </row>
    <row r="161" customHeight="1" spans="1:6">
      <c r="A161" s="27">
        <v>28</v>
      </c>
      <c r="B161" s="18" t="s">
        <v>350</v>
      </c>
      <c r="C161" s="12" t="s">
        <v>346</v>
      </c>
      <c r="D161" s="15" t="s">
        <v>111</v>
      </c>
      <c r="E161" s="628">
        <v>54000</v>
      </c>
      <c r="F161" s="13"/>
    </row>
    <row r="162" customHeight="1" spans="1:6">
      <c r="A162" s="27">
        <v>29</v>
      </c>
      <c r="B162" s="11" t="s">
        <v>359</v>
      </c>
      <c r="C162" s="12" t="s">
        <v>512</v>
      </c>
      <c r="D162" s="15" t="s">
        <v>384</v>
      </c>
      <c r="E162" s="628">
        <v>36000</v>
      </c>
      <c r="F162" s="13"/>
    </row>
    <row r="163" customHeight="1" spans="1:6">
      <c r="A163" s="27">
        <v>30</v>
      </c>
      <c r="B163" s="11" t="s">
        <v>362</v>
      </c>
      <c r="C163" s="12" t="s">
        <v>512</v>
      </c>
      <c r="D163" s="15" t="s">
        <v>384</v>
      </c>
      <c r="E163" s="628">
        <v>36000</v>
      </c>
      <c r="F163" s="13"/>
    </row>
    <row r="164" customHeight="1" spans="1:6">
      <c r="A164" s="27">
        <v>31</v>
      </c>
      <c r="B164" s="11" t="s">
        <v>666</v>
      </c>
      <c r="C164" s="12" t="s">
        <v>512</v>
      </c>
      <c r="D164" s="15" t="s">
        <v>384</v>
      </c>
      <c r="E164" s="628">
        <v>36000</v>
      </c>
      <c r="F164" s="13"/>
    </row>
    <row r="165" customHeight="1" spans="1:6">
      <c r="A165" s="27">
        <v>32</v>
      </c>
      <c r="B165" s="11" t="s">
        <v>363</v>
      </c>
      <c r="C165" s="12" t="s">
        <v>512</v>
      </c>
      <c r="D165" s="15" t="s">
        <v>384</v>
      </c>
      <c r="E165" s="628">
        <v>36000</v>
      </c>
      <c r="F165" s="13"/>
    </row>
    <row r="166" customHeight="1" spans="1:6">
      <c r="A166" s="27">
        <v>33</v>
      </c>
      <c r="B166" s="11" t="s">
        <v>364</v>
      </c>
      <c r="C166" s="12" t="s">
        <v>512</v>
      </c>
      <c r="D166" s="15" t="s">
        <v>384</v>
      </c>
      <c r="E166" s="628">
        <v>36000</v>
      </c>
      <c r="F166" s="13"/>
    </row>
    <row r="167" customHeight="1" spans="1:6">
      <c r="A167" s="27">
        <v>34</v>
      </c>
      <c r="B167" s="11" t="s">
        <v>365</v>
      </c>
      <c r="C167" s="12" t="s">
        <v>512</v>
      </c>
      <c r="D167" s="15" t="s">
        <v>377</v>
      </c>
      <c r="E167" s="628">
        <v>36000</v>
      </c>
      <c r="F167" s="13"/>
    </row>
    <row r="168" customHeight="1" spans="1:6">
      <c r="A168" s="27">
        <v>35</v>
      </c>
      <c r="B168" s="11" t="s">
        <v>367</v>
      </c>
      <c r="C168" s="12" t="s">
        <v>512</v>
      </c>
      <c r="D168" s="15" t="s">
        <v>377</v>
      </c>
      <c r="E168" s="628">
        <v>36000</v>
      </c>
      <c r="F168" s="13"/>
    </row>
    <row r="169" customHeight="1" spans="1:6">
      <c r="A169" s="27">
        <v>36</v>
      </c>
      <c r="B169" s="14" t="s">
        <v>368</v>
      </c>
      <c r="C169" s="12" t="s">
        <v>512</v>
      </c>
      <c r="D169" s="15" t="s">
        <v>377</v>
      </c>
      <c r="E169" s="628">
        <v>36000</v>
      </c>
      <c r="F169" s="13"/>
    </row>
    <row r="170" customHeight="1" spans="1:6">
      <c r="A170" s="27">
        <v>37</v>
      </c>
      <c r="B170" s="11" t="s">
        <v>369</v>
      </c>
      <c r="C170" s="12" t="s">
        <v>512</v>
      </c>
      <c r="D170" s="15" t="s">
        <v>377</v>
      </c>
      <c r="E170" s="628">
        <v>36000</v>
      </c>
      <c r="F170" s="13"/>
    </row>
    <row r="171" customHeight="1" spans="1:6">
      <c r="A171" s="27">
        <v>38</v>
      </c>
      <c r="B171" s="18" t="s">
        <v>370</v>
      </c>
      <c r="C171" s="12" t="s">
        <v>512</v>
      </c>
      <c r="D171" s="15" t="s">
        <v>377</v>
      </c>
      <c r="E171" s="628">
        <v>36000</v>
      </c>
      <c r="F171" s="13"/>
    </row>
    <row r="172" customHeight="1" spans="1:6">
      <c r="A172" s="27">
        <v>39</v>
      </c>
      <c r="B172" s="18" t="s">
        <v>357</v>
      </c>
      <c r="C172" s="12" t="s">
        <v>512</v>
      </c>
      <c r="D172" s="15" t="s">
        <v>377</v>
      </c>
      <c r="E172" s="628">
        <v>36000</v>
      </c>
      <c r="F172" s="13"/>
    </row>
    <row r="173" customHeight="1" spans="1:6">
      <c r="A173" s="27">
        <v>40</v>
      </c>
      <c r="B173" s="11" t="s">
        <v>371</v>
      </c>
      <c r="C173" s="12" t="s">
        <v>360</v>
      </c>
      <c r="D173" s="15" t="s">
        <v>607</v>
      </c>
      <c r="E173" s="628">
        <v>36000</v>
      </c>
      <c r="F173" s="13"/>
    </row>
    <row r="174" customHeight="1" spans="1:6">
      <c r="A174" s="27">
        <v>41</v>
      </c>
      <c r="B174" s="11" t="s">
        <v>373</v>
      </c>
      <c r="C174" s="12" t="s">
        <v>360</v>
      </c>
      <c r="D174" s="15" t="s">
        <v>607</v>
      </c>
      <c r="E174" s="628">
        <v>36000</v>
      </c>
      <c r="F174" s="13"/>
    </row>
    <row r="175" customHeight="1" spans="1:6">
      <c r="A175" s="27">
        <v>42</v>
      </c>
      <c r="B175" s="18" t="s">
        <v>374</v>
      </c>
      <c r="C175" s="12" t="s">
        <v>360</v>
      </c>
      <c r="D175" s="15" t="s">
        <v>606</v>
      </c>
      <c r="E175" s="628">
        <v>36000</v>
      </c>
      <c r="F175" s="13"/>
    </row>
    <row r="176" customHeight="1" spans="1:6">
      <c r="A176" s="27">
        <v>43</v>
      </c>
      <c r="B176" s="11" t="s">
        <v>376</v>
      </c>
      <c r="C176" s="12" t="s">
        <v>387</v>
      </c>
      <c r="D176" s="15" t="s">
        <v>608</v>
      </c>
      <c r="E176" s="628">
        <v>36000</v>
      </c>
      <c r="F176" s="13"/>
    </row>
    <row r="177" customHeight="1" spans="1:6">
      <c r="A177" s="27">
        <v>44</v>
      </c>
      <c r="B177" s="11" t="s">
        <v>378</v>
      </c>
      <c r="C177" s="12" t="s">
        <v>514</v>
      </c>
      <c r="D177" s="15" t="s">
        <v>669</v>
      </c>
      <c r="E177" s="628">
        <v>36000</v>
      </c>
      <c r="F177" s="13"/>
    </row>
    <row r="178" customHeight="1" spans="1:6">
      <c r="A178" s="27">
        <v>45</v>
      </c>
      <c r="B178" s="11" t="s">
        <v>379</v>
      </c>
      <c r="C178" s="12" t="s">
        <v>514</v>
      </c>
      <c r="D178" s="15" t="s">
        <v>669</v>
      </c>
      <c r="E178" s="628">
        <v>36000</v>
      </c>
      <c r="F178" s="13"/>
    </row>
    <row r="179" customHeight="1" spans="1:6">
      <c r="A179" s="27">
        <v>46</v>
      </c>
      <c r="B179" s="11" t="s">
        <v>380</v>
      </c>
      <c r="C179" s="12" t="s">
        <v>514</v>
      </c>
      <c r="D179" s="15" t="s">
        <v>669</v>
      </c>
      <c r="E179" s="628">
        <v>36000</v>
      </c>
      <c r="F179" s="13"/>
    </row>
    <row r="180" customHeight="1" spans="1:6">
      <c r="A180" s="27">
        <v>47</v>
      </c>
      <c r="B180" s="11" t="s">
        <v>381</v>
      </c>
      <c r="C180" s="12" t="s">
        <v>514</v>
      </c>
      <c r="D180" s="15" t="s">
        <v>669</v>
      </c>
      <c r="E180" s="628">
        <v>36000</v>
      </c>
      <c r="F180" s="13"/>
    </row>
    <row r="181" customHeight="1" spans="1:6">
      <c r="A181" s="27">
        <v>48</v>
      </c>
      <c r="B181" s="11" t="s">
        <v>382</v>
      </c>
      <c r="C181" s="12" t="s">
        <v>514</v>
      </c>
      <c r="D181" s="15" t="s">
        <v>669</v>
      </c>
      <c r="E181" s="628">
        <v>36000</v>
      </c>
      <c r="F181" s="13"/>
    </row>
    <row r="182" customHeight="1" spans="1:6">
      <c r="A182" s="27">
        <v>49</v>
      </c>
      <c r="B182" s="18" t="s">
        <v>383</v>
      </c>
      <c r="C182" s="12" t="s">
        <v>514</v>
      </c>
      <c r="D182" s="15" t="s">
        <v>669</v>
      </c>
      <c r="E182" s="628">
        <v>36000</v>
      </c>
      <c r="F182" s="13"/>
    </row>
    <row r="183" customHeight="1" spans="1:6">
      <c r="A183" s="27">
        <v>50</v>
      </c>
      <c r="B183" s="18" t="s">
        <v>385</v>
      </c>
      <c r="C183" s="12" t="s">
        <v>514</v>
      </c>
      <c r="D183" s="15" t="s">
        <v>669</v>
      </c>
      <c r="E183" s="628">
        <v>36000</v>
      </c>
      <c r="F183" s="13"/>
    </row>
    <row r="184" customHeight="1" spans="1:6">
      <c r="A184" s="27">
        <v>51</v>
      </c>
      <c r="B184" s="11" t="s">
        <v>668</v>
      </c>
      <c r="C184" s="12" t="s">
        <v>387</v>
      </c>
      <c r="D184" s="15" t="s">
        <v>669</v>
      </c>
      <c r="E184" s="628">
        <v>36000</v>
      </c>
      <c r="F184" s="13"/>
    </row>
    <row r="185" customHeight="1" spans="1:6">
      <c r="A185" s="27">
        <v>52</v>
      </c>
      <c r="B185" s="11" t="s">
        <v>386</v>
      </c>
      <c r="C185" s="12" t="s">
        <v>387</v>
      </c>
      <c r="D185" s="15" t="s">
        <v>669</v>
      </c>
      <c r="E185" s="628">
        <v>36000</v>
      </c>
      <c r="F185" s="13"/>
    </row>
    <row r="186" customHeight="1" spans="1:6">
      <c r="A186" s="27">
        <v>53</v>
      </c>
      <c r="B186" s="18" t="s">
        <v>358</v>
      </c>
      <c r="C186" s="12" t="s">
        <v>390</v>
      </c>
      <c r="D186" s="15" t="s">
        <v>391</v>
      </c>
      <c r="E186" s="628">
        <v>36000</v>
      </c>
      <c r="F186" s="13"/>
    </row>
    <row r="187" customHeight="1" spans="1:6">
      <c r="A187" s="27">
        <v>54</v>
      </c>
      <c r="B187" s="18" t="s">
        <v>392</v>
      </c>
      <c r="C187" s="12" t="s">
        <v>514</v>
      </c>
      <c r="D187" s="15" t="s">
        <v>398</v>
      </c>
      <c r="E187" s="628">
        <v>36000</v>
      </c>
      <c r="F187" s="13"/>
    </row>
    <row r="188" customHeight="1" spans="1:6">
      <c r="A188" s="27">
        <v>55</v>
      </c>
      <c r="B188" s="18" t="s">
        <v>396</v>
      </c>
      <c r="C188" s="12" t="s">
        <v>397</v>
      </c>
      <c r="D188" s="15" t="s">
        <v>940</v>
      </c>
      <c r="E188" s="628">
        <v>36000</v>
      </c>
      <c r="F188" s="13"/>
    </row>
    <row r="189" customHeight="1" spans="1:6">
      <c r="A189" s="27">
        <v>56</v>
      </c>
      <c r="B189" s="18" t="s">
        <v>399</v>
      </c>
      <c r="C189" s="12" t="s">
        <v>397</v>
      </c>
      <c r="D189" s="15" t="s">
        <v>940</v>
      </c>
      <c r="E189" s="628">
        <v>36000</v>
      </c>
      <c r="F189" s="13"/>
    </row>
    <row r="190" customHeight="1" spans="1:6">
      <c r="A190" s="27">
        <v>57</v>
      </c>
      <c r="B190" s="18" t="s">
        <v>400</v>
      </c>
      <c r="C190" s="12" t="s">
        <v>397</v>
      </c>
      <c r="D190" s="15" t="s">
        <v>940</v>
      </c>
      <c r="E190" s="628">
        <v>36000</v>
      </c>
      <c r="F190" s="13"/>
    </row>
    <row r="191" customHeight="1" spans="1:6">
      <c r="A191" s="27">
        <v>58</v>
      </c>
      <c r="B191" s="18" t="s">
        <v>401</v>
      </c>
      <c r="C191" s="12" t="s">
        <v>402</v>
      </c>
      <c r="D191" s="15" t="s">
        <v>393</v>
      </c>
      <c r="E191" s="628">
        <v>36000</v>
      </c>
      <c r="F191" s="13"/>
    </row>
    <row r="192" customHeight="1" spans="1:6">
      <c r="A192" s="27">
        <v>59</v>
      </c>
      <c r="B192" s="18" t="s">
        <v>404</v>
      </c>
      <c r="C192" s="12" t="s">
        <v>402</v>
      </c>
      <c r="D192" s="15" t="s">
        <v>393</v>
      </c>
      <c r="E192" s="628">
        <v>36000</v>
      </c>
      <c r="F192" s="13"/>
    </row>
    <row r="193" ht="30.75" customHeight="1" spans="1:6">
      <c r="A193" s="27"/>
      <c r="B193" s="8" t="s">
        <v>120</v>
      </c>
      <c r="C193" s="28" t="s">
        <v>941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406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1:6">
      <c r="B195" s="33"/>
      <c r="D195" s="34"/>
      <c r="E195" s="103"/>
      <c r="F195" s="35"/>
    </row>
    <row r="196" ht="36.75" customHeight="1" spans="1:6">
      <c r="B196" s="33"/>
      <c r="C196" s="34"/>
      <c r="D196" s="34"/>
      <c r="E196" s="35"/>
    </row>
    <row r="197" customHeight="1" spans="1:6">
      <c r="E197" s="328"/>
    </row>
    <row r="198" customHeight="1" spans="1:6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491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493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495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1071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1113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1:9">
      <c r="D1" s="623" t="s">
        <v>1114</v>
      </c>
      <c r="E1" s="624" t="s">
        <v>1115</v>
      </c>
      <c r="F1" s="624" t="s">
        <v>1116</v>
      </c>
      <c r="G1" s="624" t="s">
        <v>1117</v>
      </c>
      <c r="H1" s="624" t="s">
        <v>1118</v>
      </c>
      <c r="I1" s="624" t="s">
        <v>1119</v>
      </c>
    </row>
    <row r="2" s="1" customFormat="1" ht="33" customHeight="1" spans="1:9">
      <c r="A2" s="18" t="s">
        <v>186</v>
      </c>
      <c r="B2" s="18" t="s">
        <v>926</v>
      </c>
      <c r="C2" s="10" t="s">
        <v>486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22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2">
      <c r="A2" s="76" t="s">
        <v>1120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1:22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2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27" t="s">
        <v>9</v>
      </c>
      <c r="K4" s="218" t="s">
        <v>10</v>
      </c>
      <c r="L4" s="218" t="s">
        <v>888</v>
      </c>
      <c r="M4" s="218" t="s">
        <v>889</v>
      </c>
      <c r="N4" s="218" t="s">
        <v>15</v>
      </c>
      <c r="O4" s="24" t="s">
        <v>16</v>
      </c>
      <c r="P4" s="24" t="s">
        <v>1050</v>
      </c>
      <c r="Q4" s="24" t="s">
        <v>1116</v>
      </c>
      <c r="R4" s="218" t="s">
        <v>17</v>
      </c>
      <c r="S4" s="347" t="s">
        <v>18</v>
      </c>
      <c r="T4" s="80" t="s">
        <v>1121</v>
      </c>
      <c r="U4" s="304" t="s">
        <v>1122</v>
      </c>
    </row>
    <row r="5" ht="17.25" customHeight="1" spans="1:22">
      <c r="C5" s="8"/>
      <c r="D5" s="8"/>
      <c r="E5" s="82" t="s">
        <v>21</v>
      </c>
      <c r="F5" s="21"/>
      <c r="G5" s="82" t="s">
        <v>21</v>
      </c>
      <c r="H5" s="82" t="s">
        <v>21</v>
      </c>
      <c r="I5" s="82" t="s">
        <v>21</v>
      </c>
      <c r="J5" s="305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  <c r="R5" s="82" t="s">
        <v>21</v>
      </c>
      <c r="S5" s="447" t="s">
        <v>21</v>
      </c>
      <c r="T5" s="82" t="s">
        <v>21</v>
      </c>
      <c r="U5" s="230" t="s">
        <v>21</v>
      </c>
    </row>
    <row r="6" customHeight="1" spans="1:22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305"/>
      <c r="K6" s="82"/>
      <c r="L6" s="82"/>
      <c r="M6" s="82"/>
      <c r="N6" s="82"/>
      <c r="O6" s="82"/>
      <c r="P6" s="82"/>
      <c r="Q6" s="82"/>
      <c r="R6" s="82"/>
      <c r="S6" s="447"/>
      <c r="T6" s="82"/>
      <c r="U6" s="230"/>
    </row>
    <row r="7" customHeight="1" spans="1:22">
      <c r="A7" s="10">
        <v>1</v>
      </c>
      <c r="B7" s="11" t="s">
        <v>27</v>
      </c>
      <c r="C7" s="12" t="s">
        <v>28</v>
      </c>
      <c r="D7" s="10" t="s">
        <v>29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46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30</v>
      </c>
      <c r="C8" s="4" t="s">
        <v>31</v>
      </c>
      <c r="D8" s="10" t="s">
        <v>29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46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300</v>
      </c>
      <c r="C9" s="4" t="s">
        <v>907</v>
      </c>
      <c r="D9" s="10" t="s">
        <v>29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46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908</v>
      </c>
      <c r="C10" s="10" t="s">
        <v>909</v>
      </c>
      <c r="D10" s="10" t="s">
        <v>29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46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208</v>
      </c>
      <c r="C11" s="4" t="s">
        <v>145</v>
      </c>
      <c r="D11" s="10" t="s">
        <v>39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46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37</v>
      </c>
      <c r="C12" s="4" t="s">
        <v>38</v>
      </c>
      <c r="D12" s="10" t="s">
        <v>42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46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45</v>
      </c>
      <c r="C13" s="4" t="s">
        <v>46</v>
      </c>
      <c r="D13" s="10" t="s">
        <v>53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46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54</v>
      </c>
      <c r="C14" s="4" t="s">
        <v>55</v>
      </c>
      <c r="D14" s="15" t="s">
        <v>59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46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68</v>
      </c>
      <c r="C15" s="17" t="s">
        <v>69</v>
      </c>
      <c r="D15" s="10" t="s">
        <v>180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46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73</v>
      </c>
      <c r="C16" s="17" t="s">
        <v>74</v>
      </c>
      <c r="D16" s="10" t="s">
        <v>81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46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120</v>
      </c>
      <c r="C17" s="28" t="s">
        <v>658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10" t="e">
        <f>SUM(#REF!)</f>
        <v>#REF!</v>
      </c>
      <c r="V17" s="13"/>
    </row>
    <row r="18" ht="38.25" customHeight="1" spans="1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1:22">
      <c r="B19" s="33"/>
      <c r="C19" s="34"/>
      <c r="D19" s="34"/>
      <c r="E19" s="34"/>
      <c r="F19" s="34"/>
      <c r="G19" s="228"/>
      <c r="H19" s="228"/>
      <c r="J19" s="228" t="s">
        <v>1123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:22">
      <c r="S20" s="35"/>
      <c r="U20" s="328"/>
    </row>
    <row r="21" customHeight="1" spans="1:22">
      <c r="U21" s="35"/>
    </row>
    <row r="22" customHeight="1" spans="1:22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4" t="s">
        <v>694</v>
      </c>
      <c r="AA4" s="466"/>
      <c r="AB4" s="466" t="s">
        <v>883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>C6*D6</f>
        <v>23219834.004</v>
      </c>
      <c r="F6" s="470"/>
      <c r="G6" s="470"/>
      <c r="H6" s="470"/>
      <c r="I6" s="470">
        <f t="shared" ref="I6:I32" si="0">E6-F6-G6-H6</f>
        <v>23219834.004</v>
      </c>
      <c r="J6" s="470">
        <v>200000</v>
      </c>
      <c r="K6" s="470">
        <v>0.2</v>
      </c>
      <c r="L6" s="470">
        <f t="shared" ref="L6:L75" si="1">I6*K6</f>
        <v>4643966.8008</v>
      </c>
      <c r="M6" s="470">
        <f t="shared" ref="M6:M75" si="2">J6+L6</f>
        <v>4843966.8008</v>
      </c>
      <c r="N6" s="470">
        <f t="shared" ref="N6:N32" si="3">F6+G6+H6+M6</f>
        <v>4843966.8008</v>
      </c>
      <c r="O6" s="470">
        <f t="shared" ref="O6:O32" si="4">E6-N6</f>
        <v>18375867.2032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</v>
      </c>
      <c r="V6" s="470">
        <f t="shared" ref="V6:V75" si="11">P6+Q6+R6+S6+T6+U6</f>
        <v>4202208.128768</v>
      </c>
      <c r="W6" s="471">
        <v>12</v>
      </c>
      <c r="X6" s="470">
        <f t="shared" ref="X6:X75" si="12">V6/W6</f>
        <v>350184.010730667</v>
      </c>
      <c r="Y6" s="470"/>
      <c r="Z6" s="470">
        <f t="shared" ref="Z6:Z75" si="13">X6</f>
        <v>350184.010730667</v>
      </c>
      <c r="AA6" s="473">
        <v>201165.835946667</v>
      </c>
      <c r="AB6" s="473">
        <f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f>852373.166666667+100000</f>
        <v>952373.166666667</v>
      </c>
      <c r="D7" s="469">
        <v>12</v>
      </c>
      <c r="E7" s="470">
        <f t="shared" ref="E7:E32" si="14">C7*D7</f>
        <v>11428478</v>
      </c>
      <c r="F7" s="470"/>
      <c r="G7" s="470">
        <v>731878.24</v>
      </c>
      <c r="H7" s="470"/>
      <c r="I7" s="470">
        <f t="shared" si="0"/>
        <v>10696599.76</v>
      </c>
      <c r="J7" s="470">
        <v>200000</v>
      </c>
      <c r="K7" s="470">
        <v>0.2</v>
      </c>
      <c r="L7" s="470">
        <f t="shared" si="1"/>
        <v>2139319.952</v>
      </c>
      <c r="M7" s="470">
        <f t="shared" si="2"/>
        <v>2339319.952</v>
      </c>
      <c r="N7" s="470">
        <f t="shared" si="3"/>
        <v>3071198.192</v>
      </c>
      <c r="O7" s="470">
        <f t="shared" si="4"/>
        <v>8357279.808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1237747.15392</v>
      </c>
      <c r="V7" s="470">
        <f t="shared" si="11"/>
        <v>1797747.15392</v>
      </c>
      <c r="W7" s="471">
        <v>12</v>
      </c>
      <c r="X7" s="470">
        <f t="shared" si="12"/>
        <v>149812.262826667</v>
      </c>
      <c r="Y7" s="470"/>
      <c r="Z7" s="470">
        <f t="shared" si="13"/>
        <v>149812.262826667</v>
      </c>
      <c r="AA7" s="473">
        <v>82627.9514186667</v>
      </c>
      <c r="AB7" s="473">
        <f t="shared" ref="AB7:AB32" si="15">Z7-AA7</f>
        <v>67184.311408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f>1052373.16666667+100000</f>
        <v>1152373.16666667</v>
      </c>
      <c r="D8" s="469">
        <v>12</v>
      </c>
      <c r="E8" s="470">
        <f t="shared" si="14"/>
        <v>13828478</v>
      </c>
      <c r="F8" s="470"/>
      <c r="G8" s="470">
        <v>0</v>
      </c>
      <c r="H8" s="470"/>
      <c r="I8" s="470">
        <f t="shared" si="0"/>
        <v>13828478</v>
      </c>
      <c r="J8" s="470">
        <v>200000</v>
      </c>
      <c r="K8" s="470">
        <v>0.2</v>
      </c>
      <c r="L8" s="470">
        <f t="shared" si="1"/>
        <v>2765695.60000001</v>
      </c>
      <c r="M8" s="470">
        <f t="shared" si="2"/>
        <v>2965695.60000001</v>
      </c>
      <c r="N8" s="470">
        <f t="shared" si="3"/>
        <v>2965695.60000001</v>
      </c>
      <c r="O8" s="470">
        <f t="shared" si="4"/>
        <v>10862782.4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1839067.77600001</v>
      </c>
      <c r="V8" s="470">
        <f t="shared" si="11"/>
        <v>2399067.77600001</v>
      </c>
      <c r="W8" s="471">
        <v>12</v>
      </c>
      <c r="X8" s="470">
        <f t="shared" si="12"/>
        <v>199922.314666667</v>
      </c>
      <c r="Y8" s="470"/>
      <c r="Z8" s="470">
        <f t="shared" si="13"/>
        <v>199922.314666667</v>
      </c>
      <c r="AA8" s="473">
        <v>121027.951418667</v>
      </c>
      <c r="AB8" s="473">
        <f t="shared" si="15"/>
        <v>78894.3632480003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14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 t="shared" si="1"/>
        <v>2112760.7618</v>
      </c>
      <c r="M9" s="470">
        <f t="shared" si="2"/>
        <v>2312760.7618</v>
      </c>
      <c r="N9" s="470">
        <f t="shared" si="3"/>
        <v>3057434.9528</v>
      </c>
      <c r="O9" s="470">
        <f t="shared" si="4"/>
        <v>8251043.0472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1212250.331328</v>
      </c>
      <c r="V9" s="470">
        <f t="shared" si="11"/>
        <v>1772250.331328</v>
      </c>
      <c r="W9" s="471">
        <v>12</v>
      </c>
      <c r="X9" s="470">
        <f t="shared" si="12"/>
        <v>147687.527610667</v>
      </c>
      <c r="Y9" s="470"/>
      <c r="Z9" s="470">
        <f t="shared" si="13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300</v>
      </c>
      <c r="C10" s="615">
        <v>1300519.22</v>
      </c>
      <c r="D10" s="469">
        <v>12</v>
      </c>
      <c r="E10" s="470">
        <f t="shared" si="14"/>
        <v>15606230.64</v>
      </c>
      <c r="F10" s="470">
        <f>'[6]JANUARY 2024'!$V$10*12</f>
        <v>12795.951</v>
      </c>
      <c r="G10" s="470">
        <v>731878.24</v>
      </c>
      <c r="H10" s="470"/>
      <c r="I10" s="470">
        <f t="shared" si="0"/>
        <v>14861556.449</v>
      </c>
      <c r="J10" s="470">
        <v>200000</v>
      </c>
      <c r="K10" s="470">
        <v>0.2</v>
      </c>
      <c r="L10" s="470">
        <f t="shared" si="1"/>
        <v>2972311.2898</v>
      </c>
      <c r="M10" s="470">
        <f t="shared" si="2"/>
        <v>3172311.2898</v>
      </c>
      <c r="N10" s="470">
        <f t="shared" si="3"/>
        <v>3916985.4808</v>
      </c>
      <c r="O10" s="470">
        <f t="shared" si="4"/>
        <v>11689245.1592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2037418.838208</v>
      </c>
      <c r="V10" s="470">
        <f t="shared" si="11"/>
        <v>2597418.838208</v>
      </c>
      <c r="W10" s="471">
        <v>12</v>
      </c>
      <c r="X10" s="470">
        <f t="shared" si="12"/>
        <v>216451.569850667</v>
      </c>
      <c r="Y10" s="470"/>
      <c r="Z10" s="470">
        <f t="shared" si="13"/>
        <v>216451.569850667</v>
      </c>
      <c r="AA10" s="473">
        <v>111223.216202667</v>
      </c>
      <c r="AB10" s="473">
        <f t="shared" si="15"/>
        <v>105228.353648</v>
      </c>
      <c r="AC10" s="473"/>
      <c r="AD10" s="473"/>
      <c r="AE10" s="473"/>
    </row>
    <row r="11" ht="18" spans="1:31">
      <c r="A11" s="467">
        <v>8</v>
      </c>
      <c r="B11" s="18" t="s">
        <v>908</v>
      </c>
      <c r="C11" s="468">
        <f>952373.166666667+100000</f>
        <v>1052373.16666667</v>
      </c>
      <c r="D11" s="469">
        <v>12</v>
      </c>
      <c r="E11" s="470">
        <f t="shared" si="14"/>
        <v>12628478</v>
      </c>
      <c r="F11" s="470"/>
      <c r="G11" s="470">
        <v>0</v>
      </c>
      <c r="H11" s="470"/>
      <c r="I11" s="470">
        <f t="shared" si="0"/>
        <v>12628478</v>
      </c>
      <c r="J11" s="470">
        <v>200000</v>
      </c>
      <c r="K11" s="470">
        <v>0.2</v>
      </c>
      <c r="L11" s="470">
        <f t="shared" si="1"/>
        <v>2525695.60000001</v>
      </c>
      <c r="M11" s="470">
        <f t="shared" si="2"/>
        <v>2725695.60000001</v>
      </c>
      <c r="N11" s="470">
        <f t="shared" si="3"/>
        <v>2725695.60000001</v>
      </c>
      <c r="O11" s="470">
        <f t="shared" si="4"/>
        <v>9902782.40000003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1608667.77600001</v>
      </c>
      <c r="V11" s="470">
        <f t="shared" si="11"/>
        <v>2168667.77600001</v>
      </c>
      <c r="W11" s="471">
        <v>12</v>
      </c>
      <c r="X11" s="470">
        <f t="shared" si="12"/>
        <v>180722.314666667</v>
      </c>
      <c r="Y11" s="470"/>
      <c r="Z11" s="470">
        <f t="shared" si="13"/>
        <v>180722.314666667</v>
      </c>
      <c r="AA11" s="473">
        <v>101827.951418667</v>
      </c>
      <c r="AB11" s="473">
        <f t="shared" si="15"/>
        <v>78894.3632480003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750675.583333333</v>
      </c>
      <c r="D12" s="469">
        <v>12</v>
      </c>
      <c r="E12" s="470">
        <f t="shared" si="14"/>
        <v>9008107</v>
      </c>
      <c r="F12" s="470">
        <f>'[6]JANUARY 2024'!$V$13*12</f>
        <v>10052.25</v>
      </c>
      <c r="G12" s="470">
        <v>595848.56</v>
      </c>
      <c r="H12" s="470"/>
      <c r="I12" s="470">
        <f t="shared" si="0"/>
        <v>8402206.19</v>
      </c>
      <c r="J12" s="470">
        <v>200000</v>
      </c>
      <c r="K12" s="470">
        <v>0.2</v>
      </c>
      <c r="L12" s="470">
        <f t="shared" si="1"/>
        <v>1680441.238</v>
      </c>
      <c r="M12" s="470">
        <f t="shared" si="2"/>
        <v>1880441.238</v>
      </c>
      <c r="N12" s="470">
        <f t="shared" si="3"/>
        <v>2486342.048</v>
      </c>
      <c r="O12" s="470">
        <f t="shared" si="4"/>
        <v>6521764.952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</v>
      </c>
      <c r="V12" s="470">
        <f t="shared" si="11"/>
        <v>1357223.58848</v>
      </c>
      <c r="W12" s="471">
        <v>12</v>
      </c>
      <c r="X12" s="470">
        <f t="shared" si="12"/>
        <v>113101.965706667</v>
      </c>
      <c r="Y12" s="470"/>
      <c r="Z12" s="470">
        <f t="shared" si="13"/>
        <v>113101.965706667</v>
      </c>
      <c r="AA12" s="473">
        <v>74036.1031466667</v>
      </c>
      <c r="AB12" s="473">
        <f t="shared" si="15"/>
        <v>39065.8625599999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f>842118.083333333+100000</f>
        <v>942118.083333333</v>
      </c>
      <c r="D13" s="469">
        <v>12</v>
      </c>
      <c r="E13" s="470">
        <f t="shared" si="14"/>
        <v>11305417</v>
      </c>
      <c r="F13" s="470">
        <f>'[6]JANUARY 2024'!$V$14*12</f>
        <v>9305.952</v>
      </c>
      <c r="G13" s="470">
        <v>558833.36</v>
      </c>
      <c r="H13" s="470"/>
      <c r="I13" s="470">
        <f t="shared" si="0"/>
        <v>10737277.688</v>
      </c>
      <c r="J13" s="470">
        <v>200000</v>
      </c>
      <c r="K13" s="470">
        <v>0.2</v>
      </c>
      <c r="L13" s="470">
        <f t="shared" si="1"/>
        <v>2147455.5376</v>
      </c>
      <c r="M13" s="470">
        <f t="shared" si="2"/>
        <v>2347455.5376</v>
      </c>
      <c r="N13" s="470">
        <f t="shared" si="3"/>
        <v>2915594.8496</v>
      </c>
      <c r="O13" s="470">
        <f t="shared" si="4"/>
        <v>8389822.1504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1245557.316096</v>
      </c>
      <c r="V13" s="470">
        <f t="shared" si="11"/>
        <v>1805557.316096</v>
      </c>
      <c r="W13" s="471">
        <v>12</v>
      </c>
      <c r="X13" s="470">
        <f t="shared" si="12"/>
        <v>150463.109674667</v>
      </c>
      <c r="Y13" s="470"/>
      <c r="Z13" s="470">
        <f t="shared" si="13"/>
        <v>150463.109674667</v>
      </c>
      <c r="AA13" s="473">
        <v>94625.7820586667</v>
      </c>
      <c r="AB13" s="473">
        <f t="shared" si="15"/>
        <v>55837.3276159999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14"/>
        <v>6652485</v>
      </c>
      <c r="F14" s="470"/>
      <c r="G14" s="470">
        <v>464998.8</v>
      </c>
      <c r="H14" s="470"/>
      <c r="I14" s="470">
        <f t="shared" si="0"/>
        <v>6187486.2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1">
        <v>12</v>
      </c>
      <c r="X14" s="470">
        <f t="shared" si="12"/>
        <v>77666.4458666667</v>
      </c>
      <c r="Y14" s="470"/>
      <c r="Z14" s="470">
        <f t="shared" si="13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f>660498</f>
        <v>660498</v>
      </c>
      <c r="D15" s="469">
        <v>12</v>
      </c>
      <c r="E15" s="470">
        <f t="shared" si="14"/>
        <v>7925976</v>
      </c>
      <c r="F15" s="470"/>
      <c r="G15" s="474">
        <v>451678.08</v>
      </c>
      <c r="H15" s="470"/>
      <c r="I15" s="470">
        <f t="shared" si="0"/>
        <v>7474297.92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2146537.664</v>
      </c>
      <c r="O15" s="470">
        <f t="shared" si="4"/>
        <v>5779438.336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</v>
      </c>
      <c r="V15" s="470">
        <f t="shared" si="11"/>
        <v>1179065.20064</v>
      </c>
      <c r="W15" s="471">
        <v>12</v>
      </c>
      <c r="X15" s="470">
        <f t="shared" si="12"/>
        <v>98255.4333866667</v>
      </c>
      <c r="Y15" s="470"/>
      <c r="Z15" s="470">
        <f t="shared" si="13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f>732746.5+100000</f>
        <v>832746.5</v>
      </c>
      <c r="D16" s="469">
        <v>12</v>
      </c>
      <c r="E16" s="470">
        <f t="shared" si="14"/>
        <v>9992958</v>
      </c>
      <c r="F16" s="470"/>
      <c r="G16" s="470">
        <v>425036.64</v>
      </c>
      <c r="H16" s="470"/>
      <c r="I16" s="470">
        <f t="shared" si="0"/>
        <v>9567921.36</v>
      </c>
      <c r="J16" s="470">
        <v>200000</v>
      </c>
      <c r="K16" s="470">
        <v>0.2</v>
      </c>
      <c r="L16" s="470">
        <f t="shared" si="1"/>
        <v>1913584.272</v>
      </c>
      <c r="M16" s="470">
        <f t="shared" si="2"/>
        <v>2113584.272</v>
      </c>
      <c r="N16" s="470">
        <f t="shared" si="3"/>
        <v>2538620.912</v>
      </c>
      <c r="O16" s="470">
        <f t="shared" si="4"/>
        <v>7454337.088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1021040.90112</v>
      </c>
      <c r="V16" s="470">
        <f t="shared" si="11"/>
        <v>1581040.90112</v>
      </c>
      <c r="W16" s="471">
        <v>12</v>
      </c>
      <c r="X16" s="470">
        <f t="shared" si="12"/>
        <v>131753.408426667</v>
      </c>
      <c r="Y16" s="470"/>
      <c r="Z16" s="470">
        <f t="shared" si="13"/>
        <v>131753.408426667</v>
      </c>
      <c r="AA16" s="473">
        <v>46666.6666666667</v>
      </c>
      <c r="AB16" s="473">
        <f t="shared" si="15"/>
        <v>85086.74176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</v>
      </c>
      <c r="J17" s="470">
        <v>200000</v>
      </c>
      <c r="K17" s="470">
        <v>0.2</v>
      </c>
      <c r="L17" s="470">
        <f t="shared" si="1"/>
        <v>1143505.256</v>
      </c>
      <c r="M17" s="470">
        <f t="shared" si="2"/>
        <v>1343505.256</v>
      </c>
      <c r="N17" s="470">
        <f t="shared" si="3"/>
        <v>1767637.976</v>
      </c>
      <c r="O17" s="470">
        <f t="shared" si="4"/>
        <v>4374021.024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281765.045760001</v>
      </c>
      <c r="V17" s="470">
        <f t="shared" si="11"/>
        <v>841765.045760001</v>
      </c>
      <c r="W17" s="471">
        <v>12</v>
      </c>
      <c r="X17" s="470">
        <f t="shared" si="12"/>
        <v>70147.0871466667</v>
      </c>
      <c r="Y17" s="470"/>
      <c r="Z17" s="470">
        <f t="shared" si="13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14"/>
        <v>6586991</v>
      </c>
      <c r="F18" s="470"/>
      <c r="G18" s="470">
        <v>411759.28</v>
      </c>
      <c r="H18" s="470"/>
      <c r="I18" s="470">
        <f t="shared" si="0"/>
        <v>6175231.72</v>
      </c>
      <c r="J18" s="470">
        <v>200000</v>
      </c>
      <c r="K18" s="470">
        <v>0.2</v>
      </c>
      <c r="L18" s="470">
        <f t="shared" si="1"/>
        <v>1235046.344</v>
      </c>
      <c r="M18" s="470">
        <f t="shared" si="2"/>
        <v>1435046.344</v>
      </c>
      <c r="N18" s="470">
        <f t="shared" si="3"/>
        <v>1846805.624</v>
      </c>
      <c r="O18" s="470">
        <f t="shared" si="4"/>
        <v>4740185.376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369644.490240001</v>
      </c>
      <c r="V18" s="470">
        <f t="shared" si="11"/>
        <v>929644.490240001</v>
      </c>
      <c r="W18" s="471">
        <v>12</v>
      </c>
      <c r="X18" s="470">
        <f t="shared" si="12"/>
        <v>77470.3741866667</v>
      </c>
      <c r="Y18" s="470"/>
      <c r="Z18" s="470">
        <f t="shared" si="13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f>636026.916666667+100000</f>
        <v>736026.916666667</v>
      </c>
      <c r="D19" s="469">
        <v>12</v>
      </c>
      <c r="E19" s="470">
        <f t="shared" si="14"/>
        <v>8832323</v>
      </c>
      <c r="F19" s="470">
        <f>618.53*12</f>
        <v>7422.36</v>
      </c>
      <c r="G19" s="470">
        <v>399385.84</v>
      </c>
      <c r="H19" s="470"/>
      <c r="I19" s="470">
        <f t="shared" si="0"/>
        <v>8425514.8</v>
      </c>
      <c r="J19" s="470">
        <v>200000</v>
      </c>
      <c r="K19" s="470">
        <v>0.2</v>
      </c>
      <c r="L19" s="470">
        <f t="shared" si="1"/>
        <v>1685102.96</v>
      </c>
      <c r="M19" s="470">
        <f t="shared" si="2"/>
        <v>1885102.96</v>
      </c>
      <c r="N19" s="470">
        <f t="shared" si="3"/>
        <v>2291911.16</v>
      </c>
      <c r="O19" s="470">
        <f t="shared" si="4"/>
        <v>6540411.84</v>
      </c>
      <c r="P19" s="470">
        <f t="shared" si="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801698.841600001</v>
      </c>
      <c r="V19" s="470">
        <f t="shared" si="11"/>
        <v>1361698.8416</v>
      </c>
      <c r="W19" s="471">
        <v>12</v>
      </c>
      <c r="X19" s="470">
        <f t="shared" si="12"/>
        <v>113474.903466667</v>
      </c>
      <c r="Y19" s="470"/>
      <c r="Z19" s="470">
        <f t="shared" si="13"/>
        <v>113474.903466667</v>
      </c>
      <c r="AA19" s="473">
        <v>46666.6666666667</v>
      </c>
      <c r="AB19" s="473">
        <f t="shared" si="15"/>
        <v>66808.2368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14"/>
        <v>6454742</v>
      </c>
      <c r="F20" s="470"/>
      <c r="G20" s="470">
        <v>362779.36</v>
      </c>
      <c r="H20" s="470"/>
      <c r="I20" s="470">
        <f t="shared" si="0"/>
        <v>6091962.64</v>
      </c>
      <c r="J20" s="470">
        <v>200000</v>
      </c>
      <c r="K20" s="470">
        <v>0.2</v>
      </c>
      <c r="L20" s="470">
        <f t="shared" si="1"/>
        <v>1218392.528</v>
      </c>
      <c r="M20" s="470">
        <f t="shared" si="2"/>
        <v>1418392.528</v>
      </c>
      <c r="N20" s="470">
        <f t="shared" si="3"/>
        <v>1781171.888</v>
      </c>
      <c r="O20" s="470">
        <f t="shared" si="4"/>
        <v>4673570.112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353656.826880001</v>
      </c>
      <c r="V20" s="470">
        <f t="shared" si="11"/>
        <v>913656.826880001</v>
      </c>
      <c r="W20" s="471">
        <v>12</v>
      </c>
      <c r="X20" s="470">
        <f t="shared" si="12"/>
        <v>76138.0689066667</v>
      </c>
      <c r="Y20" s="470"/>
      <c r="Z20" s="470">
        <f t="shared" si="13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f>553512.5+100000</f>
        <v>653512.5</v>
      </c>
      <c r="D21" s="469">
        <v>12</v>
      </c>
      <c r="E21" s="470">
        <f t="shared" si="14"/>
        <v>7842150</v>
      </c>
      <c r="F21" s="470"/>
      <c r="G21" s="470">
        <v>339372</v>
      </c>
      <c r="H21" s="470"/>
      <c r="I21" s="470">
        <f t="shared" si="0"/>
        <v>7502778</v>
      </c>
      <c r="J21" s="470">
        <v>200000</v>
      </c>
      <c r="K21" s="470">
        <v>0.2</v>
      </c>
      <c r="L21" s="470">
        <f t="shared" si="1"/>
        <v>1500555.6</v>
      </c>
      <c r="M21" s="470">
        <f t="shared" si="2"/>
        <v>1700555.6</v>
      </c>
      <c r="N21" s="470">
        <f t="shared" si="3"/>
        <v>2039927.6</v>
      </c>
      <c r="O21" s="470">
        <f t="shared" si="4"/>
        <v>5802222.4</v>
      </c>
      <c r="P21" s="470">
        <f t="shared" si="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624533.376</v>
      </c>
      <c r="V21" s="470">
        <f t="shared" si="11"/>
        <v>1184533.376</v>
      </c>
      <c r="W21" s="471">
        <v>12</v>
      </c>
      <c r="X21" s="470">
        <f t="shared" si="12"/>
        <v>98711.1146666667</v>
      </c>
      <c r="Y21" s="470"/>
      <c r="Z21" s="470">
        <f t="shared" si="13"/>
        <v>98711.1146666667</v>
      </c>
      <c r="AA21" s="473">
        <v>46666.6666666667</v>
      </c>
      <c r="AB21" s="473">
        <f t="shared" si="15"/>
        <v>52044.448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 t="shared" si="1"/>
        <v>1044555.6</v>
      </c>
      <c r="M22" s="470">
        <f t="shared" si="2"/>
        <v>1244555.6</v>
      </c>
      <c r="N22" s="470">
        <f t="shared" si="3"/>
        <v>1583927.6</v>
      </c>
      <c r="O22" s="470">
        <f t="shared" si="4"/>
        <v>3978222.4</v>
      </c>
      <c r="P22" s="470">
        <f t="shared" si="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186773.376</v>
      </c>
      <c r="V22" s="470">
        <f t="shared" si="11"/>
        <v>746773.376</v>
      </c>
      <c r="W22" s="471">
        <v>12</v>
      </c>
      <c r="X22" s="470">
        <f t="shared" si="12"/>
        <v>62231.1146666667</v>
      </c>
      <c r="Y22" s="470"/>
      <c r="Z22" s="470">
        <f t="shared" si="13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f>453029.666666667+100000</f>
        <v>553029.666666667</v>
      </c>
      <c r="D23" s="469">
        <v>12</v>
      </c>
      <c r="E23" s="470">
        <f t="shared" si="14"/>
        <v>6636356</v>
      </c>
      <c r="F23" s="470"/>
      <c r="G23" s="470">
        <v>281308.48</v>
      </c>
      <c r="H23" s="470"/>
      <c r="I23" s="470">
        <f t="shared" si="0"/>
        <v>6355047.52</v>
      </c>
      <c r="J23" s="470">
        <v>200000</v>
      </c>
      <c r="K23" s="470">
        <v>0.2</v>
      </c>
      <c r="L23" s="470">
        <f t="shared" si="1"/>
        <v>1271009.504</v>
      </c>
      <c r="M23" s="470">
        <f t="shared" si="2"/>
        <v>1471009.504</v>
      </c>
      <c r="N23" s="470">
        <f t="shared" si="3"/>
        <v>1752317.984</v>
      </c>
      <c r="O23" s="470">
        <f t="shared" si="4"/>
        <v>4884038.016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404169.123840001</v>
      </c>
      <c r="V23" s="470">
        <f t="shared" si="11"/>
        <v>964169.123840001</v>
      </c>
      <c r="W23" s="471">
        <v>12</v>
      </c>
      <c r="X23" s="470">
        <f t="shared" si="12"/>
        <v>80347.4269866667</v>
      </c>
      <c r="Y23" s="470"/>
      <c r="Z23" s="470">
        <f t="shared" si="13"/>
        <v>80347.4269866667</v>
      </c>
      <c r="AA23" s="473">
        <v>42371.8157286667</v>
      </c>
      <c r="AB23" s="473">
        <f t="shared" si="15"/>
        <v>37975.611258</v>
      </c>
      <c r="AC23" s="473"/>
      <c r="AD23" s="473"/>
      <c r="AE23" s="473"/>
    </row>
    <row r="24" ht="18" spans="1:31">
      <c r="A24" s="467">
        <v>21</v>
      </c>
      <c r="B24" s="4" t="s">
        <v>478</v>
      </c>
      <c r="C24" s="468">
        <v>330481.666666667</v>
      </c>
      <c r="D24" s="469">
        <v>12</v>
      </c>
      <c r="E24" s="470">
        <f t="shared" si="14"/>
        <v>3965780</v>
      </c>
      <c r="F24" s="470"/>
      <c r="G24" s="470">
        <v>259662.4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 t="shared" si="1"/>
        <v>741223.520000001</v>
      </c>
      <c r="M24" s="470">
        <f t="shared" si="2"/>
        <v>941223.520000001</v>
      </c>
      <c r="N24" s="470">
        <f t="shared" si="3"/>
        <v>1200885.92</v>
      </c>
      <c r="O24" s="470">
        <f t="shared" si="4"/>
        <v>2764894.08</v>
      </c>
      <c r="P24" s="470">
        <f t="shared" si="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244627.756800001</v>
      </c>
      <c r="U24" s="470"/>
      <c r="V24" s="470">
        <f t="shared" si="11"/>
        <v>468627.756800001</v>
      </c>
      <c r="W24" s="471">
        <v>12</v>
      </c>
      <c r="X24" s="470">
        <f t="shared" si="12"/>
        <v>39052.3130666667</v>
      </c>
      <c r="Y24" s="470"/>
      <c r="Z24" s="470">
        <f t="shared" si="13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14"/>
        <v>3965780</v>
      </c>
      <c r="F25" s="470"/>
      <c r="G25" s="470">
        <v>259662.4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 t="shared" si="1"/>
        <v>741223.520000001</v>
      </c>
      <c r="M25" s="470">
        <f t="shared" si="2"/>
        <v>941223.520000001</v>
      </c>
      <c r="N25" s="470">
        <f t="shared" si="3"/>
        <v>1200885.92</v>
      </c>
      <c r="O25" s="470">
        <f t="shared" si="4"/>
        <v>2764894.08</v>
      </c>
      <c r="P25" s="470">
        <f t="shared" si="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244627.756800001</v>
      </c>
      <c r="U25" s="470"/>
      <c r="V25" s="470">
        <f t="shared" si="11"/>
        <v>468627.756800001</v>
      </c>
      <c r="W25" s="471">
        <v>12</v>
      </c>
      <c r="X25" s="470">
        <f t="shared" si="12"/>
        <v>39052.3130666667</v>
      </c>
      <c r="Y25" s="470"/>
      <c r="Z25" s="470">
        <f t="shared" si="13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14"/>
        <v>4445780</v>
      </c>
      <c r="F26" s="470"/>
      <c r="G26" s="470">
        <v>259662.4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 t="shared" si="1"/>
        <v>837223.520000001</v>
      </c>
      <c r="M26" s="470">
        <f t="shared" si="2"/>
        <v>1037223.52</v>
      </c>
      <c r="N26" s="470">
        <f t="shared" si="3"/>
        <v>1296885.92</v>
      </c>
      <c r="O26" s="470">
        <f t="shared" si="4"/>
        <v>3148894.08</v>
      </c>
      <c r="P26" s="470">
        <f t="shared" si="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325267.756800001</v>
      </c>
      <c r="U26" s="470"/>
      <c r="V26" s="470">
        <f t="shared" si="11"/>
        <v>549267.756800001</v>
      </c>
      <c r="W26" s="471">
        <v>12</v>
      </c>
      <c r="X26" s="470">
        <f t="shared" si="12"/>
        <v>45772.3130666667</v>
      </c>
      <c r="Y26" s="470"/>
      <c r="Z26" s="470">
        <f t="shared" si="13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14"/>
        <v>3877984</v>
      </c>
      <c r="F27" s="470"/>
      <c r="G27" s="470">
        <v>252638.72</v>
      </c>
      <c r="H27" s="470"/>
      <c r="I27" s="470">
        <f t="shared" si="0"/>
        <v>3625345.28</v>
      </c>
      <c r="J27" s="470">
        <v>200000</v>
      </c>
      <c r="K27" s="470">
        <v>0.2</v>
      </c>
      <c r="L27" s="470">
        <f t="shared" ref="L27" si="16">I27*K27</f>
        <v>725069.055999999</v>
      </c>
      <c r="M27" s="470">
        <f t="shared" ref="M27" si="17">J27+L27</f>
        <v>925069.055999999</v>
      </c>
      <c r="N27" s="470">
        <f t="shared" si="3"/>
        <v>1177707.776</v>
      </c>
      <c r="O27" s="470">
        <f t="shared" si="4"/>
        <v>2700276.224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</v>
      </c>
      <c r="U27" s="470"/>
      <c r="V27" s="470">
        <f t="shared" ref="V27" si="23">P27+Q27+R27+S27+T27+U27</f>
        <v>455058.007039999</v>
      </c>
      <c r="W27" s="471">
        <v>12</v>
      </c>
      <c r="X27" s="470">
        <f t="shared" ref="X27" si="24">V27/W27</f>
        <v>37921.5005866666</v>
      </c>
      <c r="Y27" s="470"/>
      <c r="Z27" s="470">
        <f t="shared" ref="Z27" si="25">X27</f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14"/>
        <v>3790188</v>
      </c>
      <c r="F28" s="470"/>
      <c r="G28" s="470">
        <v>245615.04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</v>
      </c>
      <c r="M28" s="470">
        <f t="shared" si="2"/>
        <v>908914.592</v>
      </c>
      <c r="N28" s="470">
        <f t="shared" si="3"/>
        <v>1154529.632</v>
      </c>
      <c r="O28" s="470">
        <f t="shared" si="4"/>
        <v>2635658.368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217488.25728</v>
      </c>
      <c r="U28" s="470"/>
      <c r="V28" s="470">
        <f t="shared" si="11"/>
        <v>441488.25728</v>
      </c>
      <c r="W28" s="471">
        <v>12</v>
      </c>
      <c r="X28" s="470">
        <f t="shared" si="12"/>
        <v>36790.6881066667</v>
      </c>
      <c r="Y28" s="470"/>
      <c r="Z28" s="470">
        <f t="shared" si="13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14"/>
        <v>3790188</v>
      </c>
      <c r="F29" s="470"/>
      <c r="G29" s="470">
        <v>245615.04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</v>
      </c>
      <c r="M29" s="470">
        <f t="shared" si="2"/>
        <v>908914.592</v>
      </c>
      <c r="N29" s="470">
        <f t="shared" si="3"/>
        <v>1154529.632</v>
      </c>
      <c r="O29" s="470">
        <f t="shared" si="4"/>
        <v>2635658.368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217488.25728</v>
      </c>
      <c r="U29" s="470"/>
      <c r="V29" s="470">
        <f t="shared" si="11"/>
        <v>441488.25728</v>
      </c>
      <c r="W29" s="471">
        <v>12</v>
      </c>
      <c r="X29" s="470">
        <f t="shared" si="12"/>
        <v>36790.6881066667</v>
      </c>
      <c r="Y29" s="470"/>
      <c r="Z29" s="470">
        <f t="shared" si="13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14"/>
        <v>3965780</v>
      </c>
      <c r="F30" s="470"/>
      <c r="G30" s="470">
        <v>259662.4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741223.520000001</v>
      </c>
      <c r="M30" s="470">
        <f t="shared" si="2"/>
        <v>941223.520000001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244627.756800001</v>
      </c>
      <c r="U30" s="470"/>
      <c r="V30" s="470">
        <f t="shared" si="11"/>
        <v>468627.756800001</v>
      </c>
      <c r="W30" s="471">
        <v>12</v>
      </c>
      <c r="X30" s="470">
        <f t="shared" si="12"/>
        <v>39052.3130666667</v>
      </c>
      <c r="Y30" s="470"/>
      <c r="Z30" s="470">
        <f t="shared" si="13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14"/>
        <v>3367583</v>
      </c>
      <c r="F31" s="470"/>
      <c r="G31" s="474">
        <v>221406.64</v>
      </c>
      <c r="H31" s="470"/>
      <c r="I31" s="470">
        <f t="shared" si="0"/>
        <v>3146176.36</v>
      </c>
      <c r="J31" s="470">
        <v>200000</v>
      </c>
      <c r="K31" s="470">
        <v>0.2</v>
      </c>
      <c r="L31" s="470">
        <f t="shared" si="1"/>
        <v>629235.272000001</v>
      </c>
      <c r="M31" s="470">
        <f t="shared" si="2"/>
        <v>829235.272000001</v>
      </c>
      <c r="N31" s="470">
        <f t="shared" si="3"/>
        <v>1050641.912</v>
      </c>
      <c r="O31" s="470">
        <f t="shared" si="4"/>
        <v>2316941.088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150557.628480001</v>
      </c>
      <c r="U31" s="470"/>
      <c r="V31" s="470">
        <f t="shared" si="11"/>
        <v>374557.628480001</v>
      </c>
      <c r="W31" s="471">
        <v>12</v>
      </c>
      <c r="X31" s="470">
        <f t="shared" si="12"/>
        <v>31213.1357066667</v>
      </c>
      <c r="Y31" s="470"/>
      <c r="Z31" s="470">
        <f t="shared" si="13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14"/>
        <v>3293517</v>
      </c>
      <c r="F32" s="470"/>
      <c r="G32" s="474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</v>
      </c>
      <c r="M32" s="470">
        <f t="shared" si="2"/>
        <v>815607.128</v>
      </c>
      <c r="N32" s="470">
        <f t="shared" si="3"/>
        <v>1031088.488</v>
      </c>
      <c r="O32" s="470">
        <f t="shared" si="4"/>
        <v>2262428.512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</v>
      </c>
      <c r="U32" s="470"/>
      <c r="V32" s="470">
        <f t="shared" si="11"/>
        <v>363109.98752</v>
      </c>
      <c r="W32" s="471">
        <v>12</v>
      </c>
      <c r="X32" s="470">
        <f t="shared" si="12"/>
        <v>30259.1656266667</v>
      </c>
      <c r="Y32" s="470"/>
      <c r="Z32" s="470">
        <f t="shared" si="13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>C35*D35</f>
        <v>18428640</v>
      </c>
      <c r="F35" s="470"/>
      <c r="G35" s="474">
        <v>1378291.2</v>
      </c>
      <c r="H35" s="470"/>
      <c r="I35" s="470">
        <f>E35-F35-G35-H35</f>
        <v>17050348.8</v>
      </c>
      <c r="J35" s="470">
        <v>200000</v>
      </c>
      <c r="K35" s="470">
        <v>0.2</v>
      </c>
      <c r="L35" s="470">
        <f>I35*K35</f>
        <v>3410069.76</v>
      </c>
      <c r="M35" s="470">
        <f>J35+L35</f>
        <v>3610069.76</v>
      </c>
      <c r="N35" s="470">
        <f>F35+G35+H35+M35</f>
        <v>4988360.96</v>
      </c>
      <c r="O35" s="470">
        <f>E35-N35</f>
        <v>13440279.04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2457666.9696</v>
      </c>
      <c r="V35" s="470">
        <f>P35+Q35+R35+S35+T35+U35</f>
        <v>3017666.9696</v>
      </c>
      <c r="W35" s="470">
        <v>12</v>
      </c>
      <c r="X35" s="470">
        <f>V35/W35</f>
        <v>251472.247466667</v>
      </c>
      <c r="Y35" s="470"/>
      <c r="Z35" s="470">
        <f>X35</f>
        <v>251472.247466667</v>
      </c>
      <c r="AA35" s="470">
        <v>161106.806858667</v>
      </c>
      <c r="AB35" s="470">
        <f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>C36*D36</f>
        <v>4236356</v>
      </c>
      <c r="F36" s="470"/>
      <c r="G36" s="474">
        <v>281308.48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791009.504000001</v>
      </c>
      <c r="M36" s="470">
        <f>J36+L36</f>
        <v>991009.504000001</v>
      </c>
      <c r="N36" s="470">
        <f>F36+G36+H36+M36</f>
        <v>1272317.984</v>
      </c>
      <c r="O36" s="470">
        <f>E36-N36</f>
        <v>2964038.016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286447.983360001</v>
      </c>
      <c r="U36" s="470"/>
      <c r="V36" s="470">
        <f>P36+Q36+R36+S36+T36+U36</f>
        <v>510447.983360001</v>
      </c>
      <c r="W36" s="470">
        <v>12</v>
      </c>
      <c r="X36" s="470">
        <f>V36/W36</f>
        <v>42537.3319466667</v>
      </c>
      <c r="Y36" s="470"/>
      <c r="Z36" s="470">
        <f>X36</f>
        <v>42537.3319466667</v>
      </c>
      <c r="AA36" s="473">
        <v>17042.7138666667</v>
      </c>
      <c r="AB36" s="470">
        <f t="shared" ref="AB36:AB37" si="30">Z36-AA36</f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>C37*D37</f>
        <v>4331587</v>
      </c>
      <c r="F37" s="470"/>
      <c r="G37" s="474">
        <v>288926.96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808532.007999999</v>
      </c>
      <c r="M37" s="470">
        <f>J37+L37</f>
        <v>1008532.008</v>
      </c>
      <c r="N37" s="470">
        <f>F37+G37+H37+M37</f>
        <v>1297458.968</v>
      </c>
      <c r="O37" s="470">
        <f>E37-N37</f>
        <v>3034128.032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301166.886719999</v>
      </c>
      <c r="U37" s="470"/>
      <c r="V37" s="470">
        <f>P37+Q37+R37+S37+T37+U37</f>
        <v>525166.886719999</v>
      </c>
      <c r="W37" s="470">
        <v>12</v>
      </c>
      <c r="X37" s="470">
        <f>V37/W37</f>
        <v>43763.9072266666</v>
      </c>
      <c r="Y37" s="470"/>
      <c r="Z37" s="470">
        <f>X37</f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912</v>
      </c>
      <c r="C40" s="468">
        <v>1635720</v>
      </c>
      <c r="D40" s="469">
        <v>12</v>
      </c>
      <c r="E40" s="470">
        <f>C40*D40</f>
        <v>19628640</v>
      </c>
      <c r="F40" s="470"/>
      <c r="G40" s="474">
        <v>1378291.2</v>
      </c>
      <c r="H40" s="470"/>
      <c r="I40" s="470">
        <f t="shared" ref="I40:I50" si="31">E40-F40-G40-H40</f>
        <v>18250348.8</v>
      </c>
      <c r="J40" s="470">
        <v>200000</v>
      </c>
      <c r="K40" s="470">
        <v>0.2</v>
      </c>
      <c r="L40" s="470">
        <f>I40*K40</f>
        <v>3650069.76</v>
      </c>
      <c r="M40" s="470">
        <f>J40+L40</f>
        <v>3850069.76</v>
      </c>
      <c r="N40" s="470">
        <f t="shared" ref="N40:N50" si="32">F40+G40+H40+M40</f>
        <v>5228360.96</v>
      </c>
      <c r="O40" s="470">
        <f t="shared" ref="O40:O50" si="33">E40-N40</f>
        <v>14400279.04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2688066.9696</v>
      </c>
      <c r="V40" s="470">
        <f>P40+Q40+R40+S40+T40+U40</f>
        <v>3248066.9696</v>
      </c>
      <c r="W40" s="471">
        <v>12</v>
      </c>
      <c r="X40" s="470">
        <f>V40/W40</f>
        <v>270672.247466667</v>
      </c>
      <c r="Y40" s="470"/>
      <c r="Z40" s="470">
        <f>X40</f>
        <v>270672.247466667</v>
      </c>
      <c r="AA40" s="473">
        <v>180306.806858667</v>
      </c>
      <c r="AB40" s="473">
        <f>Z40-AA40</f>
        <v>90365.4406079996</v>
      </c>
      <c r="AC40" s="473"/>
      <c r="AD40" s="473"/>
      <c r="AE40" s="473"/>
    </row>
    <row r="41" ht="18" spans="1:31">
      <c r="A41" s="467">
        <v>36</v>
      </c>
      <c r="B41" s="11" t="s">
        <v>914</v>
      </c>
      <c r="C41" s="470">
        <v>780675.583333333</v>
      </c>
      <c r="D41" s="469">
        <v>12</v>
      </c>
      <c r="E41" s="470">
        <f t="shared" ref="E41:E50" si="34">C41*D41</f>
        <v>9368107</v>
      </c>
      <c r="F41" s="476"/>
      <c r="G41" s="474">
        <v>595848.56</v>
      </c>
      <c r="H41" s="476"/>
      <c r="I41" s="470">
        <f t="shared" si="31"/>
        <v>8772258.44</v>
      </c>
      <c r="J41" s="470">
        <v>200000</v>
      </c>
      <c r="K41" s="470">
        <v>0.2</v>
      </c>
      <c r="L41" s="470">
        <f t="shared" si="1"/>
        <v>1754451.688</v>
      </c>
      <c r="M41" s="470">
        <f t="shared" si="2"/>
        <v>1954451.688</v>
      </c>
      <c r="N41" s="470">
        <f t="shared" si="32"/>
        <v>2550300.248</v>
      </c>
      <c r="O41" s="470">
        <f t="shared" si="33"/>
        <v>6817806.752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868273.620479999</v>
      </c>
      <c r="V41" s="470">
        <f t="shared" si="11"/>
        <v>1428273.62048</v>
      </c>
      <c r="W41" s="471">
        <v>12</v>
      </c>
      <c r="X41" s="470">
        <f t="shared" si="12"/>
        <v>119022.801706667</v>
      </c>
      <c r="Y41" s="476"/>
      <c r="Z41" s="470">
        <f t="shared" si="13"/>
        <v>119022.801706667</v>
      </c>
      <c r="AA41" s="473">
        <v>79956.9391466667</v>
      </c>
      <c r="AB41" s="473">
        <f t="shared" ref="AB41:AB50" si="35">Z41-AA41</f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616">
        <v>1019203.58333333</v>
      </c>
      <c r="D42" s="469">
        <v>12</v>
      </c>
      <c r="E42" s="470">
        <f t="shared" si="34"/>
        <v>12230443</v>
      </c>
      <c r="F42" s="476"/>
      <c r="G42" s="474">
        <v>709635.44</v>
      </c>
      <c r="H42" s="476"/>
      <c r="I42" s="470">
        <f t="shared" si="31"/>
        <v>11520807.56</v>
      </c>
      <c r="J42" s="470">
        <v>200000</v>
      </c>
      <c r="K42" s="470">
        <v>0.2</v>
      </c>
      <c r="L42" s="470">
        <f t="shared" si="1"/>
        <v>2304161.512</v>
      </c>
      <c r="M42" s="470">
        <f t="shared" si="2"/>
        <v>2504161.512</v>
      </c>
      <c r="N42" s="470">
        <f t="shared" si="32"/>
        <v>3213796.952</v>
      </c>
      <c r="O42" s="470">
        <f t="shared" si="33"/>
        <v>9016646.048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1395995.05152</v>
      </c>
      <c r="V42" s="470">
        <f t="shared" si="11"/>
        <v>1955995.05152</v>
      </c>
      <c r="W42" s="471">
        <v>12</v>
      </c>
      <c r="X42" s="470">
        <f t="shared" si="12"/>
        <v>162999.587626667</v>
      </c>
      <c r="Y42" s="476"/>
      <c r="Z42" s="470">
        <f t="shared" si="13"/>
        <v>162999.587626667</v>
      </c>
      <c r="AA42" s="473">
        <v>97273.5138506667</v>
      </c>
      <c r="AB42" s="473">
        <f t="shared" si="35"/>
        <v>65726.0737759999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4"/>
        <v>9368107</v>
      </c>
      <c r="F43" s="476"/>
      <c r="G43" s="474">
        <v>595848.56</v>
      </c>
      <c r="H43" s="476"/>
      <c r="I43" s="470">
        <f t="shared" si="31"/>
        <v>8772258.44</v>
      </c>
      <c r="J43" s="470">
        <v>200000</v>
      </c>
      <c r="K43" s="470">
        <v>0.2</v>
      </c>
      <c r="L43" s="470">
        <f t="shared" si="1"/>
        <v>1754451.688</v>
      </c>
      <c r="M43" s="470">
        <f t="shared" si="2"/>
        <v>1954451.688</v>
      </c>
      <c r="N43" s="470">
        <f t="shared" si="32"/>
        <v>2550300.248</v>
      </c>
      <c r="O43" s="470">
        <f t="shared" si="33"/>
        <v>6817806.752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868273.620479999</v>
      </c>
      <c r="V43" s="470">
        <f t="shared" si="11"/>
        <v>1428273.62048</v>
      </c>
      <c r="W43" s="471">
        <v>12</v>
      </c>
      <c r="X43" s="470">
        <f t="shared" si="12"/>
        <v>119022.801706667</v>
      </c>
      <c r="Y43" s="476"/>
      <c r="Z43" s="470">
        <f t="shared" si="13"/>
        <v>119022.801706667</v>
      </c>
      <c r="AA43" s="473">
        <v>79956.9391466667</v>
      </c>
      <c r="AB43" s="473">
        <f t="shared" si="3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4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1"/>
        <v>8762206.19</v>
      </c>
      <c r="J44" s="470">
        <v>200000</v>
      </c>
      <c r="K44" s="470">
        <v>0.2</v>
      </c>
      <c r="L44" s="470">
        <f t="shared" si="1"/>
        <v>1752441.238</v>
      </c>
      <c r="M44" s="470">
        <f t="shared" si="2"/>
        <v>1952441.238</v>
      </c>
      <c r="N44" s="470">
        <f t="shared" si="32"/>
        <v>2558342.048</v>
      </c>
      <c r="O44" s="470">
        <f t="shared" si="33"/>
        <v>6809764.952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</v>
      </c>
      <c r="V44" s="470">
        <f t="shared" si="11"/>
        <v>1426343.58848</v>
      </c>
      <c r="W44" s="471">
        <v>12</v>
      </c>
      <c r="X44" s="470">
        <f t="shared" si="12"/>
        <v>118861.965706667</v>
      </c>
      <c r="Y44" s="476"/>
      <c r="Z44" s="470">
        <f t="shared" si="13"/>
        <v>118861.965706667</v>
      </c>
      <c r="AA44" s="473">
        <v>79796.1031466666</v>
      </c>
      <c r="AB44" s="473">
        <f t="shared" si="3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4"/>
        <v>8905417</v>
      </c>
      <c r="F45" s="470"/>
      <c r="G45" s="474">
        <v>558833.36</v>
      </c>
      <c r="H45" s="476"/>
      <c r="I45" s="470">
        <f t="shared" si="31"/>
        <v>8346583.64</v>
      </c>
      <c r="J45" s="470">
        <v>200000</v>
      </c>
      <c r="K45" s="470">
        <v>0.2</v>
      </c>
      <c r="L45" s="470">
        <f t="shared" si="1"/>
        <v>1669316.728</v>
      </c>
      <c r="M45" s="470">
        <f t="shared" si="2"/>
        <v>1869316.728</v>
      </c>
      <c r="N45" s="470">
        <f t="shared" si="32"/>
        <v>2428150.088</v>
      </c>
      <c r="O45" s="470">
        <f t="shared" si="33"/>
        <v>6477266.912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</v>
      </c>
      <c r="V45" s="470">
        <f t="shared" si="11"/>
        <v>1346544.05888</v>
      </c>
      <c r="W45" s="471">
        <v>12</v>
      </c>
      <c r="X45" s="470">
        <f t="shared" si="12"/>
        <v>112212.004906667</v>
      </c>
      <c r="Y45" s="476"/>
      <c r="Z45" s="470">
        <f t="shared" si="13"/>
        <v>112212.004906667</v>
      </c>
      <c r="AA45" s="473">
        <v>75572.9156906667</v>
      </c>
      <c r="AB45" s="473">
        <f t="shared" si="3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4"/>
        <v>7325976</v>
      </c>
      <c r="F46" s="470"/>
      <c r="G46" s="474">
        <v>451678.08</v>
      </c>
      <c r="H46" s="476"/>
      <c r="I46" s="470">
        <f t="shared" si="31"/>
        <v>6874297.92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</v>
      </c>
      <c r="O46" s="470">
        <f t="shared" si="33"/>
        <v>5299438.336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1063865.20064</v>
      </c>
      <c r="W46" s="471">
        <v>12</v>
      </c>
      <c r="X46" s="470">
        <f t="shared" si="12"/>
        <v>88655.4333866667</v>
      </c>
      <c r="Y46" s="476"/>
      <c r="Z46" s="470">
        <f t="shared" si="13"/>
        <v>88655.4333866667</v>
      </c>
      <c r="AA46" s="473">
        <v>58026.6094346667</v>
      </c>
      <c r="AB46" s="473">
        <f t="shared" si="3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4"/>
        <v>4811587</v>
      </c>
      <c r="F47" s="470"/>
      <c r="G47" s="474">
        <v>288926.96</v>
      </c>
      <c r="H47" s="476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904532.007999999</v>
      </c>
      <c r="M47" s="470">
        <f t="shared" si="2"/>
        <v>1104532.008</v>
      </c>
      <c r="N47" s="470">
        <f t="shared" si="32"/>
        <v>1393458.968</v>
      </c>
      <c r="O47" s="470">
        <f t="shared" si="33"/>
        <v>3418128.032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52350.7276799992</v>
      </c>
      <c r="V47" s="470">
        <f t="shared" si="11"/>
        <v>612350.727679999</v>
      </c>
      <c r="W47" s="471">
        <v>12</v>
      </c>
      <c r="X47" s="470">
        <f t="shared" si="12"/>
        <v>51029.2273066666</v>
      </c>
      <c r="Y47" s="476"/>
      <c r="Z47" s="470">
        <f t="shared" si="13"/>
        <v>51029.2273066666</v>
      </c>
      <c r="AA47" s="473">
        <v>33059.0784066667</v>
      </c>
      <c r="AB47" s="473">
        <f t="shared" si="3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4"/>
        <v>4357984</v>
      </c>
      <c r="F48" s="470"/>
      <c r="G48" s="474">
        <v>252638.72</v>
      </c>
      <c r="H48" s="476"/>
      <c r="I48" s="470">
        <f t="shared" si="31"/>
        <v>4105345.28</v>
      </c>
      <c r="J48" s="470">
        <v>200000</v>
      </c>
      <c r="K48" s="470">
        <v>0.2</v>
      </c>
      <c r="L48" s="470">
        <f t="shared" si="1"/>
        <v>821069.055999999</v>
      </c>
      <c r="M48" s="470">
        <f t="shared" si="2"/>
        <v>1021069.056</v>
      </c>
      <c r="N48" s="470">
        <f t="shared" si="32"/>
        <v>1273707.776</v>
      </c>
      <c r="O48" s="470">
        <f t="shared" si="33"/>
        <v>3084276.224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311698.007039999</v>
      </c>
      <c r="U48" s="470"/>
      <c r="V48" s="470">
        <f t="shared" si="11"/>
        <v>535698.007039999</v>
      </c>
      <c r="W48" s="471">
        <v>12</v>
      </c>
      <c r="X48" s="470">
        <f t="shared" si="12"/>
        <v>44641.5005866666</v>
      </c>
      <c r="Y48" s="476"/>
      <c r="Z48" s="470">
        <f t="shared" si="13"/>
        <v>44641.5005866666</v>
      </c>
      <c r="AA48" s="473">
        <v>29058.4826046667</v>
      </c>
      <c r="AB48" s="473">
        <f t="shared" si="3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915</v>
      </c>
      <c r="C49" s="470">
        <v>363165.333333333</v>
      </c>
      <c r="D49" s="469">
        <v>12</v>
      </c>
      <c r="E49" s="470">
        <f t="shared" si="34"/>
        <v>4357984</v>
      </c>
      <c r="F49" s="470"/>
      <c r="G49" s="474">
        <v>252638.72</v>
      </c>
      <c r="H49" s="476"/>
      <c r="I49" s="470">
        <f t="shared" si="31"/>
        <v>4105345.28</v>
      </c>
      <c r="J49" s="470">
        <v>200000</v>
      </c>
      <c r="K49" s="470">
        <v>0.2</v>
      </c>
      <c r="L49" s="470">
        <f t="shared" si="1"/>
        <v>821069.055999999</v>
      </c>
      <c r="M49" s="470">
        <f t="shared" si="2"/>
        <v>1021069.056</v>
      </c>
      <c r="N49" s="470">
        <f t="shared" si="32"/>
        <v>1273707.776</v>
      </c>
      <c r="O49" s="470">
        <f t="shared" si="33"/>
        <v>3084276.224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311698.007039999</v>
      </c>
      <c r="U49" s="470"/>
      <c r="V49" s="470">
        <f t="shared" si="11"/>
        <v>535698.007039999</v>
      </c>
      <c r="W49" s="471">
        <v>12</v>
      </c>
      <c r="X49" s="470">
        <f t="shared" si="12"/>
        <v>44641.5005866666</v>
      </c>
      <c r="Y49" s="476"/>
      <c r="Z49" s="470">
        <f t="shared" si="13"/>
        <v>44641.5005866666</v>
      </c>
      <c r="AA49" s="473">
        <v>28360.9528626667</v>
      </c>
      <c r="AB49" s="473">
        <f t="shared" si="3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4"/>
        <v>4357984</v>
      </c>
      <c r="F50" s="470"/>
      <c r="G50" s="474">
        <v>252638.72</v>
      </c>
      <c r="H50" s="476"/>
      <c r="I50" s="470">
        <f t="shared" si="31"/>
        <v>4105345.28</v>
      </c>
      <c r="J50" s="470">
        <v>200000</v>
      </c>
      <c r="K50" s="470">
        <v>0.2</v>
      </c>
      <c r="L50" s="470">
        <f t="shared" si="1"/>
        <v>821069.055999999</v>
      </c>
      <c r="M50" s="470">
        <f t="shared" si="2"/>
        <v>1021069.056</v>
      </c>
      <c r="N50" s="470">
        <f t="shared" si="32"/>
        <v>1273707.776</v>
      </c>
      <c r="O50" s="470">
        <f t="shared" si="33"/>
        <v>3084276.224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311698.007039999</v>
      </c>
      <c r="U50" s="470"/>
      <c r="V50" s="470">
        <f t="shared" si="11"/>
        <v>535698.007039999</v>
      </c>
      <c r="W50" s="471">
        <v>12</v>
      </c>
      <c r="X50" s="470">
        <f t="shared" si="12"/>
        <v>44641.5005866666</v>
      </c>
      <c r="Y50" s="476"/>
      <c r="Z50" s="470">
        <f t="shared" si="13"/>
        <v>44641.5005866666</v>
      </c>
      <c r="AA50" s="473">
        <v>29058.4826046667</v>
      </c>
      <c r="AB50" s="473">
        <f t="shared" si="3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>C53*D53</f>
        <v>19628640</v>
      </c>
      <c r="F53" s="470"/>
      <c r="G53" s="474">
        <v>1378291.2</v>
      </c>
      <c r="H53" s="476"/>
      <c r="I53" s="470">
        <f>E53-F53-G53-H53</f>
        <v>18250348.8</v>
      </c>
      <c r="J53" s="470">
        <v>200000</v>
      </c>
      <c r="K53" s="470">
        <v>0.2</v>
      </c>
      <c r="L53" s="470">
        <f t="shared" si="1"/>
        <v>3650069.76</v>
      </c>
      <c r="M53" s="470">
        <f t="shared" si="2"/>
        <v>3850069.76</v>
      </c>
      <c r="N53" s="470">
        <f>F53+G53+H53+M53</f>
        <v>5228360.96</v>
      </c>
      <c r="O53" s="470">
        <f>E53-N53</f>
        <v>14400279.04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2688066.9696</v>
      </c>
      <c r="V53" s="470">
        <f t="shared" si="11"/>
        <v>3248066.9696</v>
      </c>
      <c r="W53" s="471">
        <v>12</v>
      </c>
      <c r="X53" s="470">
        <f t="shared" si="12"/>
        <v>270672.247466667</v>
      </c>
      <c r="Y53" s="476"/>
      <c r="Z53" s="470">
        <f t="shared" si="13"/>
        <v>270672.247466667</v>
      </c>
      <c r="AA53" s="473">
        <v>180306.806858667</v>
      </c>
      <c r="AB53" s="473">
        <f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>C54*D54</f>
        <v>8408107</v>
      </c>
      <c r="F54" s="470"/>
      <c r="G54" s="470">
        <v>595848.56</v>
      </c>
      <c r="H54" s="476"/>
      <c r="I54" s="470">
        <f>E54-F54-G54-H54</f>
        <v>7812258.44</v>
      </c>
      <c r="J54" s="470">
        <v>200000</v>
      </c>
      <c r="K54" s="470">
        <v>0.2</v>
      </c>
      <c r="L54" s="470">
        <f t="shared" si="1"/>
        <v>1562451.688</v>
      </c>
      <c r="M54" s="470">
        <f t="shared" si="2"/>
        <v>1762451.688</v>
      </c>
      <c r="N54" s="470">
        <f>F54+G54+H54+M54</f>
        <v>2358300.248</v>
      </c>
      <c r="O54" s="470">
        <f>E54-N54</f>
        <v>6049806.752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683953.620479999</v>
      </c>
      <c r="V54" s="470">
        <f t="shared" si="11"/>
        <v>1243953.62048</v>
      </c>
      <c r="W54" s="471">
        <v>12</v>
      </c>
      <c r="X54" s="470">
        <f t="shared" si="12"/>
        <v>103662.801706667</v>
      </c>
      <c r="Y54" s="476"/>
      <c r="Z54" s="470">
        <f t="shared" si="13"/>
        <v>103662.801706667</v>
      </c>
      <c r="AA54" s="473">
        <v>64596.9391466667</v>
      </c>
      <c r="AB54" s="473">
        <f>Z54-AA54</f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917</v>
      </c>
      <c r="C57" s="470">
        <v>1635720</v>
      </c>
      <c r="D57" s="469">
        <v>12</v>
      </c>
      <c r="E57" s="470">
        <f>C57*D57</f>
        <v>19628640</v>
      </c>
      <c r="F57" s="470"/>
      <c r="G57" s="474">
        <v>0</v>
      </c>
      <c r="H57" s="476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3512698.88</v>
      </c>
      <c r="W57" s="471">
        <v>12</v>
      </c>
      <c r="X57" s="470">
        <f t="shared" si="12"/>
        <v>292724.906666667</v>
      </c>
      <c r="Y57" s="476"/>
      <c r="Z57" s="470">
        <f t="shared" si="13"/>
        <v>292724.906666667</v>
      </c>
      <c r="AA57" s="473">
        <v>180306.806858667</v>
      </c>
      <c r="AB57" s="473">
        <f>Z57-AA57</f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919</v>
      </c>
      <c r="C58" s="470">
        <v>761396.833333333</v>
      </c>
      <c r="D58" s="469">
        <v>12</v>
      </c>
      <c r="E58" s="470">
        <f t="shared" ref="E58:E66" si="39">C58*D58</f>
        <v>9136762</v>
      </c>
      <c r="F58" s="470"/>
      <c r="G58" s="479">
        <f>48111.7466666667*12</f>
        <v>577340.96</v>
      </c>
      <c r="H58" s="476"/>
      <c r="I58" s="470">
        <f t="shared" si="36"/>
        <v>8559421.04</v>
      </c>
      <c r="J58" s="470">
        <v>200000</v>
      </c>
      <c r="K58" s="470">
        <v>0.2</v>
      </c>
      <c r="L58" s="470">
        <f t="shared" si="1"/>
        <v>1711884.208</v>
      </c>
      <c r="M58" s="470">
        <f t="shared" si="2"/>
        <v>1911884.208</v>
      </c>
      <c r="N58" s="470">
        <f t="shared" si="37"/>
        <v>2489225.168</v>
      </c>
      <c r="O58" s="470">
        <f t="shared" si="38"/>
        <v>6647536.832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</v>
      </c>
      <c r="V58" s="470">
        <f t="shared" si="11"/>
        <v>1387408.83968</v>
      </c>
      <c r="W58" s="471">
        <v>12</v>
      </c>
      <c r="X58" s="470">
        <f t="shared" si="12"/>
        <v>115617.403306667</v>
      </c>
      <c r="Y58" s="476"/>
      <c r="Z58" s="470">
        <f t="shared" si="13"/>
        <v>115617.403306667</v>
      </c>
      <c r="AA58" s="473">
        <v>77764.9802666667</v>
      </c>
      <c r="AB58" s="473">
        <f t="shared" ref="AB58:AB66" si="40">Z58-AA58</f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39"/>
        <v>6992958</v>
      </c>
      <c r="F59" s="470"/>
      <c r="G59" s="474">
        <v>425036.64</v>
      </c>
      <c r="H59" s="476"/>
      <c r="I59" s="470">
        <f t="shared" si="36"/>
        <v>6567921.36</v>
      </c>
      <c r="J59" s="470">
        <v>200000</v>
      </c>
      <c r="K59" s="470">
        <v>0.2</v>
      </c>
      <c r="L59" s="470">
        <f t="shared" si="1"/>
        <v>1313584.272</v>
      </c>
      <c r="M59" s="470">
        <f t="shared" si="2"/>
        <v>1513584.272</v>
      </c>
      <c r="N59" s="470">
        <f t="shared" si="37"/>
        <v>1938620.912</v>
      </c>
      <c r="O59" s="470">
        <f t="shared" si="38"/>
        <v>5054337.088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445040.90112</v>
      </c>
      <c r="V59" s="470">
        <f t="shared" si="11"/>
        <v>1005040.90112</v>
      </c>
      <c r="W59" s="471">
        <v>12</v>
      </c>
      <c r="X59" s="470">
        <f t="shared" si="12"/>
        <v>83753.4084266666</v>
      </c>
      <c r="Y59" s="476"/>
      <c r="Z59" s="470">
        <f t="shared" si="13"/>
        <v>83753.4084266666</v>
      </c>
      <c r="AA59" s="473">
        <v>54931.2492266667</v>
      </c>
      <c r="AB59" s="473">
        <f t="shared" si="40"/>
        <v>28822.1591999999</v>
      </c>
      <c r="AC59" s="473"/>
      <c r="AD59" s="473"/>
      <c r="AE59" s="473"/>
    </row>
    <row r="60" ht="18" spans="1:31">
      <c r="A60" s="467">
        <v>53</v>
      </c>
      <c r="B60" s="18" t="s">
        <v>921</v>
      </c>
      <c r="C60" s="470">
        <v>548915.916666667</v>
      </c>
      <c r="D60" s="469">
        <v>12</v>
      </c>
      <c r="E60" s="470">
        <f t="shared" si="39"/>
        <v>6586991</v>
      </c>
      <c r="F60" s="470"/>
      <c r="G60" s="474">
        <v>411759.28</v>
      </c>
      <c r="H60" s="476"/>
      <c r="I60" s="470">
        <f t="shared" si="36"/>
        <v>6175231.72</v>
      </c>
      <c r="J60" s="470">
        <v>200000</v>
      </c>
      <c r="K60" s="470">
        <v>0.2</v>
      </c>
      <c r="L60" s="470">
        <f t="shared" si="1"/>
        <v>1235046.344</v>
      </c>
      <c r="M60" s="470">
        <f t="shared" si="2"/>
        <v>1435046.344</v>
      </c>
      <c r="N60" s="470">
        <f t="shared" si="37"/>
        <v>1846805.624</v>
      </c>
      <c r="O60" s="470">
        <f t="shared" si="38"/>
        <v>4740185.376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369644.490240001</v>
      </c>
      <c r="V60" s="470">
        <f t="shared" si="11"/>
        <v>929644.490240001</v>
      </c>
      <c r="W60" s="471">
        <v>12</v>
      </c>
      <c r="X60" s="470">
        <f t="shared" si="12"/>
        <v>77470.3741866667</v>
      </c>
      <c r="Y60" s="476"/>
      <c r="Z60" s="470">
        <f t="shared" si="13"/>
        <v>77470.3741866667</v>
      </c>
      <c r="AA60" s="473">
        <v>49548.7761866667</v>
      </c>
      <c r="AB60" s="473">
        <f t="shared" si="40"/>
        <v>27921.598</v>
      </c>
      <c r="AC60" s="473"/>
      <c r="AD60" s="473"/>
      <c r="AE60" s="473"/>
    </row>
    <row r="61" ht="18" spans="1:31">
      <c r="A61" s="467">
        <v>54</v>
      </c>
      <c r="B61" s="14" t="s">
        <v>922</v>
      </c>
      <c r="C61" s="470">
        <v>624373.75</v>
      </c>
      <c r="D61" s="469">
        <v>12</v>
      </c>
      <c r="E61" s="470">
        <f t="shared" si="39"/>
        <v>7492485</v>
      </c>
      <c r="F61" s="470"/>
      <c r="G61" s="474">
        <v>464998.8</v>
      </c>
      <c r="H61" s="476"/>
      <c r="I61" s="470">
        <f t="shared" si="36"/>
        <v>7027486.2</v>
      </c>
      <c r="J61" s="470">
        <v>200000</v>
      </c>
      <c r="K61" s="470">
        <v>0.2</v>
      </c>
      <c r="L61" s="470">
        <f t="shared" si="1"/>
        <v>1405497.24</v>
      </c>
      <c r="M61" s="470">
        <f t="shared" si="2"/>
        <v>1605497.24</v>
      </c>
      <c r="N61" s="470">
        <f t="shared" si="37"/>
        <v>2070496.04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1093277.3504</v>
      </c>
      <c r="W61" s="471">
        <v>12</v>
      </c>
      <c r="X61" s="470">
        <f t="shared" si="12"/>
        <v>91106.4458666667</v>
      </c>
      <c r="Y61" s="476"/>
      <c r="Z61" s="470">
        <f t="shared" si="13"/>
        <v>91106.4458666667</v>
      </c>
      <c r="AA61" s="473">
        <v>46666.6666666667</v>
      </c>
      <c r="AB61" s="473">
        <f t="shared" si="40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39"/>
        <v>5708446</v>
      </c>
      <c r="F62" s="470"/>
      <c r="G62" s="474">
        <v>351075.68</v>
      </c>
      <c r="H62" s="476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1622549.744</v>
      </c>
      <c r="O62" s="470">
        <f t="shared" si="38"/>
        <v>4085896.256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212615.101439999</v>
      </c>
      <c r="V62" s="470">
        <f t="shared" si="11"/>
        <v>772615.101439999</v>
      </c>
      <c r="W62" s="471">
        <v>12</v>
      </c>
      <c r="X62" s="470">
        <f t="shared" si="12"/>
        <v>64384.5917866666</v>
      </c>
      <c r="Y62" s="476"/>
      <c r="Z62" s="470">
        <f t="shared" si="13"/>
        <v>64384.5917866666</v>
      </c>
      <c r="AA62" s="473">
        <v>41338.9510986667</v>
      </c>
      <c r="AB62" s="473">
        <f t="shared" si="40"/>
        <v>23045.6406879999</v>
      </c>
      <c r="AC62" s="473"/>
      <c r="AD62" s="473"/>
      <c r="AE62" s="473"/>
    </row>
    <row r="63" ht="18" spans="1:31">
      <c r="A63" s="467">
        <v>56</v>
      </c>
      <c r="B63" s="11" t="s">
        <v>172</v>
      </c>
      <c r="C63" s="470">
        <v>475703.833333333</v>
      </c>
      <c r="D63" s="469">
        <v>12</v>
      </c>
      <c r="E63" s="470">
        <f t="shared" si="39"/>
        <v>5708446</v>
      </c>
      <c r="F63" s="470"/>
      <c r="G63" s="474">
        <v>351075.68</v>
      </c>
      <c r="H63" s="476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1622549.744</v>
      </c>
      <c r="O63" s="470">
        <f t="shared" si="38"/>
        <v>4085896.256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212615.101439999</v>
      </c>
      <c r="V63" s="470">
        <f t="shared" si="11"/>
        <v>772615.101439999</v>
      </c>
      <c r="W63" s="471">
        <v>12</v>
      </c>
      <c r="X63" s="470">
        <f t="shared" si="12"/>
        <v>64384.5917866666</v>
      </c>
      <c r="Y63" s="476"/>
      <c r="Z63" s="470">
        <f t="shared" si="13"/>
        <v>64384.5917866666</v>
      </c>
      <c r="AA63" s="473">
        <v>41338.9510986667</v>
      </c>
      <c r="AB63" s="473">
        <f t="shared" si="40"/>
        <v>23045.6406879999</v>
      </c>
      <c r="AC63" s="473"/>
      <c r="AD63" s="473"/>
      <c r="AE63" s="473"/>
    </row>
    <row r="64" ht="18" spans="1:31">
      <c r="A64" s="467">
        <v>57</v>
      </c>
      <c r="B64" s="11" t="s">
        <v>174</v>
      </c>
      <c r="C64" s="470">
        <v>475703.833333333</v>
      </c>
      <c r="D64" s="469">
        <v>12</v>
      </c>
      <c r="E64" s="470">
        <f t="shared" si="39"/>
        <v>5708446</v>
      </c>
      <c r="F64" s="470"/>
      <c r="G64" s="474">
        <v>351075.68</v>
      </c>
      <c r="H64" s="476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1622549.744</v>
      </c>
      <c r="O64" s="470">
        <f t="shared" si="38"/>
        <v>4085896.256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212615.101439999</v>
      </c>
      <c r="V64" s="470">
        <f t="shared" si="11"/>
        <v>772615.101439999</v>
      </c>
      <c r="W64" s="471">
        <v>12</v>
      </c>
      <c r="X64" s="470">
        <f t="shared" si="12"/>
        <v>64384.5917866666</v>
      </c>
      <c r="Y64" s="476"/>
      <c r="Z64" s="470">
        <f t="shared" si="13"/>
        <v>64384.5917866666</v>
      </c>
      <c r="AA64" s="473">
        <v>41338.9510986667</v>
      </c>
      <c r="AB64" s="473">
        <f t="shared" si="40"/>
        <v>23045.6406879999</v>
      </c>
      <c r="AC64" s="473"/>
      <c r="AD64" s="473"/>
      <c r="AE64" s="473"/>
    </row>
    <row r="65" ht="18" spans="1:31">
      <c r="A65" s="467">
        <v>58</v>
      </c>
      <c r="B65" s="11" t="s">
        <v>175</v>
      </c>
      <c r="C65" s="470">
        <v>487895.166666667</v>
      </c>
      <c r="D65" s="469">
        <v>12</v>
      </c>
      <c r="E65" s="470">
        <f t="shared" si="39"/>
        <v>5854742</v>
      </c>
      <c r="F65" s="470"/>
      <c r="G65" s="474">
        <v>362779.36</v>
      </c>
      <c r="H65" s="476"/>
      <c r="I65" s="470">
        <f t="shared" si="36"/>
        <v>5491962.64</v>
      </c>
      <c r="J65" s="470">
        <v>200000</v>
      </c>
      <c r="K65" s="470">
        <v>0.2</v>
      </c>
      <c r="L65" s="470">
        <f t="shared" si="1"/>
        <v>1098392.528</v>
      </c>
      <c r="M65" s="470">
        <f t="shared" si="2"/>
        <v>1298392.528</v>
      </c>
      <c r="N65" s="470">
        <f t="shared" si="37"/>
        <v>1661171.888</v>
      </c>
      <c r="O65" s="470">
        <f t="shared" si="38"/>
        <v>4193570.112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238456.826880001</v>
      </c>
      <c r="V65" s="470">
        <f t="shared" si="11"/>
        <v>798456.826880001</v>
      </c>
      <c r="W65" s="471">
        <v>12</v>
      </c>
      <c r="X65" s="470">
        <f t="shared" si="12"/>
        <v>66538.0689066667</v>
      </c>
      <c r="Y65" s="476"/>
      <c r="Z65" s="470">
        <f t="shared" si="13"/>
        <v>66538.0689066667</v>
      </c>
      <c r="AA65" s="473">
        <v>43368.8824146667</v>
      </c>
      <c r="AB65" s="473">
        <f t="shared" si="40"/>
        <v>23169.186492</v>
      </c>
      <c r="AC65" s="473"/>
      <c r="AD65" s="473"/>
      <c r="AE65" s="473"/>
    </row>
    <row r="66" ht="18" spans="1:31">
      <c r="A66" s="467">
        <v>59</v>
      </c>
      <c r="B66" s="11" t="s">
        <v>179</v>
      </c>
      <c r="C66" s="470">
        <v>400965.583333333</v>
      </c>
      <c r="D66" s="469">
        <v>12</v>
      </c>
      <c r="E66" s="470">
        <f t="shared" si="39"/>
        <v>4811587</v>
      </c>
      <c r="F66" s="470"/>
      <c r="G66" s="478">
        <v>288926.96</v>
      </c>
      <c r="H66" s="476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904532.007999999</v>
      </c>
      <c r="M66" s="470">
        <f t="shared" si="2"/>
        <v>1104532.008</v>
      </c>
      <c r="N66" s="470">
        <f t="shared" si="37"/>
        <v>1393458.968</v>
      </c>
      <c r="O66" s="470">
        <f t="shared" si="38"/>
        <v>3418128.032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52350.7276799992</v>
      </c>
      <c r="V66" s="470">
        <f t="shared" si="11"/>
        <v>612350.727679999</v>
      </c>
      <c r="W66" s="471">
        <v>12</v>
      </c>
      <c r="X66" s="470">
        <f t="shared" si="12"/>
        <v>51029.2273066666</v>
      </c>
      <c r="Y66" s="476"/>
      <c r="Z66" s="470">
        <f t="shared" si="13"/>
        <v>51029.2273066666</v>
      </c>
      <c r="AA66" s="473">
        <v>33825.9865626667</v>
      </c>
      <c r="AB66" s="473">
        <f t="shared" si="40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473"/>
      <c r="AB68" s="473"/>
      <c r="AC68" s="473"/>
      <c r="AD68" s="473"/>
      <c r="AE68" s="473"/>
    </row>
    <row r="69" ht="17.5" spans="1:31">
      <c r="A69" s="467"/>
      <c r="B69" s="20" t="s">
        <v>183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473"/>
      <c r="AB69" s="473"/>
      <c r="AC69" s="473"/>
      <c r="AD69" s="473"/>
      <c r="AE69" s="473"/>
    </row>
    <row r="70" ht="18" spans="1:31">
      <c r="A70" s="467"/>
      <c r="B70" s="11" t="s">
        <v>184</v>
      </c>
      <c r="C70" s="470">
        <v>1635720</v>
      </c>
      <c r="D70" s="469">
        <v>12</v>
      </c>
      <c r="E70" s="470">
        <f>C70*D70</f>
        <v>19628640</v>
      </c>
      <c r="F70" s="470"/>
      <c r="G70" s="474">
        <v>1378291.2</v>
      </c>
      <c r="H70" s="476"/>
      <c r="I70" s="470">
        <f t="shared" ref="I70:I76" si="41">E70-F70-G70-H70</f>
        <v>18250348.8</v>
      </c>
      <c r="J70" s="470">
        <v>200000</v>
      </c>
      <c r="K70" s="470">
        <v>0.2</v>
      </c>
      <c r="L70" s="470">
        <f t="shared" ref="L70" si="42">I70*K70</f>
        <v>3650069.76</v>
      </c>
      <c r="M70" s="470">
        <f t="shared" ref="M70" si="43">J70+L70</f>
        <v>3850069.76</v>
      </c>
      <c r="N70" s="470">
        <f t="shared" ref="N70:N76" si="44">F70+G70+H70+M70</f>
        <v>5228360.96</v>
      </c>
      <c r="O70" s="470">
        <f t="shared" ref="O70:O76" si="45">E70-N70</f>
        <v>14400279.04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2688066.9696</v>
      </c>
      <c r="V70" s="470">
        <f t="shared" ref="V70" si="52">P70+Q70+R70+S70+T70+U70</f>
        <v>3248066.9696</v>
      </c>
      <c r="W70" s="471">
        <v>12</v>
      </c>
      <c r="X70" s="470">
        <f t="shared" ref="X70" si="53">V70/W70</f>
        <v>270672.247466667</v>
      </c>
      <c r="Y70" s="476"/>
      <c r="Z70" s="470">
        <f t="shared" ref="Z70" si="54">X70</f>
        <v>270672.247466667</v>
      </c>
      <c r="AA70" s="473">
        <v>180306.806858667</v>
      </c>
      <c r="AB70" s="473">
        <f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923</v>
      </c>
      <c r="C71" s="470">
        <v>761396.833333333</v>
      </c>
      <c r="D71" s="469">
        <v>12</v>
      </c>
      <c r="E71" s="470">
        <f t="shared" ref="E71:E76" si="55">C71*D71</f>
        <v>9136762</v>
      </c>
      <c r="F71" s="470"/>
      <c r="G71" s="474">
        <v>0</v>
      </c>
      <c r="H71" s="476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</v>
      </c>
      <c r="M71" s="470">
        <f t="shared" si="2"/>
        <v>2027352.4</v>
      </c>
      <c r="N71" s="470">
        <f t="shared" si="44"/>
        <v>2027352.4</v>
      </c>
      <c r="O71" s="470">
        <f t="shared" si="45"/>
        <v>7109409.6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</v>
      </c>
      <c r="V71" s="470">
        <f t="shared" si="11"/>
        <v>1498258.304</v>
      </c>
      <c r="W71" s="471">
        <v>12</v>
      </c>
      <c r="X71" s="470">
        <f t="shared" si="12"/>
        <v>124854.858666667</v>
      </c>
      <c r="Y71" s="476"/>
      <c r="Z71" s="470">
        <f t="shared" si="13"/>
        <v>124854.858666667</v>
      </c>
      <c r="AA71" s="473">
        <v>77764.9802666667</v>
      </c>
      <c r="AB71" s="473">
        <f t="shared" ref="AB71:AB76" si="56">Z71-AA71</f>
        <v>47089.8783999999</v>
      </c>
      <c r="AC71" s="473"/>
      <c r="AD71" s="473"/>
      <c r="AE71" s="473"/>
    </row>
    <row r="72" ht="36" spans="1:31">
      <c r="A72" s="467">
        <v>63</v>
      </c>
      <c r="B72" s="18" t="s">
        <v>186</v>
      </c>
      <c r="C72" s="470">
        <f>700675.583333333+80000</f>
        <v>780675.583333333</v>
      </c>
      <c r="D72" s="469">
        <v>12</v>
      </c>
      <c r="E72" s="470">
        <f t="shared" si="55"/>
        <v>9368107</v>
      </c>
      <c r="F72" s="470"/>
      <c r="G72" s="474">
        <v>0</v>
      </c>
      <c r="H72" s="476"/>
      <c r="I72" s="470">
        <f t="shared" si="41"/>
        <v>9368107</v>
      </c>
      <c r="J72" s="470">
        <v>200000</v>
      </c>
      <c r="K72" s="470">
        <v>0.2</v>
      </c>
      <c r="L72" s="470">
        <f t="shared" si="1"/>
        <v>1873621.4</v>
      </c>
      <c r="M72" s="470">
        <f t="shared" si="2"/>
        <v>2073621.4</v>
      </c>
      <c r="N72" s="470">
        <f t="shared" si="44"/>
        <v>2073621.4</v>
      </c>
      <c r="O72" s="470">
        <f t="shared" si="45"/>
        <v>7294485.6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</v>
      </c>
      <c r="V72" s="470">
        <f t="shared" si="11"/>
        <v>1542676.544</v>
      </c>
      <c r="W72" s="471">
        <v>12</v>
      </c>
      <c r="X72" s="470">
        <f t="shared" si="12"/>
        <v>128556.378666667</v>
      </c>
      <c r="Y72" s="476"/>
      <c r="Z72" s="470">
        <f t="shared" si="13"/>
        <v>128556.378666667</v>
      </c>
      <c r="AA72" s="473">
        <v>64596.9391466667</v>
      </c>
      <c r="AB72" s="473">
        <f t="shared" si="56"/>
        <v>63959.4395199999</v>
      </c>
      <c r="AC72" s="473"/>
      <c r="AD72" s="473"/>
      <c r="AE72" s="473"/>
    </row>
    <row r="73" ht="18" spans="1:31">
      <c r="A73" s="467">
        <v>64</v>
      </c>
      <c r="B73" s="11" t="s">
        <v>190</v>
      </c>
      <c r="C73" s="470">
        <v>596622.25</v>
      </c>
      <c r="D73" s="469">
        <v>12</v>
      </c>
      <c r="E73" s="470">
        <f t="shared" si="55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41"/>
        <v>6713089.845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</v>
      </c>
      <c r="O73" s="470">
        <f t="shared" si="45"/>
        <v>5170471.876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</v>
      </c>
      <c r="V73" s="470">
        <f t="shared" si="11"/>
        <v>1032913.25024</v>
      </c>
      <c r="W73" s="471">
        <v>12</v>
      </c>
      <c r="X73" s="470">
        <f t="shared" si="12"/>
        <v>86076.1041866667</v>
      </c>
      <c r="Y73" s="476"/>
      <c r="Z73" s="470">
        <f t="shared" si="13"/>
        <v>86076.1041866667</v>
      </c>
      <c r="AA73" s="473">
        <v>56350.5861866667</v>
      </c>
      <c r="AB73" s="473">
        <f t="shared" si="56"/>
        <v>29725.518</v>
      </c>
      <c r="AC73" s="473"/>
      <c r="AD73" s="473"/>
      <c r="AE73" s="473"/>
    </row>
    <row r="74" ht="18" spans="1:31">
      <c r="A74" s="467">
        <v>65</v>
      </c>
      <c r="B74" s="11" t="s">
        <v>197</v>
      </c>
      <c r="C74" s="470">
        <v>408901.5</v>
      </c>
      <c r="D74" s="469">
        <v>12</v>
      </c>
      <c r="E74" s="470">
        <f t="shared" si="55"/>
        <v>4906818</v>
      </c>
      <c r="F74" s="470"/>
      <c r="G74" s="474">
        <v>296545.44</v>
      </c>
      <c r="H74" s="476"/>
      <c r="I74" s="470">
        <f t="shared" si="41"/>
        <v>4610272.56</v>
      </c>
      <c r="J74" s="470">
        <v>200000</v>
      </c>
      <c r="K74" s="470">
        <v>0.2</v>
      </c>
      <c r="L74" s="470">
        <f t="shared" si="1"/>
        <v>922054.512</v>
      </c>
      <c r="M74" s="470">
        <f t="shared" si="2"/>
        <v>1122054.512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69172.33152</v>
      </c>
      <c r="V74" s="470">
        <f t="shared" si="11"/>
        <v>629172.33152</v>
      </c>
      <c r="W74" s="471">
        <v>12</v>
      </c>
      <c r="X74" s="470">
        <f t="shared" si="12"/>
        <v>52431.0276266667</v>
      </c>
      <c r="Y74" s="476"/>
      <c r="Z74" s="470">
        <f t="shared" si="13"/>
        <v>52431.0276266667</v>
      </c>
      <c r="AA74" s="473">
        <v>17507.5489666667</v>
      </c>
      <c r="AB74" s="473">
        <f t="shared" si="56"/>
        <v>34923.47866</v>
      </c>
      <c r="AC74" s="473"/>
      <c r="AD74" s="473"/>
      <c r="AE74" s="473"/>
    </row>
    <row r="75" ht="24.75" customHeight="1" spans="1:31">
      <c r="A75" s="467"/>
      <c r="B75" s="11" t="s">
        <v>201</v>
      </c>
      <c r="C75" s="470">
        <v>363165.333333333</v>
      </c>
      <c r="D75" s="469">
        <v>12</v>
      </c>
      <c r="E75" s="470">
        <f t="shared" si="55"/>
        <v>4357984</v>
      </c>
      <c r="F75" s="470"/>
      <c r="G75" s="474">
        <v>252638.72</v>
      </c>
      <c r="H75" s="476"/>
      <c r="I75" s="470">
        <f t="shared" si="41"/>
        <v>4105345.28</v>
      </c>
      <c r="J75" s="470">
        <v>200000</v>
      </c>
      <c r="K75" s="470">
        <v>0.2</v>
      </c>
      <c r="L75" s="470">
        <f t="shared" si="1"/>
        <v>821069.055999999</v>
      </c>
      <c r="M75" s="470">
        <f t="shared" si="2"/>
        <v>1021069.056</v>
      </c>
      <c r="N75" s="470">
        <f t="shared" si="44"/>
        <v>1273707.776</v>
      </c>
      <c r="O75" s="470">
        <f t="shared" si="45"/>
        <v>3084276.224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311698.007039999</v>
      </c>
      <c r="U75" s="470"/>
      <c r="V75" s="470">
        <f t="shared" si="11"/>
        <v>535698.007039999</v>
      </c>
      <c r="W75" s="471">
        <v>12</v>
      </c>
      <c r="X75" s="470">
        <f t="shared" si="12"/>
        <v>44641.5005866666</v>
      </c>
      <c r="Y75" s="476"/>
      <c r="Z75" s="470">
        <f t="shared" si="13"/>
        <v>44641.5005866666</v>
      </c>
      <c r="AA75" s="473">
        <v>29058.4826046667</v>
      </c>
      <c r="AB75" s="473">
        <f t="shared" si="56"/>
        <v>15583.0179819999</v>
      </c>
      <c r="AC75" s="473"/>
      <c r="AD75" s="473"/>
      <c r="AE75" s="473"/>
    </row>
    <row r="76" ht="18" spans="1:31">
      <c r="A76" s="467"/>
      <c r="B76" s="11" t="s">
        <v>203</v>
      </c>
      <c r="C76" s="470">
        <v>324459.75</v>
      </c>
      <c r="D76" s="469">
        <v>12</v>
      </c>
      <c r="E76" s="470">
        <f t="shared" si="55"/>
        <v>3893517</v>
      </c>
      <c r="F76" s="470"/>
      <c r="G76" s="474">
        <v>215481.36</v>
      </c>
      <c r="H76" s="476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</v>
      </c>
      <c r="M76" s="470">
        <f t="shared" ref="M76" si="58">J76+L76</f>
        <v>935607.128</v>
      </c>
      <c r="N76" s="470">
        <f t="shared" si="44"/>
        <v>1151088.488</v>
      </c>
      <c r="O76" s="470">
        <f t="shared" si="45"/>
        <v>2742428.512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</v>
      </c>
      <c r="U76" s="470"/>
      <c r="V76" s="470">
        <f t="shared" ref="V76" si="64">P76+Q76+R76+S76+T76+U76</f>
        <v>463909.98752</v>
      </c>
      <c r="W76" s="471">
        <v>12</v>
      </c>
      <c r="X76" s="470">
        <f t="shared" ref="X76" si="65">V76/W76</f>
        <v>38659.1656266667</v>
      </c>
      <c r="Y76" s="476"/>
      <c r="Z76" s="470">
        <f t="shared" ref="Z76" si="66">X76</f>
        <v>38659.1656266667</v>
      </c>
      <c r="AA76" s="473">
        <v>24751.1704626667</v>
      </c>
      <c r="AB76" s="473">
        <f t="shared" si="56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205</v>
      </c>
      <c r="C79" s="470"/>
      <c r="AB79" s="296" t="s">
        <v>1010</v>
      </c>
      <c r="AC79" s="473"/>
      <c r="AD79" s="473"/>
      <c r="AE79" s="473"/>
    </row>
    <row r="80" ht="18" spans="1:31">
      <c r="A80" s="467">
        <v>68</v>
      </c>
      <c r="B80" s="11" t="s">
        <v>208</v>
      </c>
      <c r="C80" s="470">
        <f>880675.583333333+100000</f>
        <v>980675.583333333</v>
      </c>
      <c r="D80" s="469">
        <v>12</v>
      </c>
      <c r="E80" s="470">
        <f>C80*D80</f>
        <v>11768107</v>
      </c>
      <c r="F80" s="470"/>
      <c r="G80" s="474">
        <v>595848.56</v>
      </c>
      <c r="H80" s="476"/>
      <c r="I80" s="470">
        <f t="shared" ref="I80:I89" si="67">E80-F80-G80-H80</f>
        <v>11172258.44</v>
      </c>
      <c r="J80" s="470">
        <v>200000</v>
      </c>
      <c r="K80" s="470">
        <v>0.2</v>
      </c>
      <c r="L80" s="470">
        <f t="shared" ref="L80:L89" si="68">I80*K80</f>
        <v>2234451.688</v>
      </c>
      <c r="M80" s="470">
        <f t="shared" ref="M80:M89" si="69">J80+L80</f>
        <v>2434451.688</v>
      </c>
      <c r="N80" s="470">
        <f t="shared" ref="N80:N89" si="70">F80+G80+H80+M80</f>
        <v>3030300.248</v>
      </c>
      <c r="O80" s="470">
        <f t="shared" ref="O80:O89" si="71">E80-N80</f>
        <v>8737806.752</v>
      </c>
      <c r="P80" s="470">
        <f t="shared" ref="P80:P89" si="72">IF(O80&lt;300000,0.07*O80,21000)</f>
        <v>21000</v>
      </c>
      <c r="Q80" s="470">
        <f t="shared" ref="Q80:Q89" si="73">IF((O80-300000)&lt;0,0,IF((O80-300000)&lt;300000,0.11*(O80-300000),33000))</f>
        <v>33000</v>
      </c>
      <c r="R80" s="470">
        <f t="shared" ref="R80:R89" si="74">IF((O80-600000)&lt;0,0,IF((O80-600000)&lt;500000,0.15*(O80-600000),75000))</f>
        <v>75000</v>
      </c>
      <c r="S80" s="470">
        <f t="shared" ref="S80:S89" si="75">IF((O80-1100000)&lt;0,0,IF((O80-1100000)&lt;500000,0.19*(O80-1100000),95000))</f>
        <v>95000</v>
      </c>
      <c r="T80" s="470">
        <f t="shared" ref="T80:T89" si="76">IF((O80-1600000)&lt;0,0,IF((O80-1600000)&lt;1600000,0.21*(O80-1600000),336000))</f>
        <v>336000</v>
      </c>
      <c r="U80" s="470">
        <f t="shared" ref="U80:U88" si="77">24%*(O80-3200000)</f>
        <v>1329073.62048</v>
      </c>
      <c r="V80" s="470">
        <f t="shared" ref="V80:V89" si="78">P80+Q80+R80+S80+T80+U80</f>
        <v>1889073.62048</v>
      </c>
      <c r="W80" s="471">
        <v>12</v>
      </c>
      <c r="X80" s="470">
        <f t="shared" ref="X80:X89" si="79">V80/W80</f>
        <v>157422.801706667</v>
      </c>
      <c r="Y80" s="476"/>
      <c r="Z80" s="470">
        <f t="shared" ref="Z80:Z89" si="80">X80</f>
        <v>157422.801706667</v>
      </c>
      <c r="AA80" s="470">
        <v>99156.9391466667</v>
      </c>
      <c r="AB80" s="473">
        <f>Z80-AA80</f>
        <v>58265.8625599999</v>
      </c>
      <c r="AC80" s="473" t="s">
        <v>208</v>
      </c>
      <c r="AD80" s="473"/>
      <c r="AE80" s="473"/>
    </row>
    <row r="81" ht="18" spans="1:31">
      <c r="A81" s="467">
        <v>69</v>
      </c>
      <c r="B81" s="11" t="s">
        <v>206</v>
      </c>
      <c r="C81" s="616">
        <v>942373.17</v>
      </c>
      <c r="D81" s="469">
        <v>12</v>
      </c>
      <c r="E81" s="470">
        <f t="shared" ref="E81:E87" si="81">C81*D81</f>
        <v>11308478.04</v>
      </c>
      <c r="F81" s="470">
        <f>'[6]JANUARY 2024'!$V$86*12</f>
        <v>10052.25</v>
      </c>
      <c r="G81" s="474">
        <v>595848.56</v>
      </c>
      <c r="H81" s="476"/>
      <c r="I81" s="470">
        <f t="shared" si="67"/>
        <v>10702577.23</v>
      </c>
      <c r="J81" s="470">
        <v>200000</v>
      </c>
      <c r="K81" s="470">
        <v>0.2</v>
      </c>
      <c r="L81" s="470">
        <f t="shared" si="68"/>
        <v>2140515.446</v>
      </c>
      <c r="M81" s="470">
        <f t="shared" si="69"/>
        <v>2340515.446</v>
      </c>
      <c r="N81" s="470">
        <f t="shared" si="70"/>
        <v>2946416.256</v>
      </c>
      <c r="O81" s="470">
        <f t="shared" si="71"/>
        <v>8362061.784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1238894.82816</v>
      </c>
      <c r="V81" s="470">
        <f t="shared" si="78"/>
        <v>1798894.82816</v>
      </c>
      <c r="W81" s="471">
        <v>12</v>
      </c>
      <c r="X81" s="470">
        <f t="shared" si="79"/>
        <v>149907.902346667</v>
      </c>
      <c r="Y81" s="476"/>
      <c r="Z81" s="470">
        <f t="shared" si="80"/>
        <v>149907.902346667</v>
      </c>
      <c r="AA81" s="470">
        <v>98996.1031466667</v>
      </c>
      <c r="AB81" s="473">
        <f t="shared" ref="AB81:AB87" si="82">Z81-AA81</f>
        <v>50911.7992</v>
      </c>
      <c r="AC81" s="473" t="s">
        <v>206</v>
      </c>
      <c r="AD81" s="473"/>
      <c r="AE81" s="473"/>
    </row>
    <row r="82" ht="36" spans="1:31">
      <c r="A82" s="467">
        <v>70</v>
      </c>
      <c r="B82" s="11" t="s">
        <v>479</v>
      </c>
      <c r="C82" s="470">
        <v>587895.166666667</v>
      </c>
      <c r="D82" s="469">
        <v>12</v>
      </c>
      <c r="E82" s="470">
        <f t="shared" si="81"/>
        <v>7054742</v>
      </c>
      <c r="F82" s="470"/>
      <c r="G82" s="474">
        <v>558833.36</v>
      </c>
      <c r="H82" s="476"/>
      <c r="I82" s="470">
        <f t="shared" si="67"/>
        <v>6495908.64</v>
      </c>
      <c r="J82" s="470">
        <v>200000</v>
      </c>
      <c r="K82" s="470">
        <v>0.2</v>
      </c>
      <c r="L82" s="470">
        <f t="shared" si="68"/>
        <v>1299181.728</v>
      </c>
      <c r="M82" s="470">
        <f t="shared" si="69"/>
        <v>1499181.728</v>
      </c>
      <c r="N82" s="470">
        <f t="shared" si="70"/>
        <v>2058015.088</v>
      </c>
      <c r="O82" s="470">
        <f t="shared" si="71"/>
        <v>4996726.912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431214.458880001</v>
      </c>
      <c r="V82" s="470">
        <f t="shared" si="78"/>
        <v>991214.458880001</v>
      </c>
      <c r="W82" s="471">
        <v>12</v>
      </c>
      <c r="X82" s="470">
        <f t="shared" si="79"/>
        <v>82601.2049066667</v>
      </c>
      <c r="Y82" s="476"/>
      <c r="Z82" s="470">
        <f t="shared" si="80"/>
        <v>82601.2049066667</v>
      </c>
      <c r="AA82" s="470">
        <v>79956.9391466667</v>
      </c>
      <c r="AB82" s="473">
        <f t="shared" si="82"/>
        <v>2644.26576000001</v>
      </c>
      <c r="AC82" s="473" t="s">
        <v>479</v>
      </c>
      <c r="AD82" s="473"/>
      <c r="AE82" s="473"/>
    </row>
    <row r="83" ht="18" spans="1:31">
      <c r="A83" s="467">
        <v>71</v>
      </c>
      <c r="B83" s="11" t="s">
        <v>211</v>
      </c>
      <c r="C83" s="470">
        <v>582746.5</v>
      </c>
      <c r="D83" s="469">
        <v>12</v>
      </c>
      <c r="E83" s="470">
        <f t="shared" si="81"/>
        <v>6992958</v>
      </c>
      <c r="F83" s="470"/>
      <c r="G83" s="474">
        <v>424132.72</v>
      </c>
      <c r="H83" s="476"/>
      <c r="I83" s="470">
        <f t="shared" si="67"/>
        <v>6568825.28</v>
      </c>
      <c r="J83" s="470">
        <v>200000</v>
      </c>
      <c r="K83" s="470">
        <v>0.2</v>
      </c>
      <c r="L83" s="470">
        <f t="shared" si="68"/>
        <v>1313765.056</v>
      </c>
      <c r="M83" s="470">
        <f t="shared" si="69"/>
        <v>1513765.056</v>
      </c>
      <c r="N83" s="470">
        <f t="shared" si="70"/>
        <v>1937897.776</v>
      </c>
      <c r="O83" s="470">
        <f t="shared" si="71"/>
        <v>5055060.224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445214.45376</v>
      </c>
      <c r="V83" s="470">
        <f t="shared" si="78"/>
        <v>1005214.45376</v>
      </c>
      <c r="W83" s="471">
        <v>12</v>
      </c>
      <c r="X83" s="470">
        <f t="shared" si="79"/>
        <v>83767.8711466667</v>
      </c>
      <c r="Y83" s="476"/>
      <c r="Z83" s="470">
        <f t="shared" si="80"/>
        <v>83767.8711466667</v>
      </c>
      <c r="AA83" s="470">
        <v>75574.6772906667</v>
      </c>
      <c r="AB83" s="473">
        <f t="shared" si="82"/>
        <v>8193.19385599995</v>
      </c>
      <c r="AC83" s="473" t="s">
        <v>211</v>
      </c>
      <c r="AD83" s="473"/>
      <c r="AE83" s="473"/>
    </row>
    <row r="84" ht="18" spans="1:31">
      <c r="A84" s="467">
        <v>72</v>
      </c>
      <c r="B84" s="11" t="s">
        <v>212</v>
      </c>
      <c r="C84" s="470">
        <v>548915.916666667</v>
      </c>
      <c r="D84" s="469">
        <v>12</v>
      </c>
      <c r="E84" s="470">
        <f t="shared" si="81"/>
        <v>6586991</v>
      </c>
      <c r="F84" s="470"/>
      <c r="G84" s="474">
        <v>411759.28</v>
      </c>
      <c r="H84" s="476"/>
      <c r="I84" s="470">
        <f t="shared" si="67"/>
        <v>6175231.72</v>
      </c>
      <c r="J84" s="470">
        <v>200000</v>
      </c>
      <c r="K84" s="470">
        <v>0.2</v>
      </c>
      <c r="L84" s="470">
        <f t="shared" si="68"/>
        <v>1235046.344</v>
      </c>
      <c r="M84" s="470">
        <f t="shared" si="69"/>
        <v>1435046.344</v>
      </c>
      <c r="N84" s="470">
        <f t="shared" si="70"/>
        <v>1846805.624</v>
      </c>
      <c r="O84" s="470">
        <f t="shared" si="71"/>
        <v>4740185.376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369644.490240001</v>
      </c>
      <c r="V84" s="470">
        <f t="shared" si="78"/>
        <v>929644.490240001</v>
      </c>
      <c r="W84" s="471">
        <v>12</v>
      </c>
      <c r="X84" s="470">
        <f t="shared" si="79"/>
        <v>77470.3741866667</v>
      </c>
      <c r="Y84" s="476"/>
      <c r="Z84" s="470">
        <f t="shared" si="80"/>
        <v>77470.3741866667</v>
      </c>
      <c r="AA84" s="470">
        <v>50985.9775466667</v>
      </c>
      <c r="AB84" s="473">
        <f t="shared" si="82"/>
        <v>26484.39664</v>
      </c>
      <c r="AC84" s="473" t="s">
        <v>212</v>
      </c>
      <c r="AD84" s="473"/>
      <c r="AE84" s="473"/>
    </row>
    <row r="85" ht="36" spans="1:31">
      <c r="A85" s="467">
        <v>73</v>
      </c>
      <c r="B85" s="11" t="s">
        <v>213</v>
      </c>
      <c r="C85" s="470">
        <v>568870.75</v>
      </c>
      <c r="D85" s="469">
        <v>12</v>
      </c>
      <c r="E85" s="470">
        <f t="shared" si="81"/>
        <v>6826449</v>
      </c>
      <c r="F85" s="470"/>
      <c r="G85" s="474">
        <v>411715.92</v>
      </c>
      <c r="H85" s="476"/>
      <c r="I85" s="470">
        <f t="shared" si="67"/>
        <v>6414733.08</v>
      </c>
      <c r="J85" s="470">
        <v>200000</v>
      </c>
      <c r="K85" s="470">
        <v>0.2</v>
      </c>
      <c r="L85" s="470">
        <f t="shared" si="68"/>
        <v>1282946.616</v>
      </c>
      <c r="M85" s="470">
        <f t="shared" si="69"/>
        <v>1482946.616</v>
      </c>
      <c r="N85" s="470">
        <f t="shared" si="70"/>
        <v>1894662.536</v>
      </c>
      <c r="O85" s="470">
        <f t="shared" si="71"/>
        <v>4931786.464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415628.75136</v>
      </c>
      <c r="V85" s="470">
        <f t="shared" si="78"/>
        <v>975628.75136</v>
      </c>
      <c r="W85" s="471">
        <v>12</v>
      </c>
      <c r="X85" s="470">
        <f t="shared" si="79"/>
        <v>81302.3959466667</v>
      </c>
      <c r="Y85" s="476"/>
      <c r="Z85" s="470">
        <f t="shared" si="80"/>
        <v>81302.3959466667</v>
      </c>
      <c r="AA85" s="470">
        <v>49548.7761866667</v>
      </c>
      <c r="AB85" s="473">
        <f t="shared" si="82"/>
        <v>31753.61976</v>
      </c>
      <c r="AC85" s="473" t="s">
        <v>213</v>
      </c>
      <c r="AD85" s="473"/>
      <c r="AE85" s="473"/>
    </row>
    <row r="86" ht="18" spans="1:31">
      <c r="A86" s="467">
        <v>74</v>
      </c>
      <c r="B86" s="11" t="s">
        <v>215</v>
      </c>
      <c r="C86" s="470">
        <v>475703.833333333</v>
      </c>
      <c r="D86" s="469">
        <v>12</v>
      </c>
      <c r="E86" s="470">
        <f t="shared" si="81"/>
        <v>5708446</v>
      </c>
      <c r="F86" s="470"/>
      <c r="G86" s="479">
        <f>29256.3066666667*12</f>
        <v>351075.68</v>
      </c>
      <c r="H86" s="476"/>
      <c r="I86" s="470">
        <f t="shared" si="67"/>
        <v>5357370.32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</v>
      </c>
      <c r="O86" s="470">
        <f t="shared" si="71"/>
        <v>4085896.256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</v>
      </c>
      <c r="V86" s="470">
        <f t="shared" si="78"/>
        <v>772615.101439999</v>
      </c>
      <c r="W86" s="471">
        <v>12</v>
      </c>
      <c r="X86" s="470">
        <f t="shared" si="79"/>
        <v>64384.5917866666</v>
      </c>
      <c r="Y86" s="476"/>
      <c r="Z86" s="470">
        <f t="shared" si="80"/>
        <v>64384.5917866666</v>
      </c>
      <c r="AA86" s="470">
        <v>53384.0535626667</v>
      </c>
      <c r="AB86" s="473">
        <f t="shared" si="82"/>
        <v>11000.5382239999</v>
      </c>
      <c r="AC86" s="473" t="s">
        <v>215</v>
      </c>
      <c r="AD86" s="473"/>
      <c r="AE86" s="473"/>
    </row>
    <row r="87" ht="24" customHeight="1" spans="1:31">
      <c r="A87" s="467">
        <v>75</v>
      </c>
      <c r="B87" s="11" t="s">
        <v>216</v>
      </c>
      <c r="C87" s="470">
        <v>510248.916666667</v>
      </c>
      <c r="D87" s="469">
        <v>12</v>
      </c>
      <c r="E87" s="470">
        <f t="shared" si="81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67"/>
        <v>5741425.543</v>
      </c>
      <c r="J87" s="470">
        <v>200000</v>
      </c>
      <c r="K87" s="470">
        <v>0.2</v>
      </c>
      <c r="L87" s="470">
        <f t="shared" si="68"/>
        <v>1148285.1086</v>
      </c>
      <c r="M87" s="470">
        <f t="shared" si="69"/>
        <v>1348285.1086</v>
      </c>
      <c r="N87" s="470">
        <f t="shared" si="70"/>
        <v>1729846.5656</v>
      </c>
      <c r="O87" s="470">
        <f t="shared" si="71"/>
        <v>4393140.4344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286353.704256001</v>
      </c>
      <c r="V87" s="470">
        <f t="shared" si="78"/>
        <v>846353.704256001</v>
      </c>
      <c r="W87" s="471">
        <v>12</v>
      </c>
      <c r="X87" s="470">
        <f t="shared" si="79"/>
        <v>70529.4753546667</v>
      </c>
      <c r="Y87" s="476"/>
      <c r="Z87" s="470">
        <f t="shared" si="80"/>
        <v>70529.4753546667</v>
      </c>
      <c r="AA87" s="470">
        <v>41242.0361406667</v>
      </c>
      <c r="AB87" s="473">
        <f t="shared" si="82"/>
        <v>29287.439214</v>
      </c>
      <c r="AC87" s="473" t="s">
        <v>216</v>
      </c>
      <c r="AD87" s="473"/>
      <c r="AE87" s="473"/>
    </row>
    <row r="88" ht="18" spans="1:31">
      <c r="A88" s="467">
        <v>76</v>
      </c>
      <c r="B88" s="11" t="s">
        <v>220</v>
      </c>
      <c r="C88" s="470">
        <v>400965.583333333</v>
      </c>
      <c r="D88" s="469">
        <v>12</v>
      </c>
      <c r="E88" s="470">
        <f t="shared" ref="E88:E89" si="83">C88*D88</f>
        <v>4811587</v>
      </c>
      <c r="F88" s="470"/>
      <c r="G88" s="474">
        <v>288926.96</v>
      </c>
      <c r="H88" s="476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904532.007999999</v>
      </c>
      <c r="M88" s="470">
        <f t="shared" si="69"/>
        <v>1104532.008</v>
      </c>
      <c r="N88" s="470">
        <f t="shared" si="70"/>
        <v>1393458.968</v>
      </c>
      <c r="O88" s="470">
        <f t="shared" si="71"/>
        <v>3418128.032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52350.7276799992</v>
      </c>
      <c r="V88" s="470">
        <f t="shared" si="78"/>
        <v>612350.727679999</v>
      </c>
      <c r="W88" s="471">
        <v>12</v>
      </c>
      <c r="X88" s="470">
        <f t="shared" si="79"/>
        <v>51029.2273066666</v>
      </c>
      <c r="Y88" s="476"/>
      <c r="Z88" s="470">
        <f t="shared" si="80"/>
        <v>51029.2273066666</v>
      </c>
      <c r="AA88" s="470">
        <v>45414.4562526667</v>
      </c>
      <c r="AB88" s="473">
        <f t="shared" ref="AB88:AB89" si="84">Z88-AA88</f>
        <v>5614.7710539999</v>
      </c>
      <c r="AC88" s="473" t="s">
        <v>220</v>
      </c>
      <c r="AD88" s="473"/>
      <c r="AE88" s="473"/>
    </row>
    <row r="89" ht="18" spans="1:31">
      <c r="A89" s="467"/>
      <c r="B89" s="11" t="s">
        <v>224</v>
      </c>
      <c r="C89" s="470">
        <v>330631.916666667</v>
      </c>
      <c r="D89" s="469">
        <v>12</v>
      </c>
      <c r="E89" s="470">
        <f t="shared" si="83"/>
        <v>3967583</v>
      </c>
      <c r="F89" s="470"/>
      <c r="G89" s="474">
        <v>221406.64</v>
      </c>
      <c r="H89" s="476"/>
      <c r="I89" s="470">
        <f t="shared" si="67"/>
        <v>3746176.36</v>
      </c>
      <c r="J89" s="470">
        <v>200000</v>
      </c>
      <c r="K89" s="470">
        <v>0.2</v>
      </c>
      <c r="L89" s="470">
        <f t="shared" si="68"/>
        <v>749235.272000001</v>
      </c>
      <c r="M89" s="470">
        <f t="shared" si="69"/>
        <v>949235.272000001</v>
      </c>
      <c r="N89" s="470">
        <f t="shared" si="70"/>
        <v>1170641.912</v>
      </c>
      <c r="O89" s="470">
        <f t="shared" si="71"/>
        <v>2796941.088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251357.628480001</v>
      </c>
      <c r="U89" s="470"/>
      <c r="V89" s="470">
        <f t="shared" si="78"/>
        <v>475357.628480001</v>
      </c>
      <c r="W89" s="471">
        <v>12</v>
      </c>
      <c r="X89" s="470">
        <f t="shared" si="79"/>
        <v>39613.1357066667</v>
      </c>
      <c r="Y89" s="476"/>
      <c r="Z89" s="470">
        <f t="shared" si="80"/>
        <v>39613.1357066667</v>
      </c>
      <c r="AA89" s="470">
        <v>33825.9865626667</v>
      </c>
      <c r="AB89" s="473">
        <f t="shared" si="84"/>
        <v>5787.14914400001</v>
      </c>
      <c r="AC89" s="473" t="s">
        <v>224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226</v>
      </c>
      <c r="C92" s="470"/>
      <c r="AC92" s="473"/>
      <c r="AD92" s="473"/>
      <c r="AE92" s="473"/>
    </row>
    <row r="93" ht="18" spans="1:31">
      <c r="A93" s="467">
        <v>79</v>
      </c>
      <c r="B93" s="14" t="s">
        <v>227</v>
      </c>
      <c r="C93" s="470">
        <v>1452042.67</v>
      </c>
      <c r="D93" s="469">
        <v>12</v>
      </c>
      <c r="E93" s="470">
        <f>C93*D93</f>
        <v>17424512.04</v>
      </c>
      <c r="F93" s="470">
        <f>'[6]JANUARY 2024'!$V$98*12</f>
        <v>12795.951</v>
      </c>
      <c r="G93" s="474">
        <f>(0.08*1352042.67)*12</f>
        <v>1297960.9632</v>
      </c>
      <c r="H93" s="476"/>
      <c r="I93" s="470">
        <f>E93-F93-G93-H93</f>
        <v>16113755.1258</v>
      </c>
      <c r="J93" s="470">
        <v>200000</v>
      </c>
      <c r="K93" s="470">
        <v>0.2</v>
      </c>
      <c r="L93" s="470">
        <f>I93*K93</f>
        <v>3222751.02516</v>
      </c>
      <c r="M93" s="470">
        <f>J93+L93</f>
        <v>3422751.02516</v>
      </c>
      <c r="N93" s="470">
        <f>F93+G93+H93+M93</f>
        <v>4733507.93936</v>
      </c>
      <c r="O93" s="470">
        <f>E93-N93</f>
        <v>12691004.10064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2277840.9841536</v>
      </c>
      <c r="V93" s="470">
        <f>P93+Q93+R93+S93+T93+U93</f>
        <v>2837840.9841536</v>
      </c>
      <c r="W93" s="471">
        <v>12</v>
      </c>
      <c r="X93" s="470">
        <f>V93/W93</f>
        <v>236486.748679467</v>
      </c>
      <c r="Y93" s="476"/>
      <c r="Z93" s="470">
        <f>X93</f>
        <v>236486.748679467</v>
      </c>
      <c r="AA93" s="473">
        <v>82423.2162026667</v>
      </c>
      <c r="AB93" s="473">
        <f>Z93-AA93</f>
        <v>154063.5324768</v>
      </c>
      <c r="AC93" s="473" t="s">
        <v>227</v>
      </c>
      <c r="AD93" s="473"/>
      <c r="AE93" s="473"/>
    </row>
    <row r="94" ht="18" spans="1:31">
      <c r="A94" s="467">
        <v>80</v>
      </c>
      <c r="B94" s="11" t="s">
        <v>229</v>
      </c>
      <c r="C94" s="470">
        <v>526622.25</v>
      </c>
      <c r="D94" s="469">
        <v>12</v>
      </c>
      <c r="E94" s="470">
        <f t="shared" ref="E94:E96" si="85">C94*D94</f>
        <v>6319467</v>
      </c>
      <c r="F94" s="470"/>
      <c r="G94" s="474">
        <v>438357.36</v>
      </c>
      <c r="H94" s="476"/>
      <c r="I94" s="470">
        <f>E94-F94-G94-H94</f>
        <v>5881109.64</v>
      </c>
      <c r="J94" s="470">
        <v>200000</v>
      </c>
      <c r="K94" s="470">
        <v>0.2</v>
      </c>
      <c r="L94" s="470">
        <f>I94*K94</f>
        <v>1176221.928</v>
      </c>
      <c r="M94" s="470">
        <f>J94+L94</f>
        <v>1376221.928</v>
      </c>
      <c r="N94" s="470">
        <f>F94+G94+H94+M94</f>
        <v>1814579.288</v>
      </c>
      <c r="O94" s="470">
        <f>E94-N94</f>
        <v>4504887.712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313173.05088</v>
      </c>
      <c r="V94" s="470">
        <f>P94+Q94+R94+S94+T94+U94</f>
        <v>873173.05088</v>
      </c>
      <c r="W94" s="471">
        <v>12</v>
      </c>
      <c r="X94" s="470">
        <f>V94/W94</f>
        <v>72764.4209066667</v>
      </c>
      <c r="Y94" s="476"/>
      <c r="Z94" s="470">
        <f>X94</f>
        <v>72764.4209066667</v>
      </c>
      <c r="AA94" s="473">
        <v>82627.9514186667</v>
      </c>
      <c r="AB94" s="473">
        <f t="shared" ref="AB94:AB96" si="87">Z94-AA94</f>
        <v>-9863.53051200004</v>
      </c>
      <c r="AC94" s="473" t="s">
        <v>229</v>
      </c>
      <c r="AD94" s="473"/>
      <c r="AE94" s="473"/>
    </row>
    <row r="95" ht="18" spans="1:31">
      <c r="A95" s="467">
        <v>81</v>
      </c>
      <c r="B95" s="11" t="s">
        <v>235</v>
      </c>
      <c r="C95" s="470">
        <v>437895.166666667</v>
      </c>
      <c r="D95" s="469">
        <v>12</v>
      </c>
      <c r="E95" s="470">
        <f t="shared" si="85"/>
        <v>5254742</v>
      </c>
      <c r="F95" s="470"/>
      <c r="G95" s="474">
        <v>362779.36</v>
      </c>
      <c r="H95" s="476"/>
      <c r="I95" s="470">
        <f>E95-F95-G95-H95</f>
        <v>4891962.64</v>
      </c>
      <c r="J95" s="470">
        <v>200000</v>
      </c>
      <c r="K95" s="470">
        <v>0.2</v>
      </c>
      <c r="L95" s="470">
        <f>I95*K95</f>
        <v>978392.528000001</v>
      </c>
      <c r="M95" s="470">
        <f>J95+L95</f>
        <v>1178392.528</v>
      </c>
      <c r="N95" s="470">
        <f>F95+G95+H95+M95</f>
        <v>1541171.888</v>
      </c>
      <c r="O95" s="470">
        <f>E95-N95</f>
        <v>3713570.112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123256.826880001</v>
      </c>
      <c r="V95" s="470">
        <f>P95+Q95+R95+S95+T95+U95</f>
        <v>683256.826880001</v>
      </c>
      <c r="W95" s="471">
        <v>12</v>
      </c>
      <c r="X95" s="470">
        <f>V95/W95</f>
        <v>56938.0689066667</v>
      </c>
      <c r="Y95" s="476"/>
      <c r="Z95" s="470">
        <f>X95</f>
        <v>56938.0689066667</v>
      </c>
      <c r="AA95" s="473">
        <v>43492.3733766667</v>
      </c>
      <c r="AB95" s="473">
        <f t="shared" si="87"/>
        <v>13445.69553</v>
      </c>
      <c r="AC95" s="473" t="s">
        <v>235</v>
      </c>
      <c r="AD95" s="473"/>
      <c r="AE95" s="473"/>
    </row>
    <row r="96" ht="18" spans="1:31">
      <c r="A96" s="467"/>
      <c r="B96" s="11" t="s">
        <v>236</v>
      </c>
      <c r="C96" s="470">
        <v>360965.583333333</v>
      </c>
      <c r="D96" s="469">
        <v>12</v>
      </c>
      <c r="E96" s="470">
        <f t="shared" si="85"/>
        <v>4331587</v>
      </c>
      <c r="F96" s="470"/>
      <c r="G96" s="474">
        <v>288926.96</v>
      </c>
      <c r="H96" s="476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808532.007999999</v>
      </c>
      <c r="M96" s="470">
        <f>J96+L96</f>
        <v>1008532.008</v>
      </c>
      <c r="N96" s="470">
        <f>F96+G96+H96+M96</f>
        <v>1297458.968</v>
      </c>
      <c r="O96" s="470">
        <f>E96-N96</f>
        <v>3034128.032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301166.886719999</v>
      </c>
      <c r="U96" s="470"/>
      <c r="V96" s="470">
        <f>P96+Q96+R96+S96+T96+U96</f>
        <v>525166.886719999</v>
      </c>
      <c r="W96" s="471">
        <v>12</v>
      </c>
      <c r="X96" s="470">
        <f>V96/W96</f>
        <v>43763.9072266666</v>
      </c>
      <c r="Y96" s="476"/>
      <c r="Z96" s="470">
        <f>X96</f>
        <v>43763.9072266666</v>
      </c>
      <c r="AA96" s="473">
        <v>34968.8824146667</v>
      </c>
      <c r="AB96" s="473">
        <f t="shared" si="87"/>
        <v>8795.02481199991</v>
      </c>
      <c r="AC96" s="473" t="s">
        <v>236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AC98" s="473"/>
      <c r="AD98" s="473"/>
      <c r="AE98" s="473"/>
    </row>
    <row r="99" ht="35" spans="1:31">
      <c r="A99" s="467">
        <v>84</v>
      </c>
      <c r="B99" s="20" t="s">
        <v>239</v>
      </c>
      <c r="C99" s="470"/>
      <c r="G99" s="296">
        <v>0</v>
      </c>
      <c r="AB99" s="296" t="s">
        <v>883</v>
      </c>
      <c r="AC99" s="473"/>
      <c r="AD99" s="473"/>
      <c r="AE99" s="473"/>
    </row>
    <row r="100" ht="18" spans="1:31">
      <c r="A100" s="467">
        <v>85</v>
      </c>
      <c r="B100" s="11" t="s">
        <v>652</v>
      </c>
      <c r="C100" s="470">
        <v>1635720</v>
      </c>
      <c r="D100" s="469">
        <v>12</v>
      </c>
      <c r="E100" s="470">
        <f>C100*D100</f>
        <v>19628640</v>
      </c>
      <c r="F100" s="470"/>
      <c r="G100" s="474">
        <v>1378291.2</v>
      </c>
      <c r="H100" s="476"/>
      <c r="I100" s="470">
        <f t="shared" ref="I100:I105" si="88">E100-F100-G100-H100</f>
        <v>18250348.8</v>
      </c>
      <c r="J100" s="470">
        <v>200000</v>
      </c>
      <c r="K100" s="470">
        <v>0.2</v>
      </c>
      <c r="L100" s="470">
        <f t="shared" ref="L100:L106" si="89">I100*K100</f>
        <v>3650069.76</v>
      </c>
      <c r="M100" s="470">
        <f t="shared" ref="M100:M106" si="90">J100+L100</f>
        <v>3850069.76</v>
      </c>
      <c r="N100" s="470">
        <f t="shared" ref="N100:N105" si="91">F100+G100+H100+M100</f>
        <v>5228360.96</v>
      </c>
      <c r="O100" s="470">
        <f t="shared" ref="O100:O106" si="92">E100-N100</f>
        <v>14400279.04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2688066.9696</v>
      </c>
      <c r="V100" s="470">
        <f t="shared" ref="V100:V106" si="98">P100+Q100+R100+S100+T100+U100</f>
        <v>3248066.9696</v>
      </c>
      <c r="W100" s="471">
        <v>12</v>
      </c>
      <c r="X100" s="470">
        <f t="shared" ref="X100:X106" si="99">V100/W100</f>
        <v>270672.247466667</v>
      </c>
      <c r="Y100" s="476"/>
      <c r="Z100" s="470">
        <f t="shared" ref="Z100:Z106" si="100">X100</f>
        <v>270672.247466667</v>
      </c>
      <c r="AA100" s="473">
        <v>180306.806858667</v>
      </c>
      <c r="AB100" s="473">
        <f>Z100-AA100</f>
        <v>90365.4406079996</v>
      </c>
      <c r="AC100" s="473" t="s">
        <v>652</v>
      </c>
      <c r="AD100" s="473"/>
      <c r="AE100" s="473"/>
    </row>
    <row r="101" ht="18" spans="1:31">
      <c r="A101" s="467">
        <v>86</v>
      </c>
      <c r="B101" s="11" t="s">
        <v>242</v>
      </c>
      <c r="C101" s="470">
        <v>942373.166666667</v>
      </c>
      <c r="D101" s="469">
        <v>12</v>
      </c>
      <c r="E101" s="470">
        <f t="shared" ref="E101:E106" si="101">C101*D101</f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</v>
      </c>
      <c r="O101" s="470">
        <f t="shared" si="92"/>
        <v>8251043.0472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1212250.331328</v>
      </c>
      <c r="V101" s="470">
        <f t="shared" si="98"/>
        <v>1772250.331328</v>
      </c>
      <c r="W101" s="471">
        <v>12</v>
      </c>
      <c r="X101" s="470">
        <f t="shared" si="99"/>
        <v>147687.527610667</v>
      </c>
      <c r="Y101" s="476"/>
      <c r="Z101" s="470">
        <f t="shared" si="100"/>
        <v>147687.527610667</v>
      </c>
      <c r="AA101" s="473">
        <v>99703.2162026667</v>
      </c>
      <c r="AB101" s="473">
        <f t="shared" ref="AB101:AB106" si="102">Z101-AA101</f>
        <v>47984.311408</v>
      </c>
      <c r="AC101" s="473" t="s">
        <v>242</v>
      </c>
      <c r="AD101" s="473"/>
      <c r="AE101" s="473"/>
    </row>
    <row r="102" ht="18" spans="1:31">
      <c r="A102" s="467">
        <v>87</v>
      </c>
      <c r="B102" s="11" t="s">
        <v>244</v>
      </c>
      <c r="C102" s="470">
        <v>603237.855191667</v>
      </c>
      <c r="D102" s="469">
        <v>12</v>
      </c>
      <c r="E102" s="470">
        <f t="shared" si="101"/>
        <v>7238854.2623</v>
      </c>
      <c r="F102" s="470">
        <f>'[6]JANUARY 2024'!$V$107*12</f>
        <v>7901.79</v>
      </c>
      <c r="G102" s="474">
        <v>424132.72</v>
      </c>
      <c r="H102" s="476"/>
      <c r="I102" s="470">
        <f t="shared" si="88"/>
        <v>6806819.7523</v>
      </c>
      <c r="J102" s="470">
        <v>200000</v>
      </c>
      <c r="K102" s="470">
        <v>0.2</v>
      </c>
      <c r="L102" s="470">
        <f t="shared" si="89"/>
        <v>1361363.95046</v>
      </c>
      <c r="M102" s="470">
        <f t="shared" si="90"/>
        <v>1561363.95046</v>
      </c>
      <c r="N102" s="470">
        <f t="shared" si="91"/>
        <v>1993398.46046</v>
      </c>
      <c r="O102" s="470">
        <f t="shared" si="92"/>
        <v>5245455.80184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490909.392441601</v>
      </c>
      <c r="V102" s="470">
        <f t="shared" si="98"/>
        <v>1050909.3924416</v>
      </c>
      <c r="W102" s="471">
        <v>12</v>
      </c>
      <c r="X102" s="470">
        <f t="shared" si="99"/>
        <v>87575.7827034667</v>
      </c>
      <c r="Y102" s="476"/>
      <c r="Z102" s="470">
        <f t="shared" si="100"/>
        <v>87575.7827034667</v>
      </c>
      <c r="AA102" s="473">
        <v>180180.378218667</v>
      </c>
      <c r="AB102" s="473">
        <f t="shared" si="102"/>
        <v>-92604.5955152003</v>
      </c>
      <c r="AC102" s="473" t="s">
        <v>244</v>
      </c>
      <c r="AD102" s="473"/>
      <c r="AE102" s="473"/>
    </row>
    <row r="103" ht="18" spans="1:31">
      <c r="A103" s="467">
        <v>88</v>
      </c>
      <c r="B103" s="11" t="s">
        <v>246</v>
      </c>
      <c r="C103" s="470">
        <v>601625.033321667</v>
      </c>
      <c r="D103" s="469">
        <v>12</v>
      </c>
      <c r="E103" s="470">
        <f t="shared" si="101"/>
        <v>7219500.39986</v>
      </c>
      <c r="F103" s="470"/>
      <c r="G103" s="474">
        <v>424132.72</v>
      </c>
      <c r="H103" s="476"/>
      <c r="I103" s="470">
        <f t="shared" si="88"/>
        <v>6795367.67986</v>
      </c>
      <c r="J103" s="470">
        <v>200000</v>
      </c>
      <c r="K103" s="470">
        <v>0.2</v>
      </c>
      <c r="L103" s="470">
        <f t="shared" si="89"/>
        <v>1359073.535972</v>
      </c>
      <c r="M103" s="470">
        <f t="shared" si="90"/>
        <v>1559073.535972</v>
      </c>
      <c r="N103" s="470">
        <f t="shared" si="91"/>
        <v>1983206.255972</v>
      </c>
      <c r="O103" s="470">
        <f t="shared" si="92"/>
        <v>5236294.143888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488710.594533121</v>
      </c>
      <c r="V103" s="470">
        <f t="shared" si="98"/>
        <v>1048710.59453312</v>
      </c>
      <c r="W103" s="471">
        <v>12</v>
      </c>
      <c r="X103" s="470">
        <f t="shared" si="99"/>
        <v>87392.5495444267</v>
      </c>
      <c r="Y103" s="476"/>
      <c r="Z103" s="470">
        <f t="shared" si="100"/>
        <v>87392.5495444267</v>
      </c>
      <c r="AA103" s="473">
        <v>99907.9514186667</v>
      </c>
      <c r="AB103" s="473">
        <f t="shared" si="102"/>
        <v>-12515.40187424</v>
      </c>
      <c r="AC103" s="473" t="s">
        <v>246</v>
      </c>
      <c r="AD103" s="473"/>
      <c r="AE103" s="473"/>
    </row>
    <row r="104" ht="18" spans="1:31">
      <c r="A104" s="467">
        <v>89</v>
      </c>
      <c r="B104" s="11" t="s">
        <v>249</v>
      </c>
      <c r="C104" s="470">
        <v>374481.864146667</v>
      </c>
      <c r="D104" s="469">
        <v>12</v>
      </c>
      <c r="E104" s="470">
        <f t="shared" si="101"/>
        <v>4493782.36976</v>
      </c>
      <c r="F104" s="470"/>
      <c r="G104" s="474">
        <v>239182.48</v>
      </c>
      <c r="H104" s="476"/>
      <c r="I104" s="470">
        <f t="shared" si="88"/>
        <v>4254599.88976</v>
      </c>
      <c r="J104" s="470">
        <v>200000</v>
      </c>
      <c r="K104" s="470">
        <v>0.2</v>
      </c>
      <c r="L104" s="470">
        <f t="shared" si="89"/>
        <v>850919.977952001</v>
      </c>
      <c r="M104" s="470">
        <f t="shared" si="90"/>
        <v>1050919.977952</v>
      </c>
      <c r="N104" s="470">
        <f t="shared" si="91"/>
        <v>1290102.457952</v>
      </c>
      <c r="O104" s="470">
        <f t="shared" si="92"/>
        <v>3203679.911808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883.178833920769</v>
      </c>
      <c r="V104" s="470">
        <f t="shared" si="98"/>
        <v>560883.178833921</v>
      </c>
      <c r="W104" s="471">
        <v>12</v>
      </c>
      <c r="X104" s="470">
        <f t="shared" si="99"/>
        <v>46740.2649028267</v>
      </c>
      <c r="Y104" s="476"/>
      <c r="Z104" s="470">
        <f t="shared" si="100"/>
        <v>46740.2649028267</v>
      </c>
      <c r="AA104" s="473">
        <v>58941.1017434667</v>
      </c>
      <c r="AB104" s="473">
        <f t="shared" si="102"/>
        <v>-12200.83684064</v>
      </c>
      <c r="AC104" s="473" t="s">
        <v>249</v>
      </c>
      <c r="AD104" s="473"/>
      <c r="AE104" s="473"/>
    </row>
    <row r="105" ht="36" spans="1:31">
      <c r="A105" s="467"/>
      <c r="B105" s="18" t="s">
        <v>252</v>
      </c>
      <c r="C105" s="470">
        <v>367926.021</v>
      </c>
      <c r="D105" s="469">
        <v>12</v>
      </c>
      <c r="E105" s="470">
        <f t="shared" si="101"/>
        <v>4415112.252</v>
      </c>
      <c r="F105" s="470"/>
      <c r="G105" s="474">
        <v>233257.2</v>
      </c>
      <c r="H105" s="476"/>
      <c r="I105" s="470">
        <f t="shared" si="88"/>
        <v>4181855.052</v>
      </c>
      <c r="J105" s="470">
        <v>200000</v>
      </c>
      <c r="K105" s="470">
        <v>0.2</v>
      </c>
      <c r="L105" s="470">
        <f t="shared" si="89"/>
        <v>836371.0104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</v>
      </c>
      <c r="W105" s="471">
        <v>12</v>
      </c>
      <c r="X105" s="470">
        <f t="shared" si="99"/>
        <v>45712.6373946667</v>
      </c>
      <c r="Y105" s="476"/>
      <c r="Z105" s="470">
        <f t="shared" si="100"/>
        <v>45712.6373946667</v>
      </c>
      <c r="AA105" s="473">
        <v>58631.4399444267</v>
      </c>
      <c r="AB105" s="473">
        <f t="shared" si="102"/>
        <v>-12918.80254976</v>
      </c>
      <c r="AC105" s="473" t="s">
        <v>252</v>
      </c>
      <c r="AD105" s="473"/>
      <c r="AE105" s="473"/>
    </row>
    <row r="106" ht="18" spans="1:31">
      <c r="A106" s="467"/>
      <c r="B106" s="18" t="s">
        <v>253</v>
      </c>
      <c r="C106" s="470">
        <v>355198.112111667</v>
      </c>
      <c r="D106" s="469">
        <v>12</v>
      </c>
      <c r="E106" s="470">
        <f t="shared" si="10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89"/>
        <v>808194.141068001</v>
      </c>
      <c r="M106" s="470">
        <f t="shared" si="90"/>
        <v>1008194.141068</v>
      </c>
      <c r="N106" s="470">
        <f>F107+G106+H106+M106</f>
        <v>1229600.781068</v>
      </c>
      <c r="O106" s="470">
        <f t="shared" si="92"/>
        <v>3032776.564272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300883.078497121</v>
      </c>
      <c r="U106" s="470"/>
      <c r="V106" s="470">
        <f t="shared" si="98"/>
        <v>524883.078497121</v>
      </c>
      <c r="W106" s="471">
        <v>12</v>
      </c>
      <c r="X106" s="470">
        <f t="shared" si="99"/>
        <v>43740.2565414267</v>
      </c>
      <c r="Y106" s="476"/>
      <c r="Z106" s="470">
        <f t="shared" si="100"/>
        <v>43740.2565414267</v>
      </c>
      <c r="AA106" s="473">
        <v>31871.3352033067</v>
      </c>
      <c r="AB106" s="473">
        <f t="shared" si="102"/>
        <v>11868.92133812</v>
      </c>
      <c r="AC106" s="473" t="s">
        <v>253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AC108" s="473"/>
      <c r="AD108" s="473"/>
      <c r="AE108" s="473"/>
    </row>
    <row r="109" ht="35" spans="1:31">
      <c r="A109" s="467">
        <v>91</v>
      </c>
      <c r="B109" s="20" t="s">
        <v>257</v>
      </c>
      <c r="C109" s="470"/>
      <c r="G109" s="474"/>
      <c r="U109" s="47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761396.833333333</v>
      </c>
      <c r="D110" s="469">
        <v>12</v>
      </c>
      <c r="E110" s="470">
        <f>C110*D110</f>
        <v>9136762</v>
      </c>
      <c r="F110" s="470">
        <f>'[6]JANUARY 2024'!$V$115*12</f>
        <v>9678.96</v>
      </c>
      <c r="G110" s="474">
        <v>577340.96</v>
      </c>
      <c r="H110" s="476"/>
      <c r="I110" s="470">
        <f>E110-F110-G110-H110</f>
        <v>8549742.07999999</v>
      </c>
      <c r="J110" s="470">
        <v>200000</v>
      </c>
      <c r="K110" s="470">
        <v>0.2</v>
      </c>
      <c r="L110" s="470">
        <f>I110*K110</f>
        <v>1709948.416</v>
      </c>
      <c r="M110" s="470">
        <f>J110+L110</f>
        <v>1909948.416</v>
      </c>
      <c r="N110" s="470">
        <f>F110+G110+H110+M110</f>
        <v>2496968.336</v>
      </c>
      <c r="O110" s="470">
        <f>E110-N110</f>
        <v>6639793.664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825550.479359999</v>
      </c>
      <c r="V110" s="470">
        <f>P110+Q110+R110+S110+T110+U110</f>
        <v>1385550.47936</v>
      </c>
      <c r="W110" s="471">
        <v>12</v>
      </c>
      <c r="X110" s="470">
        <f>V110/W110</f>
        <v>115462.539946667</v>
      </c>
      <c r="Y110" s="476"/>
      <c r="Z110" s="470">
        <f>X110</f>
        <v>115462.539946667</v>
      </c>
      <c r="AA110" s="473">
        <v>77610.1169066667</v>
      </c>
      <c r="AB110" s="473">
        <f>Z110-AA110</f>
        <v>37852.4230399999</v>
      </c>
      <c r="AC110" s="473"/>
      <c r="AD110" s="473"/>
      <c r="AE110" s="473"/>
    </row>
    <row r="111" ht="18" spans="1:31">
      <c r="A111" s="467">
        <v>93</v>
      </c>
      <c r="B111" s="11" t="s">
        <v>259</v>
      </c>
      <c r="C111" s="470">
        <v>487895.166666667</v>
      </c>
      <c r="D111" s="469">
        <v>12</v>
      </c>
      <c r="E111" s="470">
        <f t="shared" ref="E111:E112" si="104">C111*D111</f>
        <v>5854742</v>
      </c>
      <c r="F111" s="470"/>
      <c r="G111" s="474">
        <v>362779.36</v>
      </c>
      <c r="H111" s="476"/>
      <c r="I111" s="470">
        <f>E111-F111-G111-H111</f>
        <v>5491962.64</v>
      </c>
      <c r="J111" s="470">
        <v>200000</v>
      </c>
      <c r="K111" s="470">
        <v>0.2</v>
      </c>
      <c r="L111" s="470">
        <f>I111*K111</f>
        <v>1098392.528</v>
      </c>
      <c r="M111" s="470">
        <f>J111+L111</f>
        <v>1298392.528</v>
      </c>
      <c r="N111" s="470">
        <f>F111+G111+H111+M111</f>
        <v>1661171.888</v>
      </c>
      <c r="O111" s="470">
        <f>E111-N111</f>
        <v>4193570.112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238456.826880001</v>
      </c>
      <c r="V111" s="470">
        <f>P111+Q111+R111+S111+T111+U111</f>
        <v>798456.826880001</v>
      </c>
      <c r="W111" s="471">
        <v>12</v>
      </c>
      <c r="X111" s="470">
        <f>V111/W111</f>
        <v>66538.0689066667</v>
      </c>
      <c r="Y111" s="476"/>
      <c r="Z111" s="470">
        <f>X111</f>
        <v>66538.0689066667</v>
      </c>
      <c r="AA111" s="473">
        <v>43368.8824146667</v>
      </c>
      <c r="AB111" s="473">
        <f t="shared" ref="AB111:AB112" si="105">Z111-AA111</f>
        <v>23169.186492</v>
      </c>
      <c r="AC111" s="473"/>
      <c r="AD111" s="473"/>
      <c r="AE111" s="473"/>
    </row>
    <row r="112" ht="18" spans="1:31">
      <c r="A112" s="467">
        <v>94</v>
      </c>
      <c r="B112" s="11" t="s">
        <v>193</v>
      </c>
      <c r="C112" s="479">
        <v>450086.5</v>
      </c>
      <c r="D112" s="469">
        <v>12</v>
      </c>
      <c r="E112" s="470">
        <f t="shared" si="104"/>
        <v>5401038</v>
      </c>
      <c r="F112" s="470">
        <f>'[6]JANUARY 2024'!$V$117*12</f>
        <v>6919.455</v>
      </c>
      <c r="G112" s="474">
        <v>374483.04</v>
      </c>
      <c r="H112" s="476"/>
      <c r="I112" s="470">
        <f>E112-F112-G112-H112</f>
        <v>5019635.505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</v>
      </c>
      <c r="O112" s="470">
        <f>E112-N112</f>
        <v>3815708.404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</v>
      </c>
      <c r="V112" s="470">
        <f>P112+Q112+R112+S112+T112+U112</f>
        <v>707770.01696</v>
      </c>
      <c r="W112" s="471">
        <v>12</v>
      </c>
      <c r="X112" s="470">
        <f>V112/W112</f>
        <v>58980.8347466667</v>
      </c>
      <c r="Y112" s="476"/>
      <c r="Z112" s="470">
        <f>X112</f>
        <v>58980.8347466667</v>
      </c>
      <c r="AA112" s="473">
        <v>35221.9540866667</v>
      </c>
      <c r="AB112" s="473">
        <f t="shared" si="105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AC114" s="473"/>
      <c r="AD114" s="473"/>
      <c r="AE114" s="473"/>
    </row>
    <row r="115" ht="17.5" spans="1:31">
      <c r="A115" s="467">
        <v>97</v>
      </c>
      <c r="B115" s="20" t="s">
        <v>278</v>
      </c>
      <c r="C115" s="470"/>
      <c r="U115" s="482"/>
      <c r="AC115" s="473"/>
      <c r="AD115" s="473"/>
      <c r="AE115" s="473"/>
    </row>
    <row r="116" ht="18" spans="1:31">
      <c r="A116" s="467">
        <v>98</v>
      </c>
      <c r="B116" s="11" t="s">
        <v>279</v>
      </c>
      <c r="C116" s="470">
        <v>1635720</v>
      </c>
      <c r="D116" s="469">
        <v>12</v>
      </c>
      <c r="E116" s="470">
        <f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</v>
      </c>
      <c r="V116" s="470">
        <f>P116+Q116+R116+S116+T116+U116</f>
        <v>3243358.744448</v>
      </c>
      <c r="W116" s="471">
        <v>12</v>
      </c>
      <c r="X116" s="470">
        <f>V116/W116</f>
        <v>270279.895370667</v>
      </c>
      <c r="Y116" s="476"/>
      <c r="Z116" s="470">
        <f>X116</f>
        <v>270279.895370667</v>
      </c>
      <c r="AA116" s="473">
        <v>179914.454762667</v>
      </c>
      <c r="AB116" s="473">
        <f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281</v>
      </c>
      <c r="C117" s="470">
        <v>929203.583333333</v>
      </c>
      <c r="D117" s="469">
        <v>12</v>
      </c>
      <c r="E117" s="470">
        <f t="shared" ref="E117:E125" si="109">C117*D117</f>
        <v>11150443</v>
      </c>
      <c r="F117" s="470">
        <f>1028.94225*12</f>
        <v>12347.307</v>
      </c>
      <c r="G117" s="474">
        <v>709635.44</v>
      </c>
      <c r="H117" s="476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</v>
      </c>
      <c r="M117" s="470">
        <f>J117+L117</f>
        <v>2285692.0506</v>
      </c>
      <c r="N117" s="470">
        <f t="shared" si="107"/>
        <v>3007674.7976</v>
      </c>
      <c r="O117" s="470">
        <f t="shared" si="108"/>
        <v>8142768.2024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1">
        <v>12</v>
      </c>
      <c r="X117" s="470">
        <f>V117/W117</f>
        <v>145522.030714667</v>
      </c>
      <c r="Y117" s="476"/>
      <c r="Z117" s="470">
        <f>X117</f>
        <v>145522.030714667</v>
      </c>
      <c r="AA117" s="473">
        <v>98995.9569386667</v>
      </c>
      <c r="AB117" s="473">
        <f t="shared" ref="AB117:AB125" si="110">Z117-AA117</f>
        <v>46526.0737759999</v>
      </c>
      <c r="AC117" s="473"/>
      <c r="AD117" s="473"/>
      <c r="AE117" s="473"/>
    </row>
    <row r="118" ht="18" spans="1:31">
      <c r="A118" s="467"/>
      <c r="B118" s="14" t="s">
        <v>283</v>
      </c>
      <c r="C118" s="470">
        <v>830675.583333333</v>
      </c>
      <c r="D118" s="469">
        <v>12</v>
      </c>
      <c r="E118" s="470">
        <f t="shared" si="109"/>
        <v>9968107</v>
      </c>
      <c r="F118" s="470">
        <f>837.6875*12</f>
        <v>10052.25</v>
      </c>
      <c r="G118" s="474">
        <v>595848.56</v>
      </c>
      <c r="H118" s="476"/>
      <c r="I118" s="470">
        <f t="shared" si="106"/>
        <v>9362206.19</v>
      </c>
      <c r="J118" s="470">
        <v>200000</v>
      </c>
      <c r="K118" s="470">
        <v>0.2</v>
      </c>
      <c r="L118" s="470">
        <f>I118*K118</f>
        <v>1872441.238</v>
      </c>
      <c r="M118" s="470">
        <f>J118+L118</f>
        <v>2072441.238</v>
      </c>
      <c r="N118" s="470">
        <f t="shared" si="107"/>
        <v>2678342.048</v>
      </c>
      <c r="O118" s="470">
        <f t="shared" si="108"/>
        <v>7289764.952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</v>
      </c>
      <c r="V118" s="470">
        <f>P118+Q118+R118+S118+T118+U118</f>
        <v>1541543.58848</v>
      </c>
      <c r="W118" s="471">
        <v>12</v>
      </c>
      <c r="X118" s="470">
        <f>V118/W118</f>
        <v>128461.965706667</v>
      </c>
      <c r="Y118" s="476"/>
      <c r="Z118" s="470">
        <f>X118</f>
        <v>128461.965706667</v>
      </c>
      <c r="AA118" s="473">
        <v>89396.1031466666</v>
      </c>
      <c r="AB118" s="473">
        <f t="shared" si="110"/>
        <v>39065.86256</v>
      </c>
      <c r="AC118" s="473"/>
      <c r="AD118" s="473"/>
      <c r="AE118" s="473"/>
    </row>
    <row r="119" ht="18" spans="1:31">
      <c r="A119" s="467"/>
      <c r="B119" s="14" t="s">
        <v>930</v>
      </c>
      <c r="C119" s="470">
        <v>662118.083333333</v>
      </c>
      <c r="D119" s="469">
        <v>12</v>
      </c>
      <c r="E119" s="470">
        <f t="shared" si="109"/>
        <v>7945417</v>
      </c>
      <c r="F119" s="470"/>
      <c r="G119" s="474">
        <v>0</v>
      </c>
      <c r="H119" s="476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</v>
      </c>
      <c r="M119" s="470">
        <f>J119+L119</f>
        <v>1789083.4</v>
      </c>
      <c r="N119" s="470">
        <f t="shared" si="107"/>
        <v>1789083.4</v>
      </c>
      <c r="O119" s="470">
        <f t="shared" si="108"/>
        <v>6156333.6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</v>
      </c>
      <c r="V119" s="470">
        <f>P119+Q119+R119+S119+T119+U119</f>
        <v>1269520.064</v>
      </c>
      <c r="W119" s="471">
        <v>12</v>
      </c>
      <c r="X119" s="470">
        <f>V119/W119</f>
        <v>105793.338666667</v>
      </c>
      <c r="Y119" s="476"/>
      <c r="Z119" s="470">
        <f>X119</f>
        <v>105793.338666667</v>
      </c>
      <c r="AA119" s="473">
        <v>60214.6772906667</v>
      </c>
      <c r="AB119" s="473">
        <f t="shared" si="110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286</v>
      </c>
      <c r="C120" s="470">
        <v>540498</v>
      </c>
      <c r="D120" s="469">
        <v>12</v>
      </c>
      <c r="E120" s="470">
        <f t="shared" si="109"/>
        <v>6485976</v>
      </c>
      <c r="F120" s="470"/>
      <c r="G120" s="474">
        <v>451678.08</v>
      </c>
      <c r="H120" s="476"/>
      <c r="I120" s="470">
        <f t="shared" si="106"/>
        <v>6034297.92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</v>
      </c>
      <c r="O120" s="470">
        <f t="shared" si="108"/>
        <v>4627438.336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902585.20064</v>
      </c>
      <c r="W120" s="471">
        <v>12</v>
      </c>
      <c r="X120" s="470">
        <f t="shared" ref="X120:X125" si="119">V120/W120</f>
        <v>75215.4333866667</v>
      </c>
      <c r="Y120" s="476"/>
      <c r="Z120" s="470">
        <f t="shared" ref="Z120:Z125" si="120">X120</f>
        <v>75215.4333866667</v>
      </c>
      <c r="AA120" s="473">
        <v>44846.6165886667</v>
      </c>
      <c r="AB120" s="473">
        <f t="shared" si="110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287</v>
      </c>
      <c r="C121" s="470">
        <v>512746.5</v>
      </c>
      <c r="D121" s="469">
        <v>12</v>
      </c>
      <c r="E121" s="470">
        <f t="shared" si="109"/>
        <v>6152958</v>
      </c>
      <c r="F121" s="479">
        <f>646.3525*12</f>
        <v>7756.23</v>
      </c>
      <c r="G121" s="474">
        <v>425036.64</v>
      </c>
      <c r="H121" s="476"/>
      <c r="I121" s="470">
        <f t="shared" si="106"/>
        <v>5720165.13</v>
      </c>
      <c r="J121" s="470">
        <v>200000</v>
      </c>
      <c r="K121" s="470">
        <v>0.2</v>
      </c>
      <c r="L121" s="470">
        <f t="shared" si="111"/>
        <v>1144033.026</v>
      </c>
      <c r="M121" s="470">
        <f t="shared" si="112"/>
        <v>1344033.026</v>
      </c>
      <c r="N121" s="470">
        <f t="shared" si="107"/>
        <v>1776825.896</v>
      </c>
      <c r="O121" s="470">
        <f t="shared" si="108"/>
        <v>4376132.104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</v>
      </c>
      <c r="V121" s="470">
        <f t="shared" si="118"/>
        <v>842271.70496</v>
      </c>
      <c r="W121" s="471">
        <v>12</v>
      </c>
      <c r="X121" s="470">
        <f t="shared" si="119"/>
        <v>70189.3087466667</v>
      </c>
      <c r="Y121" s="476"/>
      <c r="Z121" s="470">
        <f t="shared" si="120"/>
        <v>70189.3087466667</v>
      </c>
      <c r="AA121" s="473">
        <v>42029.5891866667</v>
      </c>
      <c r="AB121" s="473">
        <f t="shared" si="110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289</v>
      </c>
      <c r="C122" s="470">
        <v>526622.25</v>
      </c>
      <c r="D122" s="469">
        <v>12</v>
      </c>
      <c r="E122" s="470">
        <f t="shared" si="109"/>
        <v>6319467</v>
      </c>
      <c r="F122" s="479">
        <f>668.31625*12</f>
        <v>8019.795</v>
      </c>
      <c r="G122" s="474">
        <v>438357.36</v>
      </c>
      <c r="H122" s="476"/>
      <c r="I122" s="470">
        <f t="shared" si="106"/>
        <v>5873089.845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</v>
      </c>
      <c r="O122" s="470">
        <f t="shared" si="108"/>
        <v>4498471.876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</v>
      </c>
      <c r="V122" s="470">
        <f t="shared" si="118"/>
        <v>871633.25024</v>
      </c>
      <c r="W122" s="471">
        <v>12</v>
      </c>
      <c r="X122" s="470">
        <f t="shared" si="119"/>
        <v>72636.1041866667</v>
      </c>
      <c r="Y122" s="476"/>
      <c r="Z122" s="470">
        <f t="shared" si="120"/>
        <v>72636.1041866667</v>
      </c>
      <c r="AA122" s="473">
        <v>43380.0962466667</v>
      </c>
      <c r="AB122" s="473">
        <f t="shared" si="110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292</v>
      </c>
      <c r="C123" s="470">
        <v>330481.666666667</v>
      </c>
      <c r="D123" s="469">
        <v>12</v>
      </c>
      <c r="E123" s="470">
        <f t="shared" si="109"/>
        <v>3965780</v>
      </c>
      <c r="F123" s="470"/>
      <c r="G123" s="474">
        <v>259662.4</v>
      </c>
      <c r="H123" s="476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741223.520000001</v>
      </c>
      <c r="M123" s="470">
        <f t="shared" si="112"/>
        <v>941223.520000001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244627.756800001</v>
      </c>
      <c r="U123" s="470"/>
      <c r="V123" s="470">
        <f t="shared" si="118"/>
        <v>468627.756800001</v>
      </c>
      <c r="W123" s="471">
        <v>12</v>
      </c>
      <c r="X123" s="470">
        <f t="shared" si="119"/>
        <v>39052.3130666667</v>
      </c>
      <c r="Y123" s="476"/>
      <c r="Z123" s="470">
        <f t="shared" si="120"/>
        <v>39052.3130666667</v>
      </c>
      <c r="AA123" s="473">
        <v>23036.0123466667</v>
      </c>
      <c r="AB123" s="473">
        <f t="shared" si="110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294</v>
      </c>
      <c r="C124" s="470">
        <v>274459.75</v>
      </c>
      <c r="D124" s="469">
        <v>12</v>
      </c>
      <c r="E124" s="470">
        <f t="shared" si="109"/>
        <v>3293517</v>
      </c>
      <c r="F124" s="470"/>
      <c r="G124" s="474">
        <v>215481.36</v>
      </c>
      <c r="H124" s="476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</v>
      </c>
      <c r="M124" s="470">
        <f t="shared" si="112"/>
        <v>815607.128</v>
      </c>
      <c r="N124" s="470">
        <f t="shared" si="107"/>
        <v>1031088.488</v>
      </c>
      <c r="O124" s="470">
        <f t="shared" si="108"/>
        <v>2262428.512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</v>
      </c>
      <c r="U124" s="470"/>
      <c r="V124" s="470">
        <f t="shared" si="118"/>
        <v>363109.98752</v>
      </c>
      <c r="W124" s="471">
        <v>12</v>
      </c>
      <c r="X124" s="470">
        <f t="shared" si="119"/>
        <v>30259.1656266667</v>
      </c>
      <c r="Y124" s="476"/>
      <c r="Z124" s="470">
        <f t="shared" si="120"/>
        <v>30259.1656266667</v>
      </c>
      <c r="AA124" s="473">
        <v>17042.7138666667</v>
      </c>
      <c r="AB124" s="473">
        <f t="shared" si="110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296</v>
      </c>
      <c r="C125" s="470">
        <v>274459.75</v>
      </c>
      <c r="D125" s="469">
        <v>12</v>
      </c>
      <c r="E125" s="470">
        <f t="shared" si="109"/>
        <v>3293517</v>
      </c>
      <c r="F125" s="470"/>
      <c r="G125" s="474">
        <v>215481.36</v>
      </c>
      <c r="H125" s="476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</v>
      </c>
      <c r="M125" s="470">
        <f t="shared" si="112"/>
        <v>815607.128</v>
      </c>
      <c r="N125" s="470">
        <f t="shared" si="107"/>
        <v>1031088.488</v>
      </c>
      <c r="O125" s="470">
        <f t="shared" si="108"/>
        <v>2262428.512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</v>
      </c>
      <c r="U125" s="470"/>
      <c r="V125" s="470">
        <f t="shared" si="118"/>
        <v>363109.98752</v>
      </c>
      <c r="W125" s="471">
        <v>12</v>
      </c>
      <c r="X125" s="470">
        <f t="shared" si="119"/>
        <v>30259.1656266667</v>
      </c>
      <c r="Y125" s="476"/>
      <c r="Z125" s="470">
        <f t="shared" si="120"/>
        <v>30259.1656266667</v>
      </c>
      <c r="AA125" s="473">
        <v>17042.7138666667</v>
      </c>
      <c r="AB125" s="473">
        <f t="shared" si="110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AC127" s="473"/>
      <c r="AD127" s="473"/>
      <c r="AE127" s="473"/>
    </row>
    <row r="128" ht="17.5" spans="1:31">
      <c r="A128" s="467">
        <v>111</v>
      </c>
      <c r="B128" s="20" t="s">
        <v>299</v>
      </c>
      <c r="C128" s="470"/>
      <c r="U128" s="482"/>
      <c r="AC128" s="473"/>
      <c r="AD128" s="473"/>
      <c r="AE128" s="473"/>
    </row>
    <row r="129" ht="18" spans="1:31">
      <c r="A129" s="467">
        <v>112</v>
      </c>
      <c r="B129" s="11" t="s">
        <v>931</v>
      </c>
      <c r="C129" s="470">
        <v>1535720</v>
      </c>
      <c r="D129" s="469">
        <v>12</v>
      </c>
      <c r="E129" s="470">
        <f>C129*D129</f>
        <v>18428640</v>
      </c>
      <c r="F129" s="470"/>
      <c r="G129" s="474">
        <v>1378291.2</v>
      </c>
      <c r="H129" s="476"/>
      <c r="I129" s="470">
        <f t="shared" ref="I129:I187" si="121">E129-F129-G129-H129</f>
        <v>17050348.8</v>
      </c>
      <c r="J129" s="470">
        <v>200000</v>
      </c>
      <c r="K129" s="470">
        <v>0.2</v>
      </c>
      <c r="L129" s="470">
        <f t="shared" ref="L129:L187" si="122">I129*K129</f>
        <v>3410069.76</v>
      </c>
      <c r="M129" s="470">
        <f t="shared" ref="M129:M187" si="123">J129+L129</f>
        <v>3610069.76</v>
      </c>
      <c r="N129" s="470">
        <f t="shared" ref="N129:N187" si="124">F129+G129+H129+M129</f>
        <v>4988360.96</v>
      </c>
      <c r="O129" s="470">
        <f t="shared" ref="O129:O187" si="125">E129-N129</f>
        <v>13440279.04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2457666.9696</v>
      </c>
      <c r="V129" s="470">
        <f>P129+Q129+R129+S129+T129+U129</f>
        <v>3017666.9696</v>
      </c>
      <c r="W129" s="471">
        <v>12</v>
      </c>
      <c r="X129" s="470">
        <f t="shared" ref="X129:X187" si="131">V129/W129</f>
        <v>251472.247466667</v>
      </c>
      <c r="Y129" s="476"/>
      <c r="Z129" s="470">
        <f t="shared" ref="Z129:Z187" si="132">X129</f>
        <v>251472.247466667</v>
      </c>
      <c r="AA129" s="473">
        <v>161106.806858667</v>
      </c>
      <c r="AB129" s="473">
        <f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933</v>
      </c>
      <c r="C130" s="470">
        <v>852373.166666667</v>
      </c>
      <c r="D130" s="469">
        <v>12</v>
      </c>
      <c r="E130" s="470">
        <f t="shared" ref="E130:E187" si="133">C130*D130</f>
        <v>10228478</v>
      </c>
      <c r="F130" s="470"/>
      <c r="G130" s="474">
        <v>0</v>
      </c>
      <c r="H130" s="476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</v>
      </c>
      <c r="V130" s="470">
        <f>P130+Q130+R130+S130+T130+U130</f>
        <v>1707867.776</v>
      </c>
      <c r="W130" s="471">
        <v>12</v>
      </c>
      <c r="X130" s="470">
        <f t="shared" si="131"/>
        <v>142322.314666667</v>
      </c>
      <c r="Y130" s="476"/>
      <c r="Z130" s="470">
        <f t="shared" si="132"/>
        <v>142322.314666667</v>
      </c>
      <c r="AA130" s="473">
        <v>82627.9514186667</v>
      </c>
      <c r="AB130" s="473">
        <f t="shared" ref="AB130:AB187" si="134">Z130-AA130</f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302</v>
      </c>
      <c r="C131" s="470">
        <v>902373.166666667</v>
      </c>
      <c r="D131" s="469">
        <v>12</v>
      </c>
      <c r="E131" s="470">
        <f t="shared" si="133"/>
        <v>10828478</v>
      </c>
      <c r="F131" s="470">
        <f>1066.32925*12</f>
        <v>12795.951</v>
      </c>
      <c r="G131" s="474">
        <v>731878.24</v>
      </c>
      <c r="H131" s="476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</v>
      </c>
      <c r="M131" s="470">
        <f t="shared" si="123"/>
        <v>2216760.7618</v>
      </c>
      <c r="N131" s="470">
        <f t="shared" si="124"/>
        <v>2961434.9528</v>
      </c>
      <c r="O131" s="470">
        <f t="shared" si="125"/>
        <v>7867043.0472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1120090.331328</v>
      </c>
      <c r="V131" s="470">
        <f>P131+Q131+R131+S131+T131+U131</f>
        <v>1680090.331328</v>
      </c>
      <c r="W131" s="471">
        <v>12</v>
      </c>
      <c r="X131" s="470">
        <f t="shared" si="131"/>
        <v>140007.527610667</v>
      </c>
      <c r="Y131" s="476"/>
      <c r="Z131" s="470">
        <f t="shared" si="132"/>
        <v>140007.527610667</v>
      </c>
      <c r="AA131" s="473">
        <v>92023.2162026667</v>
      </c>
      <c r="AB131" s="473">
        <f t="shared" si="134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305</v>
      </c>
      <c r="C132" s="470">
        <v>554373.75</v>
      </c>
      <c r="D132" s="469">
        <v>12</v>
      </c>
      <c r="E132" s="470">
        <f t="shared" si="133"/>
        <v>6652485</v>
      </c>
      <c r="F132" s="470">
        <f>712.24525*12</f>
        <v>8546.943</v>
      </c>
      <c r="G132" s="474">
        <v>464998.8</v>
      </c>
      <c r="H132" s="476"/>
      <c r="I132" s="470">
        <f t="shared" si="121"/>
        <v>6178939.257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</v>
      </c>
      <c r="O132" s="470">
        <f t="shared" si="125"/>
        <v>4743151.4056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1">
        <v>12</v>
      </c>
      <c r="X132" s="470">
        <f t="shared" si="131"/>
        <v>77529.6947786667</v>
      </c>
      <c r="Y132" s="476"/>
      <c r="Z132" s="470">
        <f t="shared" si="132"/>
        <v>77529.6947786667</v>
      </c>
      <c r="AA132" s="473">
        <v>46081.2025986667</v>
      </c>
      <c r="AB132" s="473">
        <f t="shared" si="134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307</v>
      </c>
      <c r="C133" s="470">
        <v>554373.75</v>
      </c>
      <c r="D133" s="469">
        <v>12</v>
      </c>
      <c r="E133" s="470">
        <f t="shared" si="133"/>
        <v>6652485</v>
      </c>
      <c r="F133" s="470">
        <f>712.24525*12</f>
        <v>8546.943</v>
      </c>
      <c r="G133" s="474">
        <v>464998.8</v>
      </c>
      <c r="H133" s="476"/>
      <c r="I133" s="470">
        <f t="shared" si="121"/>
        <v>6178939.257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</v>
      </c>
      <c r="O133" s="470">
        <f t="shared" si="125"/>
        <v>4743151.4056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1">
        <v>12</v>
      </c>
      <c r="X133" s="470">
        <f t="shared" si="131"/>
        <v>77529.6947786667</v>
      </c>
      <c r="Y133" s="476"/>
      <c r="Z133" s="470">
        <f t="shared" si="132"/>
        <v>77529.6947786667</v>
      </c>
      <c r="AA133" s="473">
        <v>46081.2025986667</v>
      </c>
      <c r="AB133" s="473">
        <f t="shared" si="134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309</v>
      </c>
      <c r="C134" s="470">
        <v>554373.75</v>
      </c>
      <c r="D134" s="469">
        <v>12</v>
      </c>
      <c r="E134" s="470">
        <f t="shared" si="133"/>
        <v>6652485</v>
      </c>
      <c r="F134" s="470">
        <f>712.24525*12</f>
        <v>8546.943</v>
      </c>
      <c r="G134" s="474">
        <v>464998.8</v>
      </c>
      <c r="H134" s="476"/>
      <c r="I134" s="470">
        <f t="shared" si="121"/>
        <v>6178939.257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</v>
      </c>
      <c r="O134" s="470">
        <f t="shared" si="125"/>
        <v>4743151.4056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1">
        <v>12</v>
      </c>
      <c r="X134" s="470">
        <f t="shared" si="131"/>
        <v>77529.6947786667</v>
      </c>
      <c r="Y134" s="476"/>
      <c r="Z134" s="470">
        <f t="shared" si="132"/>
        <v>77529.6947786667</v>
      </c>
      <c r="AA134" s="473">
        <v>46081.2025986667</v>
      </c>
      <c r="AB134" s="473">
        <f t="shared" si="134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231</v>
      </c>
      <c r="C135" s="470">
        <v>450086.5</v>
      </c>
      <c r="D135" s="469">
        <v>12</v>
      </c>
      <c r="E135" s="470">
        <f t="shared" si="133"/>
        <v>5401038</v>
      </c>
      <c r="F135" s="470">
        <f>576.62125*12</f>
        <v>6919.455</v>
      </c>
      <c r="G135" s="474">
        <v>374483.04</v>
      </c>
      <c r="H135" s="476"/>
      <c r="I135" s="470">
        <f t="shared" si="121"/>
        <v>5019635.505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</v>
      </c>
      <c r="O135" s="470">
        <f t="shared" si="125"/>
        <v>3815708.404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</v>
      </c>
      <c r="V135" s="470">
        <f t="shared" si="135"/>
        <v>707770.01696</v>
      </c>
      <c r="W135" s="471">
        <v>12</v>
      </c>
      <c r="X135" s="470">
        <f t="shared" si="131"/>
        <v>58980.8347466667</v>
      </c>
      <c r="Y135" s="476"/>
      <c r="Z135" s="470">
        <f t="shared" si="132"/>
        <v>58980.8347466667</v>
      </c>
      <c r="AA135" s="473">
        <v>35221.9540866667</v>
      </c>
      <c r="AB135" s="473">
        <f t="shared" si="134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312</v>
      </c>
      <c r="C136" s="470">
        <v>450086.5</v>
      </c>
      <c r="D136" s="469">
        <v>12</v>
      </c>
      <c r="E136" s="470">
        <f t="shared" si="133"/>
        <v>5401038</v>
      </c>
      <c r="F136" s="470"/>
      <c r="G136" s="474">
        <v>374483.04</v>
      </c>
      <c r="H136" s="476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</v>
      </c>
      <c r="M136" s="470">
        <f t="shared" si="123"/>
        <v>1205310.992</v>
      </c>
      <c r="N136" s="470">
        <f t="shared" si="124"/>
        <v>1579794.032</v>
      </c>
      <c r="O136" s="470">
        <f t="shared" si="125"/>
        <v>3821243.968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149098.55232</v>
      </c>
      <c r="V136" s="470">
        <f t="shared" si="135"/>
        <v>709098.55232</v>
      </c>
      <c r="W136" s="471">
        <v>12</v>
      </c>
      <c r="X136" s="470">
        <f t="shared" si="131"/>
        <v>59091.5460266667</v>
      </c>
      <c r="Y136" s="476"/>
      <c r="Z136" s="470">
        <f t="shared" si="132"/>
        <v>59091.5460266667</v>
      </c>
      <c r="AA136" s="473">
        <v>35318.8264566667</v>
      </c>
      <c r="AB136" s="473">
        <f t="shared" si="134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313</v>
      </c>
      <c r="C137" s="470">
        <v>450086.5</v>
      </c>
      <c r="D137" s="469">
        <v>12</v>
      </c>
      <c r="E137" s="470">
        <f t="shared" si="133"/>
        <v>5401038</v>
      </c>
      <c r="F137" s="470"/>
      <c r="G137" s="474">
        <v>374483.04</v>
      </c>
      <c r="H137" s="476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</v>
      </c>
      <c r="M137" s="470">
        <f t="shared" si="123"/>
        <v>1205310.992</v>
      </c>
      <c r="N137" s="470">
        <f t="shared" si="124"/>
        <v>1579794.032</v>
      </c>
      <c r="O137" s="470">
        <f t="shared" si="125"/>
        <v>3821243.968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149098.55232</v>
      </c>
      <c r="V137" s="470">
        <f t="shared" si="135"/>
        <v>709098.55232</v>
      </c>
      <c r="W137" s="471">
        <v>12</v>
      </c>
      <c r="X137" s="470">
        <f t="shared" si="131"/>
        <v>59091.5460266667</v>
      </c>
      <c r="Y137" s="476"/>
      <c r="Z137" s="470">
        <f t="shared" si="132"/>
        <v>59091.5460266667</v>
      </c>
      <c r="AA137" s="473">
        <v>35318.8264566667</v>
      </c>
      <c r="AB137" s="473">
        <f t="shared" si="134"/>
        <v>23772.71957</v>
      </c>
      <c r="AC137" s="473"/>
      <c r="AD137" s="473"/>
      <c r="AE137" s="473"/>
    </row>
    <row r="138" ht="18" spans="1:31">
      <c r="A138" s="467">
        <v>121</v>
      </c>
      <c r="B138" s="11" t="s">
        <v>315</v>
      </c>
      <c r="C138" s="470">
        <v>437895.166666667</v>
      </c>
      <c r="D138" s="469">
        <v>12</v>
      </c>
      <c r="E138" s="470">
        <f t="shared" si="133"/>
        <v>5254742</v>
      </c>
      <c r="F138" s="470"/>
      <c r="G138" s="474">
        <v>362779.36</v>
      </c>
      <c r="H138" s="476"/>
      <c r="I138" s="470">
        <f t="shared" si="121"/>
        <v>4891962.64</v>
      </c>
      <c r="J138" s="470">
        <v>200000</v>
      </c>
      <c r="K138" s="470">
        <v>0.2</v>
      </c>
      <c r="L138" s="470">
        <f t="shared" si="122"/>
        <v>978392.528000001</v>
      </c>
      <c r="M138" s="470">
        <f t="shared" si="123"/>
        <v>1178392.528</v>
      </c>
      <c r="N138" s="470">
        <f t="shared" si="124"/>
        <v>1541171.888</v>
      </c>
      <c r="O138" s="470">
        <f t="shared" si="125"/>
        <v>3713570.112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123256.826880001</v>
      </c>
      <c r="V138" s="470">
        <f t="shared" si="135"/>
        <v>683256.826880001</v>
      </c>
      <c r="W138" s="471">
        <v>12</v>
      </c>
      <c r="X138" s="470">
        <f t="shared" si="131"/>
        <v>56938.0689066667</v>
      </c>
      <c r="Y138" s="476"/>
      <c r="Z138" s="470">
        <f t="shared" si="132"/>
        <v>56938.0689066667</v>
      </c>
      <c r="AA138" s="473">
        <v>34968.8824146667</v>
      </c>
      <c r="AB138" s="473">
        <f t="shared" si="134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317</v>
      </c>
      <c r="C139" s="470">
        <v>425703.833333333</v>
      </c>
      <c r="D139" s="469">
        <v>12</v>
      </c>
      <c r="E139" s="470">
        <f t="shared" si="133"/>
        <v>5108446</v>
      </c>
      <c r="F139" s="470">
        <f>538.022*12</f>
        <v>6456.264</v>
      </c>
      <c r="G139" s="474">
        <v>351075.68</v>
      </c>
      <c r="H139" s="476"/>
      <c r="I139" s="470">
        <f t="shared" si="121"/>
        <v>4750914.056</v>
      </c>
      <c r="J139" s="470">
        <v>200000</v>
      </c>
      <c r="K139" s="470">
        <v>0.2</v>
      </c>
      <c r="L139" s="470">
        <f t="shared" si="122"/>
        <v>950182.811199999</v>
      </c>
      <c r="M139" s="470">
        <f t="shared" si="123"/>
        <v>1150182.8112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96175.4987519992</v>
      </c>
      <c r="V139" s="470">
        <f t="shared" si="135"/>
        <v>656175.498751999</v>
      </c>
      <c r="W139" s="471">
        <v>12</v>
      </c>
      <c r="X139" s="470">
        <f t="shared" si="131"/>
        <v>54681.2915626666</v>
      </c>
      <c r="Y139" s="476"/>
      <c r="Z139" s="470">
        <f t="shared" si="132"/>
        <v>54681.2915626666</v>
      </c>
      <c r="AA139" s="473">
        <v>32848.5634026667</v>
      </c>
      <c r="AB139" s="473">
        <f t="shared" si="134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470">
        <v>450086.5</v>
      </c>
      <c r="D140" s="469">
        <v>12</v>
      </c>
      <c r="E140" s="470">
        <f t="shared" si="133"/>
        <v>5401038</v>
      </c>
      <c r="F140" s="470">
        <f>576.62125*12</f>
        <v>6919.455</v>
      </c>
      <c r="G140" s="474">
        <v>374483.04</v>
      </c>
      <c r="H140" s="476"/>
      <c r="I140" s="470">
        <f t="shared" si="121"/>
        <v>5019635.505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</v>
      </c>
      <c r="O140" s="470">
        <f t="shared" si="125"/>
        <v>3815708.404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</v>
      </c>
      <c r="V140" s="470">
        <f t="shared" si="135"/>
        <v>707770.01696</v>
      </c>
      <c r="W140" s="471">
        <v>12</v>
      </c>
      <c r="X140" s="470">
        <f t="shared" si="131"/>
        <v>58980.8347466667</v>
      </c>
      <c r="Y140" s="476"/>
      <c r="Z140" s="470">
        <f t="shared" si="132"/>
        <v>58980.8347466667</v>
      </c>
      <c r="AA140" s="473">
        <v>35221.9540866667</v>
      </c>
      <c r="AB140" s="473">
        <f t="shared" si="134"/>
        <v>23758.88066</v>
      </c>
      <c r="AC140" s="473"/>
      <c r="AD140" s="473"/>
      <c r="AE140" s="473"/>
    </row>
    <row r="141" ht="18" spans="1:31">
      <c r="A141" s="467">
        <v>124</v>
      </c>
      <c r="B141" s="18" t="s">
        <v>319</v>
      </c>
      <c r="C141" s="470">
        <v>413512.5</v>
      </c>
      <c r="D141" s="469">
        <v>12</v>
      </c>
      <c r="E141" s="470">
        <f t="shared" si="133"/>
        <v>4962150</v>
      </c>
      <c r="F141" s="470">
        <v>0</v>
      </c>
      <c r="G141" s="474">
        <v>339372</v>
      </c>
      <c r="H141" s="476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</v>
      </c>
      <c r="M141" s="470">
        <f t="shared" si="123"/>
        <v>1124555.6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71573.376</v>
      </c>
      <c r="V141" s="470">
        <f t="shared" si="135"/>
        <v>631573.376</v>
      </c>
      <c r="W141" s="471">
        <v>12</v>
      </c>
      <c r="X141" s="470">
        <f t="shared" si="131"/>
        <v>52631.1146666667</v>
      </c>
      <c r="Y141" s="476"/>
      <c r="Z141" s="470">
        <f t="shared" si="132"/>
        <v>52631.1146666667</v>
      </c>
      <c r="AA141" s="473">
        <v>31749.1752666667</v>
      </c>
      <c r="AB141" s="473">
        <f t="shared" si="134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321</v>
      </c>
      <c r="C142" s="470">
        <v>368901.5</v>
      </c>
      <c r="D142" s="469">
        <v>12</v>
      </c>
      <c r="E142" s="470">
        <f t="shared" si="133"/>
        <v>4426818</v>
      </c>
      <c r="F142" s="470"/>
      <c r="G142" s="474">
        <v>296545.44</v>
      </c>
      <c r="H142" s="476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</v>
      </c>
      <c r="M142" s="470">
        <f t="shared" si="123"/>
        <v>1026054.512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</v>
      </c>
      <c r="U142" s="470"/>
      <c r="V142" s="470">
        <f t="shared" si="135"/>
        <v>539885.79008</v>
      </c>
      <c r="W142" s="471">
        <v>12</v>
      </c>
      <c r="X142" s="470">
        <f t="shared" si="131"/>
        <v>44990.4825066667</v>
      </c>
      <c r="Y142" s="476"/>
      <c r="Z142" s="470">
        <f t="shared" si="132"/>
        <v>44990.4825066667</v>
      </c>
      <c r="AA142" s="473">
        <v>27105.9865626667</v>
      </c>
      <c r="AB142" s="473">
        <f t="shared" si="134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322</v>
      </c>
      <c r="C143" s="470">
        <v>376837.416666667</v>
      </c>
      <c r="D143" s="469">
        <v>12</v>
      </c>
      <c r="E143" s="470">
        <f t="shared" si="133"/>
        <v>4522049</v>
      </c>
      <c r="F143" s="470">
        <f>469.4825*12</f>
        <v>5633.79</v>
      </c>
      <c r="G143" s="474">
        <v>304163.92</v>
      </c>
      <c r="H143" s="476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842450.258000001</v>
      </c>
      <c r="M143" s="470">
        <f t="shared" si="123"/>
        <v>1042450.258</v>
      </c>
      <c r="N143" s="470">
        <f t="shared" si="124"/>
        <v>1352247.968</v>
      </c>
      <c r="O143" s="470">
        <f t="shared" si="125"/>
        <v>3169801.032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329658.216720001</v>
      </c>
      <c r="U143" s="470"/>
      <c r="V143" s="470">
        <f t="shared" si="135"/>
        <v>553658.216720001</v>
      </c>
      <c r="W143" s="471">
        <v>12</v>
      </c>
      <c r="X143" s="470">
        <f t="shared" si="131"/>
        <v>46138.1847266667</v>
      </c>
      <c r="Y143" s="476"/>
      <c r="Z143" s="470">
        <f t="shared" si="132"/>
        <v>46138.1847266667</v>
      </c>
      <c r="AA143" s="473">
        <v>27794.2066266667</v>
      </c>
      <c r="AB143" s="473">
        <f t="shared" si="134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324</v>
      </c>
      <c r="C144" s="470">
        <v>376837.416666667</v>
      </c>
      <c r="D144" s="469">
        <v>12</v>
      </c>
      <c r="E144" s="470">
        <f t="shared" si="133"/>
        <v>4522049</v>
      </c>
      <c r="F144" s="470"/>
      <c r="G144" s="474">
        <v>304163.92</v>
      </c>
      <c r="H144" s="476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843577.016000001</v>
      </c>
      <c r="M144" s="470">
        <f t="shared" si="123"/>
        <v>1043577.016</v>
      </c>
      <c r="N144" s="470">
        <f t="shared" si="124"/>
        <v>1347740.936</v>
      </c>
      <c r="O144" s="470">
        <f t="shared" si="125"/>
        <v>3174308.064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330604.693440001</v>
      </c>
      <c r="U144" s="470"/>
      <c r="V144" s="470">
        <f t="shared" si="135"/>
        <v>554604.693440001</v>
      </c>
      <c r="W144" s="471">
        <v>12</v>
      </c>
      <c r="X144" s="470">
        <f t="shared" si="131"/>
        <v>46217.0577866667</v>
      </c>
      <c r="Y144" s="476"/>
      <c r="Z144" s="470">
        <f t="shared" si="132"/>
        <v>46217.0577866667</v>
      </c>
      <c r="AA144" s="473">
        <v>27873.0796866667</v>
      </c>
      <c r="AB144" s="473">
        <f t="shared" si="134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325</v>
      </c>
      <c r="C145" s="470">
        <v>360965.583333333</v>
      </c>
      <c r="D145" s="469">
        <v>12</v>
      </c>
      <c r="E145" s="470">
        <f t="shared" si="133"/>
        <v>4331587</v>
      </c>
      <c r="F145" s="470"/>
      <c r="G145" s="474">
        <v>288926.96</v>
      </c>
      <c r="H145" s="476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808532.007999999</v>
      </c>
      <c r="M145" s="470">
        <f t="shared" si="123"/>
        <v>1008532.008</v>
      </c>
      <c r="N145" s="470">
        <f t="shared" si="124"/>
        <v>1297458.968</v>
      </c>
      <c r="O145" s="470">
        <f t="shared" si="125"/>
        <v>3034128.032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301166.886719999</v>
      </c>
      <c r="U145" s="470"/>
      <c r="V145" s="470">
        <f t="shared" si="135"/>
        <v>525166.886719999</v>
      </c>
      <c r="W145" s="471">
        <v>12</v>
      </c>
      <c r="X145" s="470">
        <f t="shared" si="131"/>
        <v>43763.9072266666</v>
      </c>
      <c r="Y145" s="476"/>
      <c r="Z145" s="470">
        <f t="shared" si="132"/>
        <v>43763.9072266666</v>
      </c>
      <c r="AA145" s="473">
        <v>27105.9865626667</v>
      </c>
      <c r="AB145" s="473">
        <f t="shared" si="134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327</v>
      </c>
      <c r="C146" s="470">
        <v>323165.333333333</v>
      </c>
      <c r="D146" s="469">
        <v>12</v>
      </c>
      <c r="E146" s="470">
        <f t="shared" si="133"/>
        <v>3877984</v>
      </c>
      <c r="F146" s="470"/>
      <c r="G146" s="474">
        <v>252638.72</v>
      </c>
      <c r="H146" s="476"/>
      <c r="I146" s="470">
        <f t="shared" si="121"/>
        <v>3625345.28</v>
      </c>
      <c r="J146" s="470">
        <v>200000</v>
      </c>
      <c r="K146" s="470">
        <v>0.2</v>
      </c>
      <c r="L146" s="470">
        <f t="shared" si="122"/>
        <v>725069.055999999</v>
      </c>
      <c r="M146" s="470">
        <f t="shared" si="123"/>
        <v>925069.055999999</v>
      </c>
      <c r="N146" s="470">
        <f t="shared" si="124"/>
        <v>1177707.776</v>
      </c>
      <c r="O146" s="470">
        <f t="shared" si="125"/>
        <v>2700276.224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</v>
      </c>
      <c r="U146" s="470"/>
      <c r="V146" s="470">
        <f t="shared" si="135"/>
        <v>455058.007039999</v>
      </c>
      <c r="W146" s="471">
        <v>12</v>
      </c>
      <c r="X146" s="470">
        <f t="shared" si="131"/>
        <v>37921.5005866666</v>
      </c>
      <c r="Y146" s="476"/>
      <c r="Z146" s="470">
        <f t="shared" si="132"/>
        <v>37921.5005866666</v>
      </c>
      <c r="AA146" s="473">
        <v>22338.4826046667</v>
      </c>
      <c r="AB146" s="473">
        <f t="shared" si="134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329</v>
      </c>
      <c r="C147" s="470">
        <v>368901.5</v>
      </c>
      <c r="D147" s="469">
        <v>12</v>
      </c>
      <c r="E147" s="470">
        <f t="shared" si="133"/>
        <v>4426818</v>
      </c>
      <c r="F147" s="470"/>
      <c r="G147" s="474">
        <v>296545.44</v>
      </c>
      <c r="H147" s="476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</v>
      </c>
      <c r="M147" s="470">
        <f t="shared" si="123"/>
        <v>1026054.512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</v>
      </c>
      <c r="U147" s="470"/>
      <c r="V147" s="470">
        <f t="shared" si="135"/>
        <v>539885.79008</v>
      </c>
      <c r="W147" s="471">
        <v>12</v>
      </c>
      <c r="X147" s="470">
        <f t="shared" si="131"/>
        <v>44990.4825066667</v>
      </c>
      <c r="Y147" s="476"/>
      <c r="Z147" s="470">
        <f t="shared" si="132"/>
        <v>44990.4825066667</v>
      </c>
      <c r="AA147" s="473">
        <v>27105.9865626667</v>
      </c>
      <c r="AB147" s="473">
        <f t="shared" si="134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331</v>
      </c>
      <c r="C148" s="470">
        <v>330481.666666667</v>
      </c>
      <c r="D148" s="469">
        <v>12</v>
      </c>
      <c r="E148" s="470">
        <f t="shared" si="133"/>
        <v>3965780</v>
      </c>
      <c r="F148" s="470"/>
      <c r="G148" s="474">
        <v>259662.4</v>
      </c>
      <c r="H148" s="476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741223.520000001</v>
      </c>
      <c r="M148" s="470">
        <f t="shared" si="123"/>
        <v>941223.520000001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244627.756800001</v>
      </c>
      <c r="U148" s="470"/>
      <c r="V148" s="470">
        <f t="shared" si="135"/>
        <v>468627.756800001</v>
      </c>
      <c r="W148" s="471">
        <v>12</v>
      </c>
      <c r="X148" s="470">
        <f t="shared" si="131"/>
        <v>39052.3130666667</v>
      </c>
      <c r="Y148" s="476"/>
      <c r="Z148" s="470">
        <f t="shared" si="132"/>
        <v>39052.3130666667</v>
      </c>
      <c r="AA148" s="473">
        <v>23036.0123466667</v>
      </c>
      <c r="AB148" s="473">
        <f t="shared" si="134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333</v>
      </c>
      <c r="C149" s="470">
        <v>368901.5</v>
      </c>
      <c r="D149" s="469">
        <v>12</v>
      </c>
      <c r="E149" s="470">
        <f t="shared" si="133"/>
        <v>4426818</v>
      </c>
      <c r="F149" s="470">
        <f>457.041*12</f>
        <v>5484.492</v>
      </c>
      <c r="G149" s="474">
        <v>296545.44</v>
      </c>
      <c r="H149" s="476"/>
      <c r="I149" s="470">
        <f t="shared" si="121"/>
        <v>4124788.068</v>
      </c>
      <c r="J149" s="470">
        <v>200000</v>
      </c>
      <c r="K149" s="470">
        <v>0.2</v>
      </c>
      <c r="L149" s="470">
        <f t="shared" si="122"/>
        <v>824957.6136</v>
      </c>
      <c r="M149" s="470">
        <f t="shared" si="123"/>
        <v>1024957.6136</v>
      </c>
      <c r="N149" s="470">
        <f t="shared" si="124"/>
        <v>1326987.5456</v>
      </c>
      <c r="O149" s="470">
        <f t="shared" si="125"/>
        <v>3099830.4544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314964.395424</v>
      </c>
      <c r="U149" s="470"/>
      <c r="V149" s="470">
        <f t="shared" si="135"/>
        <v>538964.395424</v>
      </c>
      <c r="W149" s="471">
        <v>12</v>
      </c>
      <c r="X149" s="470">
        <f t="shared" si="131"/>
        <v>44913.6996186667</v>
      </c>
      <c r="Y149" s="476"/>
      <c r="Z149" s="470">
        <f t="shared" si="132"/>
        <v>44913.6996186667</v>
      </c>
      <c r="AA149" s="473">
        <v>27029.2036746667</v>
      </c>
      <c r="AB149" s="473">
        <f t="shared" si="134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334</v>
      </c>
      <c r="C150" s="470">
        <v>330481.666666667</v>
      </c>
      <c r="D150" s="469">
        <v>12</v>
      </c>
      <c r="E150" s="470">
        <f t="shared" si="133"/>
        <v>3965780</v>
      </c>
      <c r="F150" s="470"/>
      <c r="G150" s="474">
        <v>259662.4</v>
      </c>
      <c r="H150" s="476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741223.520000001</v>
      </c>
      <c r="M150" s="470">
        <f t="shared" si="123"/>
        <v>941223.520000001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244627.756800001</v>
      </c>
      <c r="U150" s="470"/>
      <c r="V150" s="470">
        <f t="shared" si="135"/>
        <v>468627.756800001</v>
      </c>
      <c r="W150" s="471">
        <v>12</v>
      </c>
      <c r="X150" s="470">
        <f t="shared" si="131"/>
        <v>39052.3130666667</v>
      </c>
      <c r="Y150" s="476"/>
      <c r="Z150" s="470">
        <f t="shared" si="132"/>
        <v>39052.3130666667</v>
      </c>
      <c r="AA150" s="473">
        <v>22338.4826046667</v>
      </c>
      <c r="AB150" s="473">
        <f t="shared" si="134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336</v>
      </c>
      <c r="C151" s="470">
        <v>315849</v>
      </c>
      <c r="D151" s="469">
        <v>12</v>
      </c>
      <c r="E151" s="470">
        <f t="shared" si="133"/>
        <v>3790188</v>
      </c>
      <c r="F151" s="470"/>
      <c r="G151" s="474">
        <v>245615.04</v>
      </c>
      <c r="H151" s="476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</v>
      </c>
      <c r="M151" s="470">
        <f t="shared" si="123"/>
        <v>908914.592</v>
      </c>
      <c r="N151" s="470">
        <f t="shared" si="124"/>
        <v>1154529.632</v>
      </c>
      <c r="O151" s="470">
        <f t="shared" si="125"/>
        <v>2635658.368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217488.25728</v>
      </c>
      <c r="U151" s="470"/>
      <c r="V151" s="470">
        <f t="shared" si="135"/>
        <v>441488.25728</v>
      </c>
      <c r="W151" s="471">
        <v>12</v>
      </c>
      <c r="X151" s="470">
        <f t="shared" si="131"/>
        <v>36790.6881066667</v>
      </c>
      <c r="Y151" s="476"/>
      <c r="Z151" s="470">
        <f t="shared" si="132"/>
        <v>36790.6881066667</v>
      </c>
      <c r="AA151" s="473">
        <v>21640.9528626667</v>
      </c>
      <c r="AB151" s="473">
        <f t="shared" si="134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343</v>
      </c>
      <c r="C152" s="470">
        <v>274459.75</v>
      </c>
      <c r="D152" s="469">
        <v>12</v>
      </c>
      <c r="E152" s="470">
        <f t="shared" si="133"/>
        <v>3293517</v>
      </c>
      <c r="F152" s="470">
        <v>0</v>
      </c>
      <c r="G152" s="474">
        <v>215481.36</v>
      </c>
      <c r="H152" s="476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</v>
      </c>
      <c r="M152" s="470">
        <f t="shared" si="123"/>
        <v>815607.128</v>
      </c>
      <c r="N152" s="470">
        <f t="shared" si="124"/>
        <v>1031088.488</v>
      </c>
      <c r="O152" s="470">
        <f t="shared" si="125"/>
        <v>2262428.512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</v>
      </c>
      <c r="U152" s="470"/>
      <c r="V152" s="470">
        <f t="shared" si="135"/>
        <v>363109.98752</v>
      </c>
      <c r="W152" s="471">
        <v>12</v>
      </c>
      <c r="X152" s="470">
        <f t="shared" si="131"/>
        <v>30259.1656266667</v>
      </c>
      <c r="Y152" s="476"/>
      <c r="Z152" s="470">
        <f t="shared" si="132"/>
        <v>30259.1656266667</v>
      </c>
      <c r="AA152" s="473">
        <v>17042.7138666667</v>
      </c>
      <c r="AB152" s="473">
        <f t="shared" si="134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345</v>
      </c>
      <c r="C153" s="470">
        <v>274459.75</v>
      </c>
      <c r="D153" s="469">
        <v>12</v>
      </c>
      <c r="E153" s="470">
        <f t="shared" si="133"/>
        <v>3293517</v>
      </c>
      <c r="F153" s="470">
        <v>0</v>
      </c>
      <c r="G153" s="474">
        <v>215481.36</v>
      </c>
      <c r="H153" s="476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</v>
      </c>
      <c r="M153" s="470">
        <f t="shared" si="123"/>
        <v>815607.128</v>
      </c>
      <c r="N153" s="470">
        <f t="shared" si="124"/>
        <v>1031088.488</v>
      </c>
      <c r="O153" s="470">
        <f t="shared" si="125"/>
        <v>2262428.512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</v>
      </c>
      <c r="U153" s="470"/>
      <c r="V153" s="470">
        <f t="shared" si="135"/>
        <v>363109.98752</v>
      </c>
      <c r="W153" s="471">
        <v>12</v>
      </c>
      <c r="X153" s="470">
        <f t="shared" si="131"/>
        <v>30259.1656266667</v>
      </c>
      <c r="Y153" s="476"/>
      <c r="Z153" s="470">
        <f t="shared" si="132"/>
        <v>30259.1656266667</v>
      </c>
      <c r="AA153" s="473">
        <v>17042.7138666667</v>
      </c>
      <c r="AB153" s="473">
        <f t="shared" si="134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347</v>
      </c>
      <c r="C154" s="470">
        <v>274459.75</v>
      </c>
      <c r="D154" s="469">
        <v>12</v>
      </c>
      <c r="E154" s="470">
        <f t="shared" si="133"/>
        <v>3293517</v>
      </c>
      <c r="F154" s="470">
        <v>0</v>
      </c>
      <c r="G154" s="474">
        <v>215481.36</v>
      </c>
      <c r="H154" s="476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</v>
      </c>
      <c r="M154" s="470">
        <f t="shared" si="123"/>
        <v>815607.128</v>
      </c>
      <c r="N154" s="470">
        <f t="shared" si="124"/>
        <v>1031088.488</v>
      </c>
      <c r="O154" s="470">
        <f t="shared" si="125"/>
        <v>2262428.512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</v>
      </c>
      <c r="U154" s="470"/>
      <c r="V154" s="470">
        <f t="shared" si="135"/>
        <v>363109.98752</v>
      </c>
      <c r="W154" s="471">
        <v>12</v>
      </c>
      <c r="X154" s="470">
        <f t="shared" si="131"/>
        <v>30259.1656266667</v>
      </c>
      <c r="Y154" s="476"/>
      <c r="Z154" s="470">
        <f t="shared" si="132"/>
        <v>30259.1656266667</v>
      </c>
      <c r="AA154" s="473">
        <v>17042.7138666667</v>
      </c>
      <c r="AB154" s="473">
        <f t="shared" si="134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349</v>
      </c>
      <c r="C155" s="470">
        <v>280631.916666667</v>
      </c>
      <c r="D155" s="469">
        <v>12</v>
      </c>
      <c r="E155" s="470">
        <f t="shared" si="133"/>
        <v>3367583</v>
      </c>
      <c r="F155" s="470">
        <v>0</v>
      </c>
      <c r="G155" s="474">
        <v>221406.64</v>
      </c>
      <c r="H155" s="476"/>
      <c r="I155" s="470">
        <f t="shared" si="121"/>
        <v>3146176.36</v>
      </c>
      <c r="J155" s="470">
        <v>200000</v>
      </c>
      <c r="K155" s="470">
        <v>0.2</v>
      </c>
      <c r="L155" s="470">
        <f t="shared" si="122"/>
        <v>629235.272000001</v>
      </c>
      <c r="M155" s="470">
        <f t="shared" si="123"/>
        <v>829235.272000001</v>
      </c>
      <c r="N155" s="470">
        <f t="shared" si="124"/>
        <v>1050641.912</v>
      </c>
      <c r="O155" s="470">
        <f t="shared" si="125"/>
        <v>2316941.088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150557.628480001</v>
      </c>
      <c r="U155" s="470"/>
      <c r="V155" s="470">
        <f t="shared" si="135"/>
        <v>374557.628480001</v>
      </c>
      <c r="W155" s="471">
        <v>12</v>
      </c>
      <c r="X155" s="470">
        <f t="shared" si="131"/>
        <v>31213.1357066667</v>
      </c>
      <c r="Y155" s="476"/>
      <c r="Z155" s="470">
        <f t="shared" si="132"/>
        <v>31213.1357066667</v>
      </c>
      <c r="AA155" s="473">
        <v>17572.8850026667</v>
      </c>
      <c r="AB155" s="473">
        <f t="shared" si="134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350</v>
      </c>
      <c r="C156" s="470">
        <v>274459.75</v>
      </c>
      <c r="D156" s="469">
        <v>12</v>
      </c>
      <c r="E156" s="470">
        <f t="shared" si="133"/>
        <v>3293517</v>
      </c>
      <c r="F156" s="470">
        <v>0</v>
      </c>
      <c r="G156" s="474">
        <v>215481.36</v>
      </c>
      <c r="H156" s="476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</v>
      </c>
      <c r="M156" s="470">
        <f t="shared" si="123"/>
        <v>815607.128</v>
      </c>
      <c r="N156" s="470">
        <f t="shared" si="124"/>
        <v>1031088.488</v>
      </c>
      <c r="O156" s="470">
        <f t="shared" si="125"/>
        <v>2262428.512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</v>
      </c>
      <c r="U156" s="470"/>
      <c r="V156" s="470">
        <f t="shared" si="135"/>
        <v>363109.98752</v>
      </c>
      <c r="W156" s="471">
        <v>12</v>
      </c>
      <c r="X156" s="470">
        <f t="shared" si="131"/>
        <v>30259.1656266667</v>
      </c>
      <c r="Y156" s="476"/>
      <c r="Z156" s="470">
        <f t="shared" si="132"/>
        <v>30259.1656266667</v>
      </c>
      <c r="AA156" s="473">
        <v>17042.7138666667</v>
      </c>
      <c r="AB156" s="473">
        <f t="shared" si="134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359</v>
      </c>
      <c r="C157" s="470">
        <v>202598.166666667</v>
      </c>
      <c r="D157" s="469">
        <v>12</v>
      </c>
      <c r="E157" s="470">
        <f t="shared" si="133"/>
        <v>2431178</v>
      </c>
      <c r="F157" s="470">
        <f>263.19*12</f>
        <v>3158.28</v>
      </c>
      <c r="G157" s="474">
        <v>161854.24</v>
      </c>
      <c r="H157" s="476"/>
      <c r="I157" s="470">
        <f t="shared" si="121"/>
        <v>2266165.48</v>
      </c>
      <c r="J157" s="470">
        <v>200000</v>
      </c>
      <c r="K157" s="470">
        <v>0.2</v>
      </c>
      <c r="L157" s="470">
        <f t="shared" si="122"/>
        <v>453233.096000001</v>
      </c>
      <c r="M157" s="470">
        <f t="shared" si="123"/>
        <v>653233.096000001</v>
      </c>
      <c r="N157" s="470">
        <f t="shared" si="124"/>
        <v>818245.616000001</v>
      </c>
      <c r="O157" s="470">
        <f t="shared" si="125"/>
        <v>1612932.384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2715.8006400007</v>
      </c>
      <c r="U157" s="470"/>
      <c r="V157" s="470">
        <f t="shared" si="135"/>
        <v>226715.800640001</v>
      </c>
      <c r="W157" s="471">
        <v>12</v>
      </c>
      <c r="X157" s="470">
        <f t="shared" si="131"/>
        <v>18892.9833866667</v>
      </c>
      <c r="Y157" s="476"/>
      <c r="Z157" s="470">
        <f t="shared" si="132"/>
        <v>18892.9833866667</v>
      </c>
      <c r="AA157" s="473">
        <v>10739.3048</v>
      </c>
      <c r="AB157" s="473">
        <f t="shared" si="134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362</v>
      </c>
      <c r="C158" s="470">
        <v>205598.166666667</v>
      </c>
      <c r="D158" s="469">
        <v>12</v>
      </c>
      <c r="E158" s="470">
        <f t="shared" si="133"/>
        <v>2467178</v>
      </c>
      <c r="F158" s="470"/>
      <c r="G158" s="474">
        <v>161854.24</v>
      </c>
      <c r="H158" s="476"/>
      <c r="I158" s="470">
        <f t="shared" si="121"/>
        <v>2305323.76</v>
      </c>
      <c r="J158" s="470">
        <v>200000</v>
      </c>
      <c r="K158" s="470">
        <v>0.2</v>
      </c>
      <c r="L158" s="470">
        <f t="shared" si="122"/>
        <v>461064.752000001</v>
      </c>
      <c r="M158" s="470">
        <f t="shared" si="123"/>
        <v>661064.752000001</v>
      </c>
      <c r="N158" s="470">
        <f t="shared" si="124"/>
        <v>822918.992000001</v>
      </c>
      <c r="O158" s="470">
        <f t="shared" si="125"/>
        <v>1644259.008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9294.39168000067</v>
      </c>
      <c r="U158" s="470"/>
      <c r="V158" s="470">
        <f t="shared" si="135"/>
        <v>233294.391680001</v>
      </c>
      <c r="W158" s="471">
        <v>12</v>
      </c>
      <c r="X158" s="470">
        <f t="shared" si="131"/>
        <v>19441.1993066667</v>
      </c>
      <c r="Y158" s="476"/>
      <c r="Z158" s="470">
        <f t="shared" si="132"/>
        <v>19441.1993066667</v>
      </c>
      <c r="AA158" s="473">
        <v>11232.4576266667</v>
      </c>
      <c r="AB158" s="473">
        <f t="shared" si="134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666</v>
      </c>
      <c r="C159" s="470">
        <v>202598.166666667</v>
      </c>
      <c r="D159" s="469">
        <v>12</v>
      </c>
      <c r="E159" s="470">
        <f t="shared" si="133"/>
        <v>2431178</v>
      </c>
      <c r="F159" s="470"/>
      <c r="G159" s="474">
        <v>161854.24</v>
      </c>
      <c r="H159" s="476"/>
      <c r="I159" s="470">
        <f t="shared" si="121"/>
        <v>2269323.76</v>
      </c>
      <c r="J159" s="470">
        <v>200000</v>
      </c>
      <c r="K159" s="470">
        <v>0.2</v>
      </c>
      <c r="L159" s="470">
        <f t="shared" si="122"/>
        <v>453864.752000001</v>
      </c>
      <c r="M159" s="470">
        <f t="shared" si="123"/>
        <v>653864.752000001</v>
      </c>
      <c r="N159" s="470">
        <f t="shared" si="124"/>
        <v>815718.992000001</v>
      </c>
      <c r="O159" s="470">
        <f t="shared" si="125"/>
        <v>1615459.008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3246.39168000067</v>
      </c>
      <c r="U159" s="470"/>
      <c r="V159" s="470">
        <f t="shared" si="135"/>
        <v>227246.391680001</v>
      </c>
      <c r="W159" s="471">
        <v>12</v>
      </c>
      <c r="X159" s="470">
        <f t="shared" si="131"/>
        <v>18937.1993066667</v>
      </c>
      <c r="Y159" s="476"/>
      <c r="Z159" s="470">
        <f t="shared" si="132"/>
        <v>18937.1993066667</v>
      </c>
      <c r="AA159" s="473">
        <v>10776.4576266667</v>
      </c>
      <c r="AB159" s="473">
        <f t="shared" si="134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363</v>
      </c>
      <c r="C160" s="470">
        <v>202598.166666667</v>
      </c>
      <c r="D160" s="469">
        <v>12</v>
      </c>
      <c r="E160" s="470">
        <f t="shared" si="133"/>
        <v>2431178</v>
      </c>
      <c r="F160" s="470">
        <f>263.19*12</f>
        <v>3158.28</v>
      </c>
      <c r="G160" s="474">
        <v>161854.24</v>
      </c>
      <c r="H160" s="476"/>
      <c r="I160" s="470">
        <f t="shared" si="121"/>
        <v>2266165.48</v>
      </c>
      <c r="J160" s="470">
        <v>200000</v>
      </c>
      <c r="K160" s="470">
        <v>0.2</v>
      </c>
      <c r="L160" s="470">
        <f t="shared" si="122"/>
        <v>453233.096000001</v>
      </c>
      <c r="M160" s="470">
        <f t="shared" si="123"/>
        <v>653233.096000001</v>
      </c>
      <c r="N160" s="470">
        <f t="shared" si="124"/>
        <v>818245.616000001</v>
      </c>
      <c r="O160" s="470">
        <f t="shared" si="125"/>
        <v>1612932.384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2715.8006400007</v>
      </c>
      <c r="U160" s="470"/>
      <c r="V160" s="470">
        <f t="shared" si="135"/>
        <v>226715.800640001</v>
      </c>
      <c r="W160" s="471">
        <v>12</v>
      </c>
      <c r="X160" s="470">
        <f t="shared" si="131"/>
        <v>18892.9833866667</v>
      </c>
      <c r="Y160" s="476"/>
      <c r="Z160" s="470">
        <f t="shared" si="132"/>
        <v>18892.9833866667</v>
      </c>
      <c r="AA160" s="473">
        <v>10739.3048</v>
      </c>
      <c r="AB160" s="473">
        <f t="shared" si="134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364</v>
      </c>
      <c r="C161" s="470">
        <v>202598.166666667</v>
      </c>
      <c r="D161" s="469">
        <v>12</v>
      </c>
      <c r="E161" s="470">
        <f t="shared" si="133"/>
        <v>2431178</v>
      </c>
      <c r="F161" s="470"/>
      <c r="G161" s="474">
        <v>161854.24</v>
      </c>
      <c r="H161" s="476"/>
      <c r="I161" s="470">
        <f t="shared" si="121"/>
        <v>2269323.76</v>
      </c>
      <c r="J161" s="470">
        <v>200000</v>
      </c>
      <c r="K161" s="470">
        <v>0.2</v>
      </c>
      <c r="L161" s="470">
        <f t="shared" si="122"/>
        <v>453864.752000001</v>
      </c>
      <c r="M161" s="470">
        <f t="shared" si="123"/>
        <v>653864.752000001</v>
      </c>
      <c r="N161" s="470">
        <f t="shared" si="124"/>
        <v>815718.992000001</v>
      </c>
      <c r="O161" s="470">
        <f t="shared" si="125"/>
        <v>1615459.008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3246.39168000067</v>
      </c>
      <c r="U161" s="470"/>
      <c r="V161" s="470">
        <f t="shared" si="135"/>
        <v>227246.391680001</v>
      </c>
      <c r="W161" s="471">
        <v>12</v>
      </c>
      <c r="X161" s="470">
        <f t="shared" si="131"/>
        <v>18937.1993066667</v>
      </c>
      <c r="Y161" s="476"/>
      <c r="Z161" s="470">
        <f t="shared" si="132"/>
        <v>18937.1993066667</v>
      </c>
      <c r="AA161" s="473">
        <v>10776.4576266667</v>
      </c>
      <c r="AB161" s="473">
        <f t="shared" si="134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365</v>
      </c>
      <c r="C162" s="470">
        <v>200336.833333333</v>
      </c>
      <c r="D162" s="469">
        <v>12</v>
      </c>
      <c r="E162" s="470">
        <f t="shared" si="133"/>
        <v>2404042</v>
      </c>
      <c r="F162" s="470"/>
      <c r="G162" s="474">
        <v>156803.36</v>
      </c>
      <c r="H162" s="476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449447.727999999</v>
      </c>
      <c r="M162" s="470">
        <f t="shared" si="123"/>
        <v>649447.727999999</v>
      </c>
      <c r="N162" s="470">
        <f t="shared" si="124"/>
        <v>806251.087999999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94580.2732799994</v>
      </c>
      <c r="T162" s="470">
        <f t="shared" si="130"/>
        <v>0</v>
      </c>
      <c r="U162" s="470"/>
      <c r="V162" s="470">
        <f t="shared" si="135"/>
        <v>223580.273279999</v>
      </c>
      <c r="W162" s="471">
        <v>12</v>
      </c>
      <c r="X162" s="470">
        <f t="shared" si="131"/>
        <v>18631.6894399999</v>
      </c>
      <c r="Y162" s="476"/>
      <c r="Z162" s="470">
        <f t="shared" si="132"/>
        <v>18631.6894399999</v>
      </c>
      <c r="AA162" s="473">
        <v>11232.4576266667</v>
      </c>
      <c r="AB162" s="473">
        <f t="shared" si="134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367</v>
      </c>
      <c r="C163" s="470">
        <v>197336.833333333</v>
      </c>
      <c r="D163" s="469">
        <v>12</v>
      </c>
      <c r="E163" s="470">
        <f t="shared" si="133"/>
        <v>2368042</v>
      </c>
      <c r="F163" s="470"/>
      <c r="G163" s="474">
        <v>156803.36</v>
      </c>
      <c r="H163" s="476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442247.727999999</v>
      </c>
      <c r="M163" s="470">
        <f t="shared" si="123"/>
        <v>642247.727999999</v>
      </c>
      <c r="N163" s="470">
        <f t="shared" si="124"/>
        <v>799051.087999999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89108.2732799994</v>
      </c>
      <c r="T163" s="470">
        <f t="shared" si="130"/>
        <v>0</v>
      </c>
      <c r="U163" s="470"/>
      <c r="V163" s="470">
        <f t="shared" si="135"/>
        <v>218108.273279999</v>
      </c>
      <c r="W163" s="471">
        <v>12</v>
      </c>
      <c r="X163" s="470">
        <f t="shared" si="131"/>
        <v>18175.6894399999</v>
      </c>
      <c r="Y163" s="476"/>
      <c r="Z163" s="470">
        <f t="shared" si="132"/>
        <v>18175.6894399999</v>
      </c>
      <c r="AA163" s="473">
        <v>10776.4576266667</v>
      </c>
      <c r="AB163" s="473">
        <f t="shared" si="134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368</v>
      </c>
      <c r="C164" s="470">
        <v>200336.833333333</v>
      </c>
      <c r="D164" s="469">
        <v>12</v>
      </c>
      <c r="E164" s="470">
        <f t="shared" si="133"/>
        <v>2404042</v>
      </c>
      <c r="F164" s="470"/>
      <c r="G164" s="474">
        <v>156803.36</v>
      </c>
      <c r="H164" s="476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449447.727999999</v>
      </c>
      <c r="M164" s="470">
        <f t="shared" si="123"/>
        <v>649447.727999999</v>
      </c>
      <c r="N164" s="470">
        <f t="shared" si="124"/>
        <v>806251.087999999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94580.2732799994</v>
      </c>
      <c r="T164" s="470">
        <f t="shared" si="130"/>
        <v>0</v>
      </c>
      <c r="U164" s="470"/>
      <c r="V164" s="470">
        <f t="shared" si="135"/>
        <v>223580.273279999</v>
      </c>
      <c r="W164" s="471">
        <v>12</v>
      </c>
      <c r="X164" s="470">
        <f t="shared" si="131"/>
        <v>18631.6894399999</v>
      </c>
      <c r="Y164" s="476"/>
      <c r="Z164" s="470">
        <f t="shared" si="132"/>
        <v>18631.6894399999</v>
      </c>
      <c r="AA164" s="473">
        <v>11232.4576266667</v>
      </c>
      <c r="AB164" s="473">
        <f t="shared" si="134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369</v>
      </c>
      <c r="C165" s="470">
        <v>197336.833333333</v>
      </c>
      <c r="D165" s="469">
        <v>12</v>
      </c>
      <c r="E165" s="470">
        <f t="shared" si="133"/>
        <v>2368042</v>
      </c>
      <c r="F165" s="470"/>
      <c r="G165" s="474">
        <v>156803.36</v>
      </c>
      <c r="H165" s="476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442247.727999999</v>
      </c>
      <c r="M165" s="470">
        <f t="shared" si="123"/>
        <v>642247.727999999</v>
      </c>
      <c r="N165" s="470">
        <f t="shared" si="124"/>
        <v>799051.087999999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89108.2732799994</v>
      </c>
      <c r="T165" s="470">
        <f t="shared" si="130"/>
        <v>0</v>
      </c>
      <c r="U165" s="470"/>
      <c r="V165" s="470">
        <f t="shared" si="135"/>
        <v>218108.273279999</v>
      </c>
      <c r="W165" s="471">
        <v>12</v>
      </c>
      <c r="X165" s="470">
        <f t="shared" si="131"/>
        <v>18175.6894399999</v>
      </c>
      <c r="Y165" s="476"/>
      <c r="Z165" s="470">
        <f t="shared" si="132"/>
        <v>18175.6894399999</v>
      </c>
      <c r="AA165" s="473">
        <v>10776.4576266667</v>
      </c>
      <c r="AB165" s="473">
        <f t="shared" si="134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370</v>
      </c>
      <c r="C166" s="470">
        <v>197336.833333333</v>
      </c>
      <c r="D166" s="469">
        <v>12</v>
      </c>
      <c r="E166" s="470">
        <f t="shared" si="133"/>
        <v>2368042</v>
      </c>
      <c r="F166" s="470"/>
      <c r="G166" s="474">
        <v>156803.36</v>
      </c>
      <c r="H166" s="476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442247.727999999</v>
      </c>
      <c r="M166" s="470">
        <f t="shared" si="123"/>
        <v>642247.727999999</v>
      </c>
      <c r="N166" s="470">
        <f t="shared" si="124"/>
        <v>799051.087999999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89108.2732799994</v>
      </c>
      <c r="T166" s="470">
        <f t="shared" si="130"/>
        <v>0</v>
      </c>
      <c r="U166" s="470"/>
      <c r="V166" s="470">
        <f t="shared" si="135"/>
        <v>218108.273279999</v>
      </c>
      <c r="W166" s="471">
        <v>12</v>
      </c>
      <c r="X166" s="470">
        <f t="shared" si="131"/>
        <v>18175.6894399999</v>
      </c>
      <c r="Y166" s="476"/>
      <c r="Z166" s="470">
        <f t="shared" si="132"/>
        <v>18175.6894399999</v>
      </c>
      <c r="AA166" s="473">
        <v>10776.4576266667</v>
      </c>
      <c r="AB166" s="473">
        <f t="shared" si="134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357</v>
      </c>
      <c r="C167" s="470">
        <v>200336.833333333</v>
      </c>
      <c r="D167" s="469">
        <v>12</v>
      </c>
      <c r="E167" s="470">
        <f t="shared" si="133"/>
        <v>2404042</v>
      </c>
      <c r="F167" s="470"/>
      <c r="G167" s="474">
        <v>156803.36</v>
      </c>
      <c r="H167" s="476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449447.727999999</v>
      </c>
      <c r="M167" s="470">
        <f t="shared" si="123"/>
        <v>649447.727999999</v>
      </c>
      <c r="N167" s="470">
        <f t="shared" si="124"/>
        <v>806251.087999999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94580.2732799994</v>
      </c>
      <c r="T167" s="470">
        <f t="shared" si="130"/>
        <v>0</v>
      </c>
      <c r="U167" s="470"/>
      <c r="V167" s="470">
        <f t="shared" si="135"/>
        <v>223580.273279999</v>
      </c>
      <c r="W167" s="471">
        <v>12</v>
      </c>
      <c r="X167" s="470">
        <f t="shared" si="131"/>
        <v>18631.6894399999</v>
      </c>
      <c r="Y167" s="476"/>
      <c r="Z167" s="470">
        <f t="shared" si="132"/>
        <v>18631.6894399999</v>
      </c>
      <c r="AA167" s="473">
        <v>11232.4576266667</v>
      </c>
      <c r="AB167" s="473">
        <f t="shared" si="134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371</v>
      </c>
      <c r="C168" s="470">
        <v>189814.166666667</v>
      </c>
      <c r="D168" s="469">
        <v>12</v>
      </c>
      <c r="E168" s="470">
        <f t="shared" si="133"/>
        <v>2277770</v>
      </c>
      <c r="F168" s="470"/>
      <c r="G168" s="474">
        <v>146701.6</v>
      </c>
      <c r="H168" s="476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426213.680000001</v>
      </c>
      <c r="M168" s="470">
        <f t="shared" si="123"/>
        <v>626213.680000001</v>
      </c>
      <c r="N168" s="470">
        <f t="shared" si="124"/>
        <v>772915.280000001</v>
      </c>
      <c r="O168" s="470">
        <f t="shared" si="125"/>
        <v>1504854.72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76922.3968000007</v>
      </c>
      <c r="T168" s="470">
        <f t="shared" si="130"/>
        <v>0</v>
      </c>
      <c r="U168" s="470"/>
      <c r="V168" s="470">
        <f t="shared" si="135"/>
        <v>205922.396800001</v>
      </c>
      <c r="W168" s="471">
        <v>12</v>
      </c>
      <c r="X168" s="470">
        <f t="shared" si="131"/>
        <v>17160.1997333334</v>
      </c>
      <c r="Y168" s="476"/>
      <c r="Z168" s="470">
        <f t="shared" si="132"/>
        <v>17160.1997333334</v>
      </c>
      <c r="AA168" s="473">
        <v>9152.59979</v>
      </c>
      <c r="AB168" s="473">
        <f t="shared" si="134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373</v>
      </c>
      <c r="C169" s="470">
        <v>189814.166666667</v>
      </c>
      <c r="D169" s="469">
        <v>12</v>
      </c>
      <c r="E169" s="470">
        <f t="shared" si="133"/>
        <v>2277770</v>
      </c>
      <c r="F169" s="470"/>
      <c r="G169" s="474">
        <v>146701.6</v>
      </c>
      <c r="H169" s="476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426213.680000001</v>
      </c>
      <c r="M169" s="470">
        <f t="shared" si="123"/>
        <v>626213.680000001</v>
      </c>
      <c r="N169" s="470">
        <f t="shared" si="124"/>
        <v>772915.280000001</v>
      </c>
      <c r="O169" s="470">
        <f t="shared" si="125"/>
        <v>1504854.72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76922.3968000007</v>
      </c>
      <c r="T169" s="470">
        <f t="shared" si="130"/>
        <v>0</v>
      </c>
      <c r="U169" s="470"/>
      <c r="V169" s="470">
        <f t="shared" si="135"/>
        <v>205922.396800001</v>
      </c>
      <c r="W169" s="471">
        <v>12</v>
      </c>
      <c r="X169" s="470">
        <f t="shared" si="131"/>
        <v>17160.1997333334</v>
      </c>
      <c r="Y169" s="476"/>
      <c r="Z169" s="470">
        <f t="shared" si="132"/>
        <v>17160.1997333334</v>
      </c>
      <c r="AA169" s="473">
        <v>9152.59979</v>
      </c>
      <c r="AB169" s="473">
        <f t="shared" si="134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374</v>
      </c>
      <c r="C170" s="470">
        <v>195075.5</v>
      </c>
      <c r="D170" s="469">
        <v>12</v>
      </c>
      <c r="E170" s="470">
        <f t="shared" si="133"/>
        <v>2340906</v>
      </c>
      <c r="F170" s="470"/>
      <c r="G170" s="474">
        <v>151752.48</v>
      </c>
      <c r="H170" s="476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</v>
      </c>
      <c r="M170" s="470">
        <f t="shared" si="123"/>
        <v>637830.704</v>
      </c>
      <c r="N170" s="470">
        <f t="shared" si="124"/>
        <v>789583.184</v>
      </c>
      <c r="O170" s="470">
        <f t="shared" si="125"/>
        <v>1551322.816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</v>
      </c>
      <c r="T170" s="470">
        <f t="shared" si="130"/>
        <v>0</v>
      </c>
      <c r="U170" s="470"/>
      <c r="V170" s="470">
        <f t="shared" si="135"/>
        <v>214751.33504</v>
      </c>
      <c r="W170" s="471">
        <v>12</v>
      </c>
      <c r="X170" s="470">
        <f t="shared" si="131"/>
        <v>17895.9445866667</v>
      </c>
      <c r="Y170" s="476"/>
      <c r="Z170" s="470">
        <f t="shared" si="132"/>
        <v>17895.9445866667</v>
      </c>
      <c r="AA170" s="473">
        <v>9504.20414</v>
      </c>
      <c r="AB170" s="473">
        <f t="shared" si="134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376</v>
      </c>
      <c r="C171" s="470">
        <v>121145.75</v>
      </c>
      <c r="D171" s="469">
        <v>12</v>
      </c>
      <c r="E171" s="470">
        <f t="shared" si="133"/>
        <v>1453749</v>
      </c>
      <c r="F171" s="470"/>
      <c r="G171" s="474">
        <v>90379.92</v>
      </c>
      <c r="H171" s="476"/>
      <c r="I171" s="470">
        <f t="shared" si="121"/>
        <v>1363369.08</v>
      </c>
      <c r="J171" s="470">
        <v>200000</v>
      </c>
      <c r="K171" s="470">
        <v>0.2</v>
      </c>
      <c r="L171" s="470">
        <f t="shared" si="122"/>
        <v>272673.816</v>
      </c>
      <c r="M171" s="470">
        <f t="shared" si="123"/>
        <v>472673.816</v>
      </c>
      <c r="N171" s="470">
        <f t="shared" si="124"/>
        <v>563053.736</v>
      </c>
      <c r="O171" s="470">
        <f t="shared" si="125"/>
        <v>890695.264</v>
      </c>
      <c r="P171" s="470">
        <f t="shared" si="126"/>
        <v>21000</v>
      </c>
      <c r="Q171" s="470">
        <f t="shared" si="127"/>
        <v>33000</v>
      </c>
      <c r="R171" s="470">
        <f t="shared" si="128"/>
        <v>43604.2896</v>
      </c>
      <c r="S171" s="470">
        <f t="shared" si="129"/>
        <v>0</v>
      </c>
      <c r="T171" s="470">
        <f t="shared" si="130"/>
        <v>0</v>
      </c>
      <c r="U171" s="470"/>
      <c r="V171" s="470">
        <f t="shared" si="135"/>
        <v>97604.2896</v>
      </c>
      <c r="W171" s="471">
        <v>12</v>
      </c>
      <c r="X171" s="470">
        <f t="shared" si="131"/>
        <v>8133.6908</v>
      </c>
      <c r="Y171" s="476"/>
      <c r="Z171" s="470">
        <f t="shared" si="132"/>
        <v>8133.6908</v>
      </c>
      <c r="AA171" s="473">
        <v>4365.33075466667</v>
      </c>
      <c r="AB171" s="473">
        <f t="shared" si="134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378</v>
      </c>
      <c r="C172" s="470">
        <v>118598</v>
      </c>
      <c r="D172" s="469">
        <v>12</v>
      </c>
      <c r="E172" s="470">
        <f t="shared" si="133"/>
        <v>1423176</v>
      </c>
      <c r="F172" s="470"/>
      <c r="G172" s="474">
        <v>87934.08</v>
      </c>
      <c r="H172" s="476"/>
      <c r="I172" s="470">
        <f t="shared" si="121"/>
        <v>1335241.92</v>
      </c>
      <c r="J172" s="470">
        <v>200000</v>
      </c>
      <c r="K172" s="470">
        <v>0.2</v>
      </c>
      <c r="L172" s="470">
        <f t="shared" si="122"/>
        <v>267048.384</v>
      </c>
      <c r="M172" s="470">
        <f t="shared" si="123"/>
        <v>467048.384</v>
      </c>
      <c r="N172" s="470">
        <f t="shared" si="124"/>
        <v>554982.464</v>
      </c>
      <c r="O172" s="470">
        <f t="shared" si="125"/>
        <v>868193.536</v>
      </c>
      <c r="P172" s="470">
        <f t="shared" si="126"/>
        <v>21000</v>
      </c>
      <c r="Q172" s="470">
        <f t="shared" si="127"/>
        <v>33000</v>
      </c>
      <c r="R172" s="470">
        <f t="shared" si="128"/>
        <v>40229.0304</v>
      </c>
      <c r="S172" s="470">
        <f t="shared" si="129"/>
        <v>0</v>
      </c>
      <c r="T172" s="470">
        <f t="shared" si="130"/>
        <v>0</v>
      </c>
      <c r="U172" s="470"/>
      <c r="V172" s="470">
        <f t="shared" si="135"/>
        <v>94229.0304</v>
      </c>
      <c r="W172" s="471">
        <v>12</v>
      </c>
      <c r="X172" s="470">
        <f t="shared" si="131"/>
        <v>7852.4192</v>
      </c>
      <c r="Y172" s="476"/>
      <c r="Z172" s="470">
        <f t="shared" si="132"/>
        <v>7852.4192</v>
      </c>
      <c r="AA172" s="473">
        <v>4227.52372266667</v>
      </c>
      <c r="AB172" s="473">
        <f t="shared" si="134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379</v>
      </c>
      <c r="C173" s="470">
        <v>115598</v>
      </c>
      <c r="D173" s="469">
        <v>12</v>
      </c>
      <c r="E173" s="470">
        <f t="shared" si="133"/>
        <v>1387176</v>
      </c>
      <c r="F173" s="470"/>
      <c r="G173" s="474">
        <v>87934.08</v>
      </c>
      <c r="H173" s="476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259848.384</v>
      </c>
      <c r="M173" s="470">
        <f t="shared" si="123"/>
        <v>459848.384</v>
      </c>
      <c r="N173" s="470">
        <f t="shared" si="124"/>
        <v>547782.464</v>
      </c>
      <c r="O173" s="470">
        <f t="shared" si="125"/>
        <v>839393.536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</v>
      </c>
      <c r="W173" s="471">
        <v>12</v>
      </c>
      <c r="X173" s="470">
        <f t="shared" si="131"/>
        <v>7492.4192</v>
      </c>
      <c r="Y173" s="476"/>
      <c r="Z173" s="470">
        <f t="shared" si="132"/>
        <v>7492.4192</v>
      </c>
      <c r="AA173" s="473">
        <v>3963.52372266667</v>
      </c>
      <c r="AB173" s="473">
        <f t="shared" si="134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380</v>
      </c>
      <c r="C174" s="470">
        <v>118598</v>
      </c>
      <c r="D174" s="469">
        <v>12</v>
      </c>
      <c r="E174" s="470">
        <f t="shared" si="133"/>
        <v>1423176</v>
      </c>
      <c r="F174" s="470"/>
      <c r="G174" s="474">
        <v>87934.08</v>
      </c>
      <c r="H174" s="476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</v>
      </c>
      <c r="M174" s="470">
        <f t="shared" si="123"/>
        <v>467048.384</v>
      </c>
      <c r="N174" s="470">
        <f t="shared" si="124"/>
        <v>554982.464</v>
      </c>
      <c r="O174" s="470">
        <f t="shared" si="125"/>
        <v>868193.536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40229.0304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94229.0304</v>
      </c>
      <c r="W174" s="471">
        <v>12</v>
      </c>
      <c r="X174" s="470">
        <f t="shared" si="131"/>
        <v>7852.4192</v>
      </c>
      <c r="Y174" s="476"/>
      <c r="Z174" s="470">
        <f t="shared" si="132"/>
        <v>7852.4192</v>
      </c>
      <c r="AA174" s="473">
        <v>4227.52372266667</v>
      </c>
      <c r="AB174" s="473">
        <f t="shared" si="134"/>
        <v>3624.89547733333</v>
      </c>
      <c r="AC174" s="473"/>
      <c r="AD174" s="473"/>
      <c r="AE174" s="473"/>
    </row>
    <row r="175" ht="18" spans="1:31">
      <c r="A175" s="459"/>
      <c r="B175" s="11" t="s">
        <v>381</v>
      </c>
      <c r="C175" s="483">
        <v>115598</v>
      </c>
      <c r="D175" s="469">
        <v>12</v>
      </c>
      <c r="E175" s="470">
        <f t="shared" si="133"/>
        <v>1387176</v>
      </c>
      <c r="F175" s="470"/>
      <c r="G175" s="474">
        <v>87934.08</v>
      </c>
      <c r="H175" s="476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259848.384</v>
      </c>
      <c r="M175" s="470">
        <f t="shared" si="123"/>
        <v>459848.384</v>
      </c>
      <c r="N175" s="470">
        <f t="shared" si="124"/>
        <v>547782.464</v>
      </c>
      <c r="O175" s="470">
        <f t="shared" si="125"/>
        <v>839393.536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</v>
      </c>
      <c r="W175" s="471">
        <v>12</v>
      </c>
      <c r="X175" s="470">
        <f t="shared" si="131"/>
        <v>7492.4192</v>
      </c>
      <c r="Y175" s="476"/>
      <c r="Z175" s="470">
        <f t="shared" si="132"/>
        <v>7492.4192</v>
      </c>
      <c r="AA175" s="473">
        <v>3963.52372266667</v>
      </c>
      <c r="AB175" s="473">
        <f t="shared" si="134"/>
        <v>3528.89547733333</v>
      </c>
      <c r="AC175" s="473"/>
      <c r="AD175" s="473"/>
      <c r="AE175" s="473"/>
    </row>
    <row r="176" ht="18" spans="1:31">
      <c r="A176" s="459"/>
      <c r="B176" s="11" t="s">
        <v>382</v>
      </c>
      <c r="C176" s="483">
        <v>118598</v>
      </c>
      <c r="D176" s="469">
        <v>12</v>
      </c>
      <c r="E176" s="470">
        <f t="shared" si="133"/>
        <v>1423176</v>
      </c>
      <c r="F176" s="470"/>
      <c r="G176" s="474">
        <v>87934.08</v>
      </c>
      <c r="H176" s="476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</v>
      </c>
      <c r="M176" s="470">
        <f t="shared" si="123"/>
        <v>467048.384</v>
      </c>
      <c r="N176" s="470">
        <f t="shared" si="124"/>
        <v>554982.464</v>
      </c>
      <c r="O176" s="470">
        <f t="shared" si="125"/>
        <v>868193.536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40229.0304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94229.0304</v>
      </c>
      <c r="W176" s="471">
        <v>12</v>
      </c>
      <c r="X176" s="470">
        <f t="shared" si="131"/>
        <v>7852.4192</v>
      </c>
      <c r="Y176" s="476"/>
      <c r="Z176" s="470">
        <f t="shared" si="132"/>
        <v>7852.4192</v>
      </c>
      <c r="AA176" s="473">
        <v>4227.52372266667</v>
      </c>
      <c r="AB176" s="473">
        <f t="shared" si="134"/>
        <v>3624.89547733333</v>
      </c>
    </row>
    <row r="177" ht="18" spans="2:28">
      <c r="B177" s="18" t="s">
        <v>383</v>
      </c>
      <c r="C177" s="473">
        <v>115598</v>
      </c>
      <c r="D177" s="469">
        <v>12</v>
      </c>
      <c r="E177" s="470">
        <f t="shared" si="133"/>
        <v>1387176</v>
      </c>
      <c r="G177" s="474">
        <v>87934.08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259848.384</v>
      </c>
      <c r="M177" s="470">
        <f t="shared" si="123"/>
        <v>459848.384</v>
      </c>
      <c r="N177" s="470">
        <f t="shared" si="124"/>
        <v>547782.464</v>
      </c>
      <c r="O177" s="470">
        <f t="shared" si="125"/>
        <v>839393.536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</v>
      </c>
      <c r="W177" s="471">
        <v>12</v>
      </c>
      <c r="X177" s="470">
        <f t="shared" si="131"/>
        <v>7492.4192</v>
      </c>
      <c r="Z177" s="470">
        <f t="shared" si="132"/>
        <v>7492.4192</v>
      </c>
      <c r="AA177" s="473">
        <v>3963.52372266667</v>
      </c>
      <c r="AB177" s="473">
        <f t="shared" si="134"/>
        <v>3528.89547733333</v>
      </c>
    </row>
    <row r="178" ht="18" spans="2:28">
      <c r="B178" s="18" t="s">
        <v>385</v>
      </c>
      <c r="C178" s="473">
        <v>118598</v>
      </c>
      <c r="D178" s="469">
        <v>12</v>
      </c>
      <c r="E178" s="470">
        <f t="shared" si="133"/>
        <v>1423176</v>
      </c>
      <c r="G178" s="474">
        <v>87934.08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</v>
      </c>
      <c r="M178" s="470">
        <f t="shared" si="123"/>
        <v>467048.384</v>
      </c>
      <c r="N178" s="470">
        <f t="shared" si="124"/>
        <v>554982.464</v>
      </c>
      <c r="O178" s="470">
        <f t="shared" si="125"/>
        <v>868193.536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40229.0304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94229.0304</v>
      </c>
      <c r="W178" s="471">
        <v>12</v>
      </c>
      <c r="X178" s="470">
        <f t="shared" si="131"/>
        <v>7852.4192</v>
      </c>
      <c r="Z178" s="470">
        <f t="shared" si="132"/>
        <v>7852.4192</v>
      </c>
      <c r="AA178" s="473">
        <v>4227.52372266667</v>
      </c>
      <c r="AB178" s="473">
        <f t="shared" si="134"/>
        <v>3624.89547733333</v>
      </c>
    </row>
    <row r="179" ht="18" spans="2:28">
      <c r="B179" s="11" t="s">
        <v>668</v>
      </c>
      <c r="C179" s="473">
        <v>118598</v>
      </c>
      <c r="D179" s="469">
        <v>12</v>
      </c>
      <c r="E179" s="470">
        <f t="shared" si="133"/>
        <v>1423176</v>
      </c>
      <c r="G179" s="474">
        <v>87934.08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</v>
      </c>
      <c r="M179" s="470">
        <f t="shared" si="123"/>
        <v>467048.384</v>
      </c>
      <c r="N179" s="470">
        <f t="shared" si="124"/>
        <v>554982.464</v>
      </c>
      <c r="O179" s="470">
        <f t="shared" si="125"/>
        <v>868193.536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40229.0304</v>
      </c>
      <c r="S179" s="470">
        <f t="shared" si="129"/>
        <v>0</v>
      </c>
      <c r="T179" s="470">
        <f t="shared" si="130"/>
        <v>0</v>
      </c>
      <c r="V179" s="470">
        <f t="shared" si="135"/>
        <v>94229.0304</v>
      </c>
      <c r="W179" s="471">
        <v>12</v>
      </c>
      <c r="X179" s="470">
        <f t="shared" si="131"/>
        <v>7852.4192</v>
      </c>
      <c r="Z179" s="470">
        <f t="shared" si="132"/>
        <v>7852.4192</v>
      </c>
      <c r="AA179" s="473">
        <v>4089.71669066667</v>
      </c>
      <c r="AB179" s="473">
        <f t="shared" si="134"/>
        <v>3762.70250933333</v>
      </c>
    </row>
    <row r="180" ht="18" spans="2:28">
      <c r="B180" s="11" t="s">
        <v>386</v>
      </c>
      <c r="C180" s="473">
        <v>118598</v>
      </c>
      <c r="D180" s="469">
        <v>12</v>
      </c>
      <c r="E180" s="470">
        <f t="shared" si="133"/>
        <v>1423176</v>
      </c>
      <c r="G180" s="474">
        <v>87934.08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</v>
      </c>
      <c r="M180" s="470">
        <f t="shared" si="123"/>
        <v>467048.384</v>
      </c>
      <c r="N180" s="470">
        <f t="shared" si="124"/>
        <v>554982.464</v>
      </c>
      <c r="O180" s="470">
        <f t="shared" si="125"/>
        <v>868193.536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40229.0304</v>
      </c>
      <c r="S180" s="470">
        <f t="shared" si="129"/>
        <v>0</v>
      </c>
      <c r="T180" s="470">
        <f t="shared" si="130"/>
        <v>0</v>
      </c>
      <c r="V180" s="470">
        <f t="shared" si="135"/>
        <v>94229.0304</v>
      </c>
      <c r="W180" s="471">
        <v>12</v>
      </c>
      <c r="X180" s="470">
        <f t="shared" si="131"/>
        <v>7852.4192</v>
      </c>
      <c r="Z180" s="470">
        <f t="shared" si="132"/>
        <v>7852.4192</v>
      </c>
      <c r="AA180" s="473">
        <v>4227.52372266667</v>
      </c>
      <c r="AB180" s="473">
        <f t="shared" si="134"/>
        <v>3624.89547733333</v>
      </c>
    </row>
    <row r="181" ht="18" spans="2:28">
      <c r="B181" s="18" t="s">
        <v>358</v>
      </c>
      <c r="C181" s="473">
        <v>116050.25</v>
      </c>
      <c r="D181" s="469">
        <v>12</v>
      </c>
      <c r="E181" s="470">
        <f t="shared" si="133"/>
        <v>1392603</v>
      </c>
      <c r="G181" s="474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</v>
      </c>
      <c r="M181" s="470">
        <f t="shared" si="123"/>
        <v>461422.952</v>
      </c>
      <c r="N181" s="470">
        <f t="shared" si="124"/>
        <v>546911.192</v>
      </c>
      <c r="O181" s="470">
        <f t="shared" si="125"/>
        <v>845691.808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36853.7712</v>
      </c>
      <c r="S181" s="470">
        <f t="shared" si="129"/>
        <v>0</v>
      </c>
      <c r="T181" s="470">
        <f t="shared" si="130"/>
        <v>0</v>
      </c>
      <c r="V181" s="470">
        <f t="shared" si="135"/>
        <v>90853.7712</v>
      </c>
      <c r="W181" s="471">
        <v>12</v>
      </c>
      <c r="X181" s="470">
        <f t="shared" si="131"/>
        <v>7571.1476</v>
      </c>
      <c r="Z181" s="470">
        <f t="shared" si="132"/>
        <v>7571.1476</v>
      </c>
      <c r="AA181" s="473">
        <v>4089.71669066667</v>
      </c>
      <c r="AB181" s="473">
        <f t="shared" si="134"/>
        <v>3481.43090933333</v>
      </c>
    </row>
    <row r="182" ht="18" spans="2:28">
      <c r="B182" s="18" t="s">
        <v>392</v>
      </c>
      <c r="C182" s="473">
        <v>102926.916666667</v>
      </c>
      <c r="D182" s="469">
        <v>12</v>
      </c>
      <c r="E182" s="470">
        <f t="shared" si="133"/>
        <v>1235123</v>
      </c>
      <c r="G182" s="474">
        <v>77689.84</v>
      </c>
      <c r="I182" s="470">
        <f t="shared" si="121"/>
        <v>1157433.16</v>
      </c>
      <c r="J182" s="470">
        <v>200000</v>
      </c>
      <c r="K182" s="470">
        <v>0.2</v>
      </c>
      <c r="L182" s="470">
        <f t="shared" si="122"/>
        <v>231486.632000001</v>
      </c>
      <c r="M182" s="470">
        <f t="shared" si="123"/>
        <v>431486.632000001</v>
      </c>
      <c r="N182" s="470">
        <f t="shared" si="124"/>
        <v>509176.472000001</v>
      </c>
      <c r="O182" s="470">
        <f t="shared" si="125"/>
        <v>725946.528000003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72891.9792000005</v>
      </c>
      <c r="W182" s="471">
        <v>12</v>
      </c>
      <c r="X182" s="470">
        <f t="shared" si="131"/>
        <v>6074.33160000004</v>
      </c>
      <c r="Z182" s="470">
        <f t="shared" si="132"/>
        <v>6074.33160000004</v>
      </c>
      <c r="AA182" s="473">
        <v>3210.15440486667</v>
      </c>
      <c r="AB182" s="473">
        <f t="shared" si="134"/>
        <v>2864.17719513337</v>
      </c>
    </row>
    <row r="183" ht="18" spans="2:28">
      <c r="B183" s="18" t="s">
        <v>396</v>
      </c>
      <c r="C183" s="473">
        <v>95540.75</v>
      </c>
      <c r="D183" s="469">
        <v>12</v>
      </c>
      <c r="E183" s="470">
        <f t="shared" si="133"/>
        <v>1146489</v>
      </c>
      <c r="G183" s="474">
        <f>6123.26*12</f>
        <v>73479.12</v>
      </c>
      <c r="I183" s="470">
        <f t="shared" si="121"/>
        <v>1073009.88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</v>
      </c>
      <c r="N183" s="470">
        <f t="shared" si="124"/>
        <v>488081.096</v>
      </c>
      <c r="O183" s="470">
        <f t="shared" si="125"/>
        <v>658407.904</v>
      </c>
      <c r="P183" s="470">
        <f t="shared" si="126"/>
        <v>21000</v>
      </c>
      <c r="Q183" s="470">
        <f t="shared" si="127"/>
        <v>33000</v>
      </c>
      <c r="R183" s="470">
        <f t="shared" si="128"/>
        <v>8761.1856</v>
      </c>
      <c r="S183" s="470">
        <f t="shared" si="129"/>
        <v>0</v>
      </c>
      <c r="T183" s="470">
        <f t="shared" si="130"/>
        <v>0</v>
      </c>
      <c r="V183" s="470">
        <f t="shared" si="135"/>
        <v>62761.1856</v>
      </c>
      <c r="W183" s="471">
        <v>12</v>
      </c>
      <c r="X183" s="470">
        <f t="shared" si="131"/>
        <v>5230.0988</v>
      </c>
      <c r="Z183" s="470">
        <f t="shared" si="132"/>
        <v>5230.0988</v>
      </c>
      <c r="AA183" s="473">
        <v>2708.91364066667</v>
      </c>
      <c r="AB183" s="473">
        <f t="shared" si="134"/>
        <v>2521.18515933333</v>
      </c>
    </row>
    <row r="184" ht="18" spans="2:28">
      <c r="B184" s="18" t="s">
        <v>399</v>
      </c>
      <c r="C184" s="473">
        <v>95540.75</v>
      </c>
      <c r="D184" s="469">
        <v>12</v>
      </c>
      <c r="E184" s="470">
        <f t="shared" si="133"/>
        <v>1146489</v>
      </c>
      <c r="G184" s="474">
        <f t="shared" ref="G184:G185" si="136">6123.26*12</f>
        <v>73479.12</v>
      </c>
      <c r="I184" s="470">
        <f t="shared" si="121"/>
        <v>1073009.88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</v>
      </c>
      <c r="N184" s="470">
        <f t="shared" si="124"/>
        <v>488081.096</v>
      </c>
      <c r="O184" s="470">
        <f t="shared" si="125"/>
        <v>658407.904</v>
      </c>
      <c r="P184" s="470">
        <f t="shared" si="126"/>
        <v>21000</v>
      </c>
      <c r="Q184" s="470">
        <f t="shared" si="127"/>
        <v>33000</v>
      </c>
      <c r="R184" s="470">
        <f t="shared" si="128"/>
        <v>8761.1856</v>
      </c>
      <c r="S184" s="470">
        <f t="shared" si="129"/>
        <v>0</v>
      </c>
      <c r="T184" s="470">
        <f t="shared" si="130"/>
        <v>0</v>
      </c>
      <c r="V184" s="470">
        <f t="shared" si="135"/>
        <v>62761.1856</v>
      </c>
      <c r="W184" s="471">
        <v>12</v>
      </c>
      <c r="X184" s="470">
        <f t="shared" si="131"/>
        <v>5230.0988</v>
      </c>
      <c r="Z184" s="470">
        <f t="shared" si="132"/>
        <v>5230.0988</v>
      </c>
      <c r="AA184" s="473">
        <v>2708.91364066667</v>
      </c>
      <c r="AB184" s="473">
        <f t="shared" si="134"/>
        <v>2521.18515933333</v>
      </c>
    </row>
    <row r="185" ht="18" spans="2:28">
      <c r="B185" s="18" t="s">
        <v>400</v>
      </c>
      <c r="C185" s="473">
        <v>95540.75</v>
      </c>
      <c r="D185" s="469">
        <v>12</v>
      </c>
      <c r="E185" s="470">
        <f t="shared" si="133"/>
        <v>1146489</v>
      </c>
      <c r="G185" s="474">
        <f t="shared" si="136"/>
        <v>73479.12</v>
      </c>
      <c r="I185" s="470">
        <f t="shared" si="121"/>
        <v>1073009.88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</v>
      </c>
      <c r="N185" s="470">
        <f t="shared" si="124"/>
        <v>488081.096</v>
      </c>
      <c r="O185" s="470">
        <f t="shared" si="125"/>
        <v>658407.904</v>
      </c>
      <c r="P185" s="470">
        <f t="shared" si="126"/>
        <v>21000</v>
      </c>
      <c r="Q185" s="470">
        <f t="shared" si="127"/>
        <v>33000</v>
      </c>
      <c r="R185" s="470">
        <f t="shared" si="128"/>
        <v>8761.1856</v>
      </c>
      <c r="S185" s="470">
        <f t="shared" si="129"/>
        <v>0</v>
      </c>
      <c r="T185" s="470">
        <f t="shared" si="130"/>
        <v>0</v>
      </c>
      <c r="V185" s="470">
        <f t="shared" si="135"/>
        <v>62761.1856</v>
      </c>
      <c r="W185" s="471">
        <v>12</v>
      </c>
      <c r="X185" s="470">
        <f t="shared" si="131"/>
        <v>5230.0988</v>
      </c>
      <c r="Z185" s="470">
        <f t="shared" si="132"/>
        <v>5230.0988</v>
      </c>
      <c r="AA185" s="473">
        <v>2708.91364066667</v>
      </c>
      <c r="AB185" s="473">
        <f t="shared" si="134"/>
        <v>2521.18515933333</v>
      </c>
    </row>
    <row r="186" ht="18" spans="2:28">
      <c r="B186" s="484" t="s">
        <v>401</v>
      </c>
      <c r="C186" s="473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70">
        <v>200000</v>
      </c>
      <c r="K186" s="470">
        <v>0.2</v>
      </c>
      <c r="L186" s="470">
        <f t="shared" si="122"/>
        <v>243797.52</v>
      </c>
      <c r="M186" s="470">
        <f t="shared" si="123"/>
        <v>443797.52</v>
      </c>
      <c r="N186" s="470">
        <f t="shared" si="124"/>
        <v>526839.92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26278.512</v>
      </c>
      <c r="S186" s="470">
        <f t="shared" si="129"/>
        <v>0</v>
      </c>
      <c r="T186" s="470">
        <f t="shared" si="130"/>
        <v>0</v>
      </c>
      <c r="V186" s="470">
        <f t="shared" si="135"/>
        <v>80278.512</v>
      </c>
      <c r="W186" s="471">
        <v>12</v>
      </c>
      <c r="X186" s="470">
        <f t="shared" si="131"/>
        <v>6689.876</v>
      </c>
      <c r="Z186" s="470">
        <f t="shared" si="132"/>
        <v>6689.876</v>
      </c>
      <c r="AA186" s="473">
        <v>3511.79662266667</v>
      </c>
      <c r="AB186" s="473">
        <f t="shared" si="134"/>
        <v>3178.07937733333</v>
      </c>
    </row>
    <row r="187" ht="18" spans="2:28">
      <c r="B187" s="484" t="s">
        <v>404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490">
        <v>12</v>
      </c>
      <c r="X187" s="486">
        <f t="shared" si="131"/>
        <v>6689.876</v>
      </c>
      <c r="Z187" s="486">
        <f t="shared" si="132"/>
        <v>6689.876</v>
      </c>
      <c r="AA187" s="473">
        <v>3511.79662266667</v>
      </c>
      <c r="AB187" s="473">
        <f t="shared" si="134"/>
        <v>3178.07937733333</v>
      </c>
    </row>
    <row r="188" ht="35.25" customHeight="1" spans="2:28">
      <c r="B188" s="8" t="s">
        <v>1011</v>
      </c>
      <c r="C188" s="617">
        <f>SUM(C6:C187)</f>
        <v>81138359.696105</v>
      </c>
      <c r="D188" s="618"/>
      <c r="E188" s="475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1012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28">
      <c r="B190" s="33"/>
      <c r="C190" s="473"/>
      <c r="F190" s="500"/>
    </row>
    <row r="191" ht="13" spans="2:28">
      <c r="F191" s="501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20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0">
      <c r="A2" s="76" t="s">
        <v>1124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1:20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27" t="s">
        <v>9</v>
      </c>
      <c r="K4" s="218" t="s">
        <v>10</v>
      </c>
      <c r="L4" s="218" t="s">
        <v>888</v>
      </c>
      <c r="M4" s="218" t="s">
        <v>889</v>
      </c>
      <c r="N4" s="218" t="s">
        <v>15</v>
      </c>
      <c r="O4" s="24" t="s">
        <v>16</v>
      </c>
      <c r="P4" s="218" t="s">
        <v>17</v>
      </c>
      <c r="Q4" s="347" t="s">
        <v>18</v>
      </c>
      <c r="R4" s="80" t="s">
        <v>1121</v>
      </c>
      <c r="S4" s="304" t="s">
        <v>1122</v>
      </c>
    </row>
    <row r="5" ht="17.25" customHeight="1" spans="1:20">
      <c r="C5" s="8"/>
      <c r="D5" s="8"/>
      <c r="E5" s="82" t="s">
        <v>21</v>
      </c>
      <c r="F5" s="21"/>
      <c r="G5" s="82" t="s">
        <v>21</v>
      </c>
      <c r="H5" s="82" t="s">
        <v>21</v>
      </c>
      <c r="I5" s="82" t="s">
        <v>21</v>
      </c>
      <c r="J5" s="305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447" t="s">
        <v>21</v>
      </c>
      <c r="R5" s="82" t="s">
        <v>21</v>
      </c>
      <c r="S5" s="230" t="s">
        <v>21</v>
      </c>
    </row>
    <row r="6" customHeight="1" spans="1:20">
      <c r="A6" s="10"/>
      <c r="B6" s="20" t="s">
        <v>226</v>
      </c>
      <c r="C6" s="21"/>
      <c r="D6" s="21"/>
      <c r="E6" s="156"/>
      <c r="F6" s="156"/>
      <c r="G6" s="220"/>
      <c r="H6" s="220"/>
      <c r="I6" s="156"/>
      <c r="J6" s="156"/>
      <c r="K6" s="156"/>
      <c r="L6" s="156"/>
      <c r="M6" s="156"/>
      <c r="N6" s="156"/>
      <c r="O6" s="156"/>
      <c r="P6" s="156"/>
      <c r="Q6" s="450"/>
      <c r="R6" s="156"/>
      <c r="S6" s="233"/>
      <c r="T6" s="13"/>
    </row>
    <row r="7" customHeight="1" spans="1:20">
      <c r="A7" s="10">
        <v>1</v>
      </c>
      <c r="B7" s="14" t="s">
        <v>227</v>
      </c>
      <c r="C7" s="4" t="s">
        <v>650</v>
      </c>
      <c r="D7" s="16" t="s">
        <v>36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46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227</v>
      </c>
      <c r="C8" s="4" t="s">
        <v>650</v>
      </c>
      <c r="D8" s="15" t="s">
        <v>304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46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1116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1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1:20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:20">
      <c r="Q12" s="35"/>
      <c r="S12" s="328"/>
    </row>
    <row r="13" customHeight="1" spans="1:20">
      <c r="S13" s="35"/>
    </row>
    <row r="14" customHeight="1" spans="1:2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9">
      <c r="A1" s="75" t="s">
        <v>0</v>
      </c>
      <c r="B1" s="75"/>
      <c r="C1" s="75"/>
      <c r="D1" s="75"/>
      <c r="E1" s="75"/>
      <c r="F1" s="75"/>
      <c r="G1" s="75"/>
    </row>
    <row r="2" ht="20.25" customHeight="1" spans="1:9">
      <c r="A2" s="75" t="s">
        <v>1125</v>
      </c>
      <c r="B2" s="75"/>
      <c r="C2" s="75"/>
      <c r="D2" s="75"/>
      <c r="E2" s="75"/>
      <c r="F2" s="75"/>
      <c r="G2" s="75"/>
    </row>
    <row r="3" ht="9.75" customHeight="1" spans="1:9">
      <c r="A3" s="75"/>
      <c r="B3" s="75"/>
      <c r="C3" s="75"/>
      <c r="D3" s="75"/>
      <c r="E3" s="75"/>
      <c r="F3" s="75"/>
      <c r="G3" s="75"/>
    </row>
    <row r="4" ht="13.5" customHeight="1" spans="1:9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1126</v>
      </c>
      <c r="F5" s="218" t="s">
        <v>1127</v>
      </c>
      <c r="G5" s="218" t="s">
        <v>1128</v>
      </c>
      <c r="H5" s="218" t="s">
        <v>1129</v>
      </c>
      <c r="I5" s="218" t="s">
        <v>1116</v>
      </c>
    </row>
    <row r="6" ht="17.25" customHeight="1" spans="1:9">
      <c r="C6" s="8"/>
      <c r="D6" s="8"/>
      <c r="E6" s="82" t="s">
        <v>21</v>
      </c>
      <c r="F6" s="82" t="s">
        <v>21</v>
      </c>
      <c r="G6" s="82" t="s">
        <v>21</v>
      </c>
      <c r="H6" s="82" t="s">
        <v>21</v>
      </c>
      <c r="I6" s="82" t="s">
        <v>21</v>
      </c>
    </row>
    <row r="7" ht="20.1" customHeight="1" spans="1:9">
      <c r="A7" s="9" t="s">
        <v>22</v>
      </c>
      <c r="B7" s="8" t="s">
        <v>23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24</v>
      </c>
      <c r="C8" s="12" t="s">
        <v>25</v>
      </c>
      <c r="D8" s="12" t="s">
        <v>26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27</v>
      </c>
      <c r="C9" s="12" t="s">
        <v>28</v>
      </c>
      <c r="D9" s="10" t="s">
        <v>29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30</v>
      </c>
      <c r="C10" s="4" t="s">
        <v>31</v>
      </c>
      <c r="D10" s="10" t="s">
        <v>29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32</v>
      </c>
      <c r="C11" s="17" t="s">
        <v>33</v>
      </c>
      <c r="D11" s="10" t="s">
        <v>29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300</v>
      </c>
      <c r="C12" s="4" t="s">
        <v>1130</v>
      </c>
      <c r="D12" s="10" t="s">
        <v>29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908</v>
      </c>
      <c r="C13" s="10" t="s">
        <v>909</v>
      </c>
      <c r="D13" s="10" t="s">
        <v>29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34</v>
      </c>
      <c r="C14" s="12" t="s">
        <v>910</v>
      </c>
      <c r="D14" s="15" t="s">
        <v>39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37</v>
      </c>
      <c r="C15" s="4" t="s">
        <v>38</v>
      </c>
      <c r="D15" s="10" t="s">
        <v>42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40</v>
      </c>
      <c r="C16" s="4" t="s">
        <v>643</v>
      </c>
      <c r="D16" s="15" t="s">
        <v>192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43</v>
      </c>
      <c r="C17" s="17" t="s">
        <v>52</v>
      </c>
      <c r="D17" s="15" t="s">
        <v>47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45</v>
      </c>
      <c r="C18" s="4" t="s">
        <v>46</v>
      </c>
      <c r="D18" s="10" t="s">
        <v>53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48</v>
      </c>
      <c r="C19" s="4" t="s">
        <v>911</v>
      </c>
      <c r="D19" s="10" t="s">
        <v>56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51</v>
      </c>
      <c r="C20" s="12" t="s">
        <v>61</v>
      </c>
      <c r="D20" s="15" t="s">
        <v>601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54</v>
      </c>
      <c r="C21" s="4" t="s">
        <v>1131</v>
      </c>
      <c r="D21" s="15" t="s">
        <v>59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65</v>
      </c>
      <c r="C22" s="12" t="s">
        <v>178</v>
      </c>
      <c r="D22" s="15" t="s">
        <v>70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68</v>
      </c>
      <c r="C23" s="17" t="s">
        <v>1132</v>
      </c>
      <c r="D23" s="10" t="s">
        <v>180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71</v>
      </c>
      <c r="C24" s="17" t="s">
        <v>72</v>
      </c>
      <c r="D24" s="15" t="s">
        <v>180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73</v>
      </c>
      <c r="C25" s="17" t="s">
        <v>74</v>
      </c>
      <c r="D25" s="10" t="s">
        <v>81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478</v>
      </c>
      <c r="C26" s="4" t="s">
        <v>94</v>
      </c>
      <c r="D26" s="10" t="s">
        <v>86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79</v>
      </c>
      <c r="C27" s="12" t="s">
        <v>94</v>
      </c>
      <c r="D27" s="15" t="s">
        <v>86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82</v>
      </c>
      <c r="C28" s="17" t="s">
        <v>69</v>
      </c>
      <c r="D28" s="10" t="s">
        <v>86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84</v>
      </c>
      <c r="C29" s="12" t="s">
        <v>85</v>
      </c>
      <c r="D29" s="15" t="s">
        <v>99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87</v>
      </c>
      <c r="C30" s="4" t="s">
        <v>88</v>
      </c>
      <c r="D30" s="10" t="s">
        <v>225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89</v>
      </c>
      <c r="C31" s="4" t="s">
        <v>88</v>
      </c>
      <c r="D31" s="10" t="s">
        <v>225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91</v>
      </c>
      <c r="C32" s="17" t="s">
        <v>646</v>
      </c>
      <c r="D32" s="15" t="s">
        <v>86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95</v>
      </c>
      <c r="C33" s="4" t="s">
        <v>647</v>
      </c>
      <c r="D33" s="10" t="s">
        <v>108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103</v>
      </c>
      <c r="C34" s="12" t="s">
        <v>104</v>
      </c>
      <c r="D34" s="15" t="s">
        <v>111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120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121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122</v>
      </c>
      <c r="C38" s="4" t="s">
        <v>123</v>
      </c>
      <c r="D38" s="10" t="s">
        <v>124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127</v>
      </c>
      <c r="C39" s="4" t="s">
        <v>1133</v>
      </c>
      <c r="D39" s="10" t="s">
        <v>81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129</v>
      </c>
      <c r="C40" s="12" t="s">
        <v>1134</v>
      </c>
      <c r="D40" s="15" t="s">
        <v>75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137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912</v>
      </c>
      <c r="C44" s="4" t="s">
        <v>913</v>
      </c>
      <c r="D44" s="10" t="s">
        <v>124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914</v>
      </c>
      <c r="C45" s="4" t="s">
        <v>44</v>
      </c>
      <c r="D45" s="10" t="s">
        <v>39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138</v>
      </c>
      <c r="C46" s="4" t="s">
        <v>648</v>
      </c>
      <c r="D46" s="10" t="s">
        <v>210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141</v>
      </c>
      <c r="C47" s="4" t="s">
        <v>145</v>
      </c>
      <c r="D47" s="10" t="s">
        <v>39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144</v>
      </c>
      <c r="C48" s="4" t="s">
        <v>145</v>
      </c>
      <c r="D48" s="10" t="s">
        <v>39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146</v>
      </c>
      <c r="C49" s="4" t="s">
        <v>145</v>
      </c>
      <c r="D49" s="10" t="s">
        <v>42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147</v>
      </c>
      <c r="C50" s="4" t="s">
        <v>52</v>
      </c>
      <c r="D50" s="16" t="s">
        <v>47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151</v>
      </c>
      <c r="C51" s="4" t="s">
        <v>152</v>
      </c>
      <c r="D51" s="10" t="s">
        <v>75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155</v>
      </c>
      <c r="C52" s="4" t="s">
        <v>152</v>
      </c>
      <c r="D52" s="10" t="s">
        <v>99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915</v>
      </c>
      <c r="C53" s="4" t="s">
        <v>152</v>
      </c>
      <c r="D53" s="10" t="s">
        <v>99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157</v>
      </c>
      <c r="C54" s="4" t="s">
        <v>152</v>
      </c>
      <c r="D54" s="10" t="s">
        <v>99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120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56"/>
      <c r="F56" s="156"/>
      <c r="G56" s="156"/>
      <c r="H56" s="156"/>
      <c r="I56" s="156"/>
    </row>
    <row r="57" ht="20.1" customHeight="1" spans="1:9">
      <c r="A57" s="10"/>
      <c r="B57" s="20" t="s">
        <v>159</v>
      </c>
      <c r="C57" s="21"/>
      <c r="D57" s="21"/>
      <c r="E57" s="156"/>
      <c r="F57" s="156"/>
      <c r="G57" s="156"/>
      <c r="H57" s="156"/>
      <c r="I57" s="156"/>
    </row>
    <row r="58" ht="20.1" customHeight="1" spans="1:9">
      <c r="A58" s="10">
        <v>1</v>
      </c>
      <c r="B58" s="11" t="s">
        <v>916</v>
      </c>
      <c r="C58" s="12" t="s">
        <v>161</v>
      </c>
      <c r="D58" s="15" t="s">
        <v>124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162</v>
      </c>
      <c r="C59" s="12" t="s">
        <v>485</v>
      </c>
      <c r="D59" s="15" t="s">
        <v>486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120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56"/>
      <c r="F61" s="156"/>
      <c r="G61" s="156"/>
      <c r="H61" s="156"/>
      <c r="I61" s="156"/>
    </row>
    <row r="62" ht="20.1" customHeight="1" spans="1:9">
      <c r="A62" s="10"/>
      <c r="B62" s="20" t="s">
        <v>164</v>
      </c>
      <c r="C62" s="21"/>
      <c r="D62" s="21"/>
      <c r="E62" s="156"/>
      <c r="F62" s="156"/>
      <c r="G62" s="156"/>
      <c r="H62" s="156"/>
      <c r="I62" s="156"/>
    </row>
    <row r="63" ht="20.1" customHeight="1" spans="1:9">
      <c r="A63" s="10">
        <v>1</v>
      </c>
      <c r="B63" s="11" t="s">
        <v>917</v>
      </c>
      <c r="C63" s="17" t="s">
        <v>918</v>
      </c>
      <c r="D63" s="10" t="s">
        <v>124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919</v>
      </c>
      <c r="C64" s="17" t="s">
        <v>920</v>
      </c>
      <c r="D64" s="15" t="s">
        <v>50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167</v>
      </c>
      <c r="C65" s="4" t="s">
        <v>52</v>
      </c>
      <c r="D65" s="10" t="s">
        <v>53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921</v>
      </c>
      <c r="C66" s="17" t="s">
        <v>217</v>
      </c>
      <c r="D66" s="15" t="s">
        <v>601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922</v>
      </c>
      <c r="C67" s="17" t="s">
        <v>52</v>
      </c>
      <c r="D67" s="15" t="s">
        <v>192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171</v>
      </c>
      <c r="C68" s="4" t="s">
        <v>152</v>
      </c>
      <c r="D68" s="10" t="s">
        <v>131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172</v>
      </c>
      <c r="C69" s="17" t="s">
        <v>72</v>
      </c>
      <c r="D69" s="10" t="s">
        <v>131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174</v>
      </c>
      <c r="C70" s="17" t="s">
        <v>72</v>
      </c>
      <c r="D70" s="10" t="s">
        <v>131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175</v>
      </c>
      <c r="C71" s="4" t="s">
        <v>649</v>
      </c>
      <c r="D71" s="10" t="s">
        <v>70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179</v>
      </c>
      <c r="C72" s="4" t="s">
        <v>152</v>
      </c>
      <c r="D72" s="10" t="s">
        <v>75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120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56"/>
      <c r="F74" s="156"/>
      <c r="G74" s="156"/>
      <c r="H74" s="156"/>
      <c r="I74" s="156"/>
    </row>
    <row r="75" ht="20.1" customHeight="1" spans="1:9">
      <c r="A75" s="10"/>
      <c r="B75" s="20" t="s">
        <v>183</v>
      </c>
      <c r="C75" s="21"/>
      <c r="D75" s="21"/>
      <c r="E75" s="156"/>
      <c r="F75" s="156"/>
      <c r="G75" s="156"/>
      <c r="H75" s="156"/>
      <c r="I75" s="156"/>
    </row>
    <row r="76" ht="20.1" customHeight="1" spans="1:9">
      <c r="A76" s="10">
        <v>1</v>
      </c>
      <c r="B76" s="11" t="s">
        <v>184</v>
      </c>
      <c r="C76" s="4" t="s">
        <v>185</v>
      </c>
      <c r="D76" s="10" t="s">
        <v>124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923</v>
      </c>
      <c r="C77" s="4" t="s">
        <v>924</v>
      </c>
      <c r="D77" s="15" t="s">
        <v>925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186</v>
      </c>
      <c r="C78" s="12" t="s">
        <v>926</v>
      </c>
      <c r="D78" s="10" t="s">
        <v>486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190</v>
      </c>
      <c r="C79" s="4" t="s">
        <v>191</v>
      </c>
      <c r="D79" s="15" t="s">
        <v>214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197</v>
      </c>
      <c r="C80" s="4" t="s">
        <v>182</v>
      </c>
      <c r="D80" s="10" t="s">
        <v>78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201</v>
      </c>
      <c r="C81" s="4" t="s">
        <v>182</v>
      </c>
      <c r="D81" s="10" t="s">
        <v>99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203</v>
      </c>
      <c r="C82" s="4" t="s">
        <v>204</v>
      </c>
      <c r="D82" s="10" t="s">
        <v>111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120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56"/>
      <c r="F84" s="156"/>
      <c r="G84" s="156"/>
      <c r="H84" s="156"/>
      <c r="I84" s="156"/>
    </row>
    <row r="85" ht="20.1" customHeight="1" spans="1:9">
      <c r="A85" s="10"/>
      <c r="B85" s="20" t="s">
        <v>205</v>
      </c>
      <c r="C85" s="25"/>
      <c r="D85" s="21"/>
      <c r="E85" s="156"/>
      <c r="F85" s="156"/>
      <c r="G85" s="156"/>
      <c r="H85" s="156"/>
      <c r="I85" s="156"/>
    </row>
    <row r="86" ht="20.1" customHeight="1" spans="1:9">
      <c r="A86" s="10">
        <v>1</v>
      </c>
      <c r="B86" s="11" t="s">
        <v>208</v>
      </c>
      <c r="C86" s="4" t="s">
        <v>145</v>
      </c>
      <c r="D86" s="10" t="s">
        <v>39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206</v>
      </c>
      <c r="C87" s="4" t="s">
        <v>145</v>
      </c>
      <c r="D87" s="10" t="s">
        <v>39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479</v>
      </c>
      <c r="C88" s="4" t="s">
        <v>145</v>
      </c>
      <c r="D88" s="10" t="s">
        <v>42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211</v>
      </c>
      <c r="C89" s="4" t="s">
        <v>927</v>
      </c>
      <c r="D89" s="15" t="s">
        <v>56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212</v>
      </c>
      <c r="C90" s="12" t="s">
        <v>217</v>
      </c>
      <c r="D90" s="15" t="s">
        <v>601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213</v>
      </c>
      <c r="C91" s="12" t="s">
        <v>52</v>
      </c>
      <c r="D91" s="15" t="s">
        <v>600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215</v>
      </c>
      <c r="C92" s="17" t="s">
        <v>72</v>
      </c>
      <c r="D92" s="15" t="s">
        <v>131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216</v>
      </c>
      <c r="C93" s="17" t="s">
        <v>217</v>
      </c>
      <c r="D93" s="15" t="s">
        <v>67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220</v>
      </c>
      <c r="C94" s="4" t="s">
        <v>221</v>
      </c>
      <c r="D94" s="10" t="s">
        <v>75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224</v>
      </c>
      <c r="C95" s="17" t="s">
        <v>505</v>
      </c>
      <c r="D95" s="15" t="s">
        <v>108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120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56"/>
      <c r="F97" s="156"/>
      <c r="G97" s="156"/>
      <c r="H97" s="156"/>
      <c r="I97" s="156"/>
    </row>
    <row r="98" ht="20.1" customHeight="1" spans="1:9">
      <c r="A98" s="10"/>
      <c r="B98" s="20" t="s">
        <v>226</v>
      </c>
      <c r="C98" s="21"/>
      <c r="D98" s="21"/>
      <c r="E98" s="156"/>
      <c r="F98" s="156"/>
      <c r="G98" s="156"/>
      <c r="H98" s="156"/>
      <c r="I98" s="156"/>
    </row>
    <row r="99" ht="20.1" customHeight="1" spans="1:9">
      <c r="A99" s="10">
        <v>1</v>
      </c>
      <c r="B99" s="14" t="s">
        <v>227</v>
      </c>
      <c r="C99" s="4" t="s">
        <v>650</v>
      </c>
      <c r="D99" s="16" t="s">
        <v>36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229</v>
      </c>
      <c r="C100" s="4" t="s">
        <v>230</v>
      </c>
      <c r="D100" s="15" t="s">
        <v>214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235</v>
      </c>
      <c r="C101" s="4" t="s">
        <v>651</v>
      </c>
      <c r="D101" s="15" t="s">
        <v>70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236</v>
      </c>
      <c r="C102" s="4" t="s">
        <v>200</v>
      </c>
      <c r="D102" s="15" t="s">
        <v>75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120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56"/>
      <c r="F104" s="156"/>
      <c r="G104" s="156"/>
      <c r="H104" s="156"/>
      <c r="I104" s="156"/>
    </row>
    <row r="105" ht="20.1" customHeight="1" spans="1:9">
      <c r="A105" s="4"/>
      <c r="B105" s="20" t="s">
        <v>239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652</v>
      </c>
      <c r="C106" s="12" t="s">
        <v>241</v>
      </c>
      <c r="D106" s="15" t="s">
        <v>124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242</v>
      </c>
      <c r="C107" s="4" t="s">
        <v>243</v>
      </c>
      <c r="D107" s="16" t="s">
        <v>36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244</v>
      </c>
      <c r="C108" s="4" t="s">
        <v>653</v>
      </c>
      <c r="D108" s="10" t="s">
        <v>56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246</v>
      </c>
      <c r="C109" s="4" t="s">
        <v>653</v>
      </c>
      <c r="D109" s="10" t="s">
        <v>56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249</v>
      </c>
      <c r="C110" s="4" t="s">
        <v>250</v>
      </c>
      <c r="D110" s="15" t="s">
        <v>928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252</v>
      </c>
      <c r="C111" s="4" t="s">
        <v>250</v>
      </c>
      <c r="D111" s="10" t="s">
        <v>506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253</v>
      </c>
      <c r="C112" s="4" t="s">
        <v>250</v>
      </c>
      <c r="D112" s="15" t="s">
        <v>108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120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257</v>
      </c>
      <c r="C115" s="21"/>
      <c r="D115" s="21"/>
      <c r="E115" s="156"/>
      <c r="F115" s="156"/>
      <c r="G115" s="156"/>
      <c r="H115" s="156"/>
      <c r="I115" s="156"/>
    </row>
    <row r="116" ht="20.1" customHeight="1" spans="1:9">
      <c r="A116" s="10">
        <v>1</v>
      </c>
      <c r="B116" s="14" t="s">
        <v>165</v>
      </c>
      <c r="C116" s="4" t="s">
        <v>145</v>
      </c>
      <c r="D116" s="10" t="s">
        <v>50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259</v>
      </c>
      <c r="C117" s="4" t="s">
        <v>260</v>
      </c>
      <c r="D117" s="15" t="s">
        <v>70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193</v>
      </c>
      <c r="C118" s="12" t="s">
        <v>929</v>
      </c>
      <c r="D118" s="15" t="s">
        <v>173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120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278</v>
      </c>
      <c r="C121" s="21"/>
      <c r="D121" s="21"/>
      <c r="E121" s="156"/>
      <c r="F121" s="156"/>
      <c r="G121" s="156"/>
      <c r="H121" s="156"/>
      <c r="I121" s="156"/>
    </row>
    <row r="122" ht="20.1" customHeight="1" spans="1:9">
      <c r="A122" s="4">
        <v>1</v>
      </c>
      <c r="B122" s="11" t="s">
        <v>279</v>
      </c>
      <c r="C122" s="12" t="s">
        <v>280</v>
      </c>
      <c r="D122" s="15" t="s">
        <v>124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281</v>
      </c>
      <c r="C123" s="12" t="s">
        <v>654</v>
      </c>
      <c r="D123" s="15" t="s">
        <v>210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283</v>
      </c>
      <c r="C124" s="12" t="s">
        <v>655</v>
      </c>
      <c r="D124" s="15" t="s">
        <v>39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930</v>
      </c>
      <c r="C125" s="12" t="s">
        <v>655</v>
      </c>
      <c r="D125" s="15" t="s">
        <v>42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286</v>
      </c>
      <c r="C126" s="12" t="s">
        <v>288</v>
      </c>
      <c r="D126" s="15" t="s">
        <v>47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287</v>
      </c>
      <c r="C127" s="12" t="s">
        <v>656</v>
      </c>
      <c r="D127" s="15" t="s">
        <v>53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289</v>
      </c>
      <c r="C128" s="12" t="s">
        <v>288</v>
      </c>
      <c r="D128" s="15" t="s">
        <v>214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292</v>
      </c>
      <c r="C129" s="12" t="s">
        <v>657</v>
      </c>
      <c r="D129" s="10" t="s">
        <v>86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294</v>
      </c>
      <c r="C130" s="12" t="s">
        <v>295</v>
      </c>
      <c r="D130" s="15" t="s">
        <v>111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296</v>
      </c>
      <c r="C131" s="12" t="s">
        <v>291</v>
      </c>
      <c r="D131" s="15" t="s">
        <v>111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120</v>
      </c>
      <c r="C132" s="26" t="s">
        <v>658</v>
      </c>
      <c r="D132" s="15"/>
      <c r="E132" s="156">
        <f>SUM(E122:E131)</f>
        <v>23936251</v>
      </c>
      <c r="F132" s="156">
        <f>SUM(F122:F131)</f>
        <v>1994687.58333333</v>
      </c>
      <c r="G132" s="156">
        <f t="shared" ref="G132:I132" si="37">SUM(G122:G131)</f>
        <v>49867.1895833333</v>
      </c>
      <c r="H132" s="156">
        <f t="shared" si="37"/>
        <v>5224.799</v>
      </c>
      <c r="I132" s="156">
        <f t="shared" si="37"/>
        <v>44642.3905833333</v>
      </c>
    </row>
    <row r="133" ht="20.1" customHeight="1" spans="1:9">
      <c r="A133" s="4"/>
      <c r="B133" s="22"/>
      <c r="C133" s="26"/>
      <c r="D133" s="15"/>
      <c r="E133" s="156"/>
      <c r="F133" s="156"/>
      <c r="G133" s="156"/>
      <c r="H133" s="156"/>
      <c r="I133" s="156"/>
    </row>
    <row r="134" ht="20.1" customHeight="1" spans="1:9">
      <c r="A134" s="4"/>
      <c r="B134" s="20" t="s">
        <v>299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931</v>
      </c>
      <c r="C135" s="12" t="s">
        <v>932</v>
      </c>
      <c r="D135" s="15" t="s">
        <v>124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933</v>
      </c>
      <c r="C136" s="12" t="s">
        <v>934</v>
      </c>
      <c r="D136" s="15" t="s">
        <v>36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302</v>
      </c>
      <c r="C137" s="4" t="s">
        <v>488</v>
      </c>
      <c r="D137" s="16" t="s">
        <v>36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305</v>
      </c>
      <c r="C138" s="12" t="s">
        <v>935</v>
      </c>
      <c r="D138" s="15" t="s">
        <v>192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307</v>
      </c>
      <c r="C139" s="4" t="s">
        <v>311</v>
      </c>
      <c r="D139" s="15" t="s">
        <v>192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309</v>
      </c>
      <c r="C140" s="4" t="s">
        <v>311</v>
      </c>
      <c r="D140" s="15" t="s">
        <v>192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231</v>
      </c>
      <c r="C141" s="12" t="s">
        <v>936</v>
      </c>
      <c r="D141" s="15" t="s">
        <v>173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312</v>
      </c>
      <c r="C142" s="12" t="s">
        <v>936</v>
      </c>
      <c r="D142" s="15" t="s">
        <v>173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313</v>
      </c>
      <c r="C143" s="4" t="s">
        <v>937</v>
      </c>
      <c r="D143" s="15" t="s">
        <v>173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315</v>
      </c>
      <c r="C144" s="12" t="s">
        <v>660</v>
      </c>
      <c r="D144" s="15" t="s">
        <v>70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317</v>
      </c>
      <c r="C145" s="12" t="s">
        <v>318</v>
      </c>
      <c r="D145" s="15" t="s">
        <v>131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62</v>
      </c>
      <c r="C146" s="12" t="s">
        <v>938</v>
      </c>
      <c r="D146" s="15" t="s">
        <v>173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319</v>
      </c>
      <c r="C147" s="4" t="s">
        <v>320</v>
      </c>
      <c r="D147" s="15" t="s">
        <v>180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321</v>
      </c>
      <c r="C148" s="4" t="s">
        <v>939</v>
      </c>
      <c r="D148" s="15" t="s">
        <v>78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322</v>
      </c>
      <c r="C149" s="4" t="s">
        <v>939</v>
      </c>
      <c r="D149" s="15" t="s">
        <v>153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324</v>
      </c>
      <c r="C150" s="4" t="s">
        <v>939</v>
      </c>
      <c r="D150" s="15" t="s">
        <v>153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325</v>
      </c>
      <c r="C151" s="12" t="s">
        <v>326</v>
      </c>
      <c r="D151" s="15" t="s">
        <v>75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327</v>
      </c>
      <c r="C152" s="12" t="s">
        <v>328</v>
      </c>
      <c r="D152" s="10" t="s">
        <v>99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329</v>
      </c>
      <c r="C153" s="12" t="s">
        <v>661</v>
      </c>
      <c r="D153" s="15" t="s">
        <v>78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331</v>
      </c>
      <c r="C154" s="12" t="s">
        <v>662</v>
      </c>
      <c r="D154" s="15" t="s">
        <v>86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333</v>
      </c>
      <c r="C155" s="12" t="s">
        <v>663</v>
      </c>
      <c r="D155" s="15" t="s">
        <v>78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334</v>
      </c>
      <c r="C156" s="12" t="s">
        <v>664</v>
      </c>
      <c r="D156" s="15" t="s">
        <v>86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336</v>
      </c>
      <c r="C157" s="12" t="s">
        <v>337</v>
      </c>
      <c r="D157" s="15" t="s">
        <v>225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343</v>
      </c>
      <c r="C158" s="12" t="s">
        <v>344</v>
      </c>
      <c r="D158" s="15" t="s">
        <v>111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345</v>
      </c>
      <c r="C159" s="12" t="s">
        <v>346</v>
      </c>
      <c r="D159" s="15" t="s">
        <v>111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347</v>
      </c>
      <c r="C160" s="12" t="s">
        <v>348</v>
      </c>
      <c r="D160" s="15" t="s">
        <v>111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349</v>
      </c>
      <c r="C161" s="12" t="s">
        <v>665</v>
      </c>
      <c r="D161" s="15" t="s">
        <v>108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350</v>
      </c>
      <c r="C162" s="12" t="s">
        <v>346</v>
      </c>
      <c r="D162" s="15" t="s">
        <v>111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359</v>
      </c>
      <c r="C163" s="12" t="s">
        <v>512</v>
      </c>
      <c r="D163" s="15" t="s">
        <v>384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362</v>
      </c>
      <c r="C164" s="12" t="s">
        <v>512</v>
      </c>
      <c r="D164" s="15" t="s">
        <v>384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666</v>
      </c>
      <c r="C165" s="12" t="s">
        <v>512</v>
      </c>
      <c r="D165" s="15" t="s">
        <v>384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363</v>
      </c>
      <c r="C166" s="12" t="s">
        <v>512</v>
      </c>
      <c r="D166" s="15" t="s">
        <v>384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364</v>
      </c>
      <c r="C167" s="12" t="s">
        <v>512</v>
      </c>
      <c r="D167" s="15" t="s">
        <v>384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365</v>
      </c>
      <c r="C168" s="12" t="s">
        <v>512</v>
      </c>
      <c r="D168" s="15" t="s">
        <v>377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367</v>
      </c>
      <c r="C169" s="12" t="s">
        <v>512</v>
      </c>
      <c r="D169" s="15" t="s">
        <v>377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368</v>
      </c>
      <c r="C170" s="12" t="s">
        <v>512</v>
      </c>
      <c r="D170" s="15" t="s">
        <v>377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369</v>
      </c>
      <c r="C171" s="12" t="s">
        <v>512</v>
      </c>
      <c r="D171" s="15" t="s">
        <v>377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370</v>
      </c>
      <c r="C172" s="12" t="s">
        <v>512</v>
      </c>
      <c r="D172" s="15" t="s">
        <v>377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357</v>
      </c>
      <c r="C173" s="12" t="s">
        <v>512</v>
      </c>
      <c r="D173" s="15" t="s">
        <v>377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371</v>
      </c>
      <c r="C174" s="12" t="s">
        <v>360</v>
      </c>
      <c r="D174" s="15" t="s">
        <v>607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373</v>
      </c>
      <c r="C175" s="12" t="s">
        <v>360</v>
      </c>
      <c r="D175" s="15" t="s">
        <v>607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374</v>
      </c>
      <c r="C176" s="12" t="s">
        <v>360</v>
      </c>
      <c r="D176" s="15" t="s">
        <v>606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376</v>
      </c>
      <c r="C177" s="12" t="s">
        <v>387</v>
      </c>
      <c r="D177" s="15" t="s">
        <v>608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378</v>
      </c>
      <c r="C178" s="12" t="s">
        <v>514</v>
      </c>
      <c r="D178" s="15" t="s">
        <v>669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379</v>
      </c>
      <c r="C179" s="12" t="s">
        <v>514</v>
      </c>
      <c r="D179" s="15" t="s">
        <v>669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380</v>
      </c>
      <c r="C180" s="12" t="s">
        <v>514</v>
      </c>
      <c r="D180" s="15" t="s">
        <v>669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381</v>
      </c>
      <c r="C181" s="12" t="s">
        <v>514</v>
      </c>
      <c r="D181" s="15" t="s">
        <v>669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382</v>
      </c>
      <c r="C182" s="12" t="s">
        <v>514</v>
      </c>
      <c r="D182" s="15" t="s">
        <v>669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383</v>
      </c>
      <c r="C183" s="12" t="s">
        <v>514</v>
      </c>
      <c r="D183" s="15" t="s">
        <v>669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385</v>
      </c>
      <c r="C184" s="12" t="s">
        <v>514</v>
      </c>
      <c r="D184" s="15" t="s">
        <v>669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668</v>
      </c>
      <c r="C185" s="12" t="s">
        <v>387</v>
      </c>
      <c r="D185" s="15" t="s">
        <v>669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386</v>
      </c>
      <c r="C186" s="12" t="s">
        <v>387</v>
      </c>
      <c r="D186" s="15" t="s">
        <v>669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358</v>
      </c>
      <c r="C187" s="12" t="s">
        <v>390</v>
      </c>
      <c r="D187" s="15" t="s">
        <v>391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392</v>
      </c>
      <c r="C188" s="12" t="s">
        <v>514</v>
      </c>
      <c r="D188" s="15" t="s">
        <v>398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396</v>
      </c>
      <c r="C189" s="12" t="s">
        <v>397</v>
      </c>
      <c r="D189" s="15" t="s">
        <v>940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399</v>
      </c>
      <c r="C190" s="12" t="s">
        <v>397</v>
      </c>
      <c r="D190" s="15" t="s">
        <v>940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400</v>
      </c>
      <c r="C191" s="12" t="s">
        <v>397</v>
      </c>
      <c r="D191" s="15" t="s">
        <v>940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401</v>
      </c>
      <c r="C192" s="12" t="s">
        <v>402</v>
      </c>
      <c r="D192" s="15" t="s">
        <v>393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10">
      <c r="A193" s="27">
        <v>59</v>
      </c>
      <c r="B193" s="18" t="s">
        <v>404</v>
      </c>
      <c r="C193" s="12" t="s">
        <v>402</v>
      </c>
      <c r="D193" s="15" t="s">
        <v>393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10">
      <c r="A194" s="27"/>
      <c r="B194" s="8" t="s">
        <v>120</v>
      </c>
      <c r="C194" s="28" t="s">
        <v>941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406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1:10">
      <c r="B196" s="33"/>
      <c r="D196" s="34"/>
      <c r="E196" s="34"/>
      <c r="F196" s="34"/>
      <c r="G196" s="34"/>
      <c r="H196" s="35"/>
    </row>
    <row r="197" ht="36.75" customHeight="1" spans="1:10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1:7">
      <c r="D1" s="610" t="s">
        <v>1135</v>
      </c>
      <c r="E1" s="610" t="s">
        <v>16</v>
      </c>
      <c r="F1" s="611"/>
      <c r="G1" s="611"/>
    </row>
    <row r="2" ht="36" customHeight="1" spans="1:7">
      <c r="A2" s="18" t="s">
        <v>103</v>
      </c>
      <c r="B2" s="12" t="s">
        <v>104</v>
      </c>
      <c r="C2" s="612" t="s">
        <v>275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103</v>
      </c>
      <c r="B3" s="12" t="s">
        <v>104</v>
      </c>
      <c r="C3" s="612" t="s">
        <v>111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1" t="s">
        <v>883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1:7">
      <c r="D5" s="611"/>
      <c r="E5" s="611"/>
      <c r="F5" s="611"/>
      <c r="G5" s="611"/>
    </row>
    <row r="6" ht="15.5" spans="1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1136</v>
      </c>
      <c r="B2" s="77"/>
      <c r="C2" s="76"/>
      <c r="D2" s="76"/>
      <c r="E2" s="216"/>
    </row>
    <row r="3" ht="9.75" customHeight="1" spans="1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484</v>
      </c>
    </row>
    <row r="5" ht="17.25" customHeight="1" spans="1:5">
      <c r="C5" s="8"/>
      <c r="D5" s="8"/>
      <c r="E5" s="358" t="s">
        <v>21</v>
      </c>
    </row>
    <row r="6" customHeight="1" spans="1:5">
      <c r="A6" s="9" t="s">
        <v>22</v>
      </c>
      <c r="B6" s="8" t="s">
        <v>23</v>
      </c>
      <c r="C6" s="8"/>
      <c r="D6" s="8"/>
      <c r="E6" s="82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5">
        <v>540000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5">
        <v>180000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5">
        <v>180000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5">
        <v>180000</v>
      </c>
    </row>
    <row r="11" customHeight="1" spans="1:5">
      <c r="A11" s="10">
        <v>5</v>
      </c>
      <c r="B11" s="14" t="s">
        <v>300</v>
      </c>
      <c r="C11" s="4" t="s">
        <v>907</v>
      </c>
      <c r="D11" s="10" t="s">
        <v>29</v>
      </c>
      <c r="E11" s="85">
        <v>180000</v>
      </c>
    </row>
    <row r="12" customHeight="1" spans="1:5">
      <c r="A12" s="10">
        <v>6</v>
      </c>
      <c r="B12" s="18" t="s">
        <v>908</v>
      </c>
      <c r="C12" s="10" t="s">
        <v>909</v>
      </c>
      <c r="D12" s="10" t="s">
        <v>29</v>
      </c>
      <c r="E12" s="85">
        <v>180000</v>
      </c>
    </row>
    <row r="13" customHeight="1" spans="1:5">
      <c r="A13" s="10">
        <v>7</v>
      </c>
      <c r="B13" s="11" t="s">
        <v>34</v>
      </c>
      <c r="C13" s="12" t="s">
        <v>910</v>
      </c>
      <c r="D13" s="15" t="s">
        <v>39</v>
      </c>
      <c r="E13" s="85">
        <v>126000</v>
      </c>
    </row>
    <row r="14" customHeight="1" spans="1:5">
      <c r="A14" s="10">
        <v>8</v>
      </c>
      <c r="B14" s="11" t="s">
        <v>37</v>
      </c>
      <c r="C14" s="4" t="s">
        <v>38</v>
      </c>
      <c r="D14" s="10" t="s">
        <v>42</v>
      </c>
      <c r="E14" s="85">
        <v>126000</v>
      </c>
    </row>
    <row r="15" customHeight="1" spans="1:5">
      <c r="A15" s="10">
        <v>9</v>
      </c>
      <c r="B15" s="11" t="s">
        <v>40</v>
      </c>
      <c r="C15" s="4" t="s">
        <v>643</v>
      </c>
      <c r="D15" s="15" t="s">
        <v>192</v>
      </c>
      <c r="E15" s="85">
        <v>90000</v>
      </c>
    </row>
    <row r="16" customHeight="1" spans="1:5">
      <c r="A16" s="10">
        <v>10</v>
      </c>
      <c r="B16" s="14" t="s">
        <v>43</v>
      </c>
      <c r="C16" s="17" t="s">
        <v>52</v>
      </c>
      <c r="D16" s="15" t="s">
        <v>47</v>
      </c>
      <c r="E16" s="85">
        <v>90000</v>
      </c>
    </row>
    <row r="17" customHeight="1" spans="1:5">
      <c r="A17" s="10">
        <v>11</v>
      </c>
      <c r="B17" s="11" t="s">
        <v>45</v>
      </c>
      <c r="C17" s="4" t="s">
        <v>46</v>
      </c>
      <c r="D17" s="10" t="s">
        <v>53</v>
      </c>
      <c r="E17" s="85">
        <v>90000</v>
      </c>
    </row>
    <row r="18" customHeight="1" spans="1:5">
      <c r="A18" s="10">
        <v>12</v>
      </c>
      <c r="B18" s="11" t="s">
        <v>48</v>
      </c>
      <c r="C18" s="4" t="s">
        <v>911</v>
      </c>
      <c r="D18" s="10" t="s">
        <v>56</v>
      </c>
      <c r="E18" s="85">
        <v>90000</v>
      </c>
    </row>
    <row r="19" customHeight="1" spans="1:5">
      <c r="A19" s="10">
        <v>13</v>
      </c>
      <c r="B19" s="11" t="s">
        <v>51</v>
      </c>
      <c r="C19" s="12" t="s">
        <v>61</v>
      </c>
      <c r="D19" s="15" t="s">
        <v>601</v>
      </c>
      <c r="E19" s="85">
        <v>90000</v>
      </c>
    </row>
    <row r="20" customHeight="1" spans="1:5">
      <c r="A20" s="10">
        <v>14</v>
      </c>
      <c r="B20" s="18" t="s">
        <v>54</v>
      </c>
      <c r="C20" s="4" t="s">
        <v>55</v>
      </c>
      <c r="D20" s="15" t="s">
        <v>59</v>
      </c>
      <c r="E20" s="85">
        <v>90000</v>
      </c>
    </row>
    <row r="21" ht="18.75" customHeight="1" spans="1:5">
      <c r="A21" s="10">
        <v>15</v>
      </c>
      <c r="B21" s="11" t="s">
        <v>65</v>
      </c>
      <c r="C21" s="12" t="s">
        <v>178</v>
      </c>
      <c r="D21" s="15" t="s">
        <v>70</v>
      </c>
      <c r="E21" s="85">
        <v>68000</v>
      </c>
    </row>
    <row r="22" customHeight="1" spans="1:5">
      <c r="A22" s="10">
        <v>16</v>
      </c>
      <c r="B22" s="14" t="s">
        <v>68</v>
      </c>
      <c r="C22" s="17" t="s">
        <v>69</v>
      </c>
      <c r="D22" s="10" t="s">
        <v>180</v>
      </c>
      <c r="E22" s="85">
        <v>68000</v>
      </c>
    </row>
    <row r="23" ht="21.6" customHeight="1" spans="1:5">
      <c r="A23" s="10">
        <v>17</v>
      </c>
      <c r="B23" s="11" t="s">
        <v>71</v>
      </c>
      <c r="C23" s="17" t="s">
        <v>72</v>
      </c>
      <c r="D23" s="15" t="s">
        <v>180</v>
      </c>
      <c r="E23" s="85">
        <v>68000</v>
      </c>
    </row>
    <row r="24" customHeight="1" spans="1:5">
      <c r="A24" s="10">
        <v>18</v>
      </c>
      <c r="B24" s="14" t="s">
        <v>73</v>
      </c>
      <c r="C24" s="17" t="s">
        <v>74</v>
      </c>
      <c r="D24" s="10" t="s">
        <v>81</v>
      </c>
      <c r="E24" s="85">
        <v>68000</v>
      </c>
    </row>
    <row r="25" ht="18.75" customHeight="1" spans="1:5">
      <c r="A25" s="10">
        <v>19</v>
      </c>
      <c r="B25" s="4" t="s">
        <v>478</v>
      </c>
      <c r="C25" s="4" t="s">
        <v>94</v>
      </c>
      <c r="D25" s="10" t="s">
        <v>86</v>
      </c>
      <c r="E25" s="85">
        <v>54000</v>
      </c>
    </row>
    <row r="26" ht="18.75" customHeight="1" spans="1:5">
      <c r="A26" s="10">
        <v>20</v>
      </c>
      <c r="B26" s="18" t="s">
        <v>79</v>
      </c>
      <c r="C26" s="12" t="s">
        <v>94</v>
      </c>
      <c r="D26" s="15" t="s">
        <v>86</v>
      </c>
      <c r="E26" s="85">
        <v>54000</v>
      </c>
    </row>
    <row r="27" customHeight="1" spans="1:5">
      <c r="A27" s="10">
        <v>21</v>
      </c>
      <c r="B27" s="11" t="s">
        <v>82</v>
      </c>
      <c r="C27" s="17" t="s">
        <v>69</v>
      </c>
      <c r="D27" s="10" t="s">
        <v>86</v>
      </c>
      <c r="E27" s="85">
        <v>54000</v>
      </c>
    </row>
    <row r="28" ht="18.75" customHeight="1" spans="1:5">
      <c r="A28" s="10">
        <v>22</v>
      </c>
      <c r="B28" s="18" t="s">
        <v>84</v>
      </c>
      <c r="C28" s="12" t="s">
        <v>85</v>
      </c>
      <c r="D28" s="15" t="s">
        <v>99</v>
      </c>
      <c r="E28" s="85">
        <v>54000</v>
      </c>
    </row>
    <row r="29" ht="18.75" customHeight="1" spans="1:5">
      <c r="A29" s="10">
        <v>23</v>
      </c>
      <c r="B29" s="18" t="s">
        <v>87</v>
      </c>
      <c r="C29" s="4" t="s">
        <v>88</v>
      </c>
      <c r="D29" s="10" t="s">
        <v>225</v>
      </c>
      <c r="E29" s="85">
        <v>54000</v>
      </c>
    </row>
    <row r="30" ht="18.75" customHeight="1" spans="1:5">
      <c r="A30" s="10">
        <v>24</v>
      </c>
      <c r="B30" s="18" t="s">
        <v>89</v>
      </c>
      <c r="C30" s="4" t="s">
        <v>88</v>
      </c>
      <c r="D30" s="10" t="s">
        <v>225</v>
      </c>
      <c r="E30" s="85">
        <v>54000</v>
      </c>
    </row>
    <row r="31" ht="18.75" customHeight="1" spans="1:5">
      <c r="A31" s="10">
        <v>25</v>
      </c>
      <c r="B31" s="18" t="s">
        <v>91</v>
      </c>
      <c r="C31" s="17" t="s">
        <v>646</v>
      </c>
      <c r="D31" s="15" t="s">
        <v>86</v>
      </c>
      <c r="E31" s="85">
        <v>54000</v>
      </c>
    </row>
    <row r="32" ht="18.75" customHeight="1" spans="1:5">
      <c r="A32" s="10">
        <v>26</v>
      </c>
      <c r="B32" s="18" t="s">
        <v>95</v>
      </c>
      <c r="C32" s="4" t="s">
        <v>647</v>
      </c>
      <c r="D32" s="10" t="s">
        <v>108</v>
      </c>
      <c r="E32" s="85">
        <v>54000</v>
      </c>
    </row>
    <row r="33" ht="18.75" customHeight="1" spans="1:5">
      <c r="A33" s="10">
        <v>27</v>
      </c>
      <c r="B33" s="18" t="s">
        <v>103</v>
      </c>
      <c r="C33" s="12" t="s">
        <v>104</v>
      </c>
      <c r="D33" s="15" t="s">
        <v>111</v>
      </c>
      <c r="E33" s="85">
        <v>54000</v>
      </c>
    </row>
    <row r="34" ht="26.25" customHeight="1" spans="1:5">
      <c r="A34" s="10"/>
      <c r="B34" s="20" t="s">
        <v>120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121</v>
      </c>
      <c r="C36" s="4"/>
      <c r="D36" s="15"/>
      <c r="E36" s="85"/>
    </row>
    <row r="37" ht="18.75" customHeight="1" spans="1:5">
      <c r="A37" s="10">
        <v>1</v>
      </c>
      <c r="B37" s="18" t="s">
        <v>122</v>
      </c>
      <c r="C37" s="4" t="s">
        <v>123</v>
      </c>
      <c r="D37" s="10" t="s">
        <v>124</v>
      </c>
      <c r="E37" s="85">
        <v>270000</v>
      </c>
    </row>
    <row r="38" ht="18.75" customHeight="1" spans="1:5">
      <c r="A38" s="10">
        <v>2</v>
      </c>
      <c r="B38" s="18" t="s">
        <v>127</v>
      </c>
      <c r="C38" s="4" t="s">
        <v>1137</v>
      </c>
      <c r="D38" s="10" t="s">
        <v>81</v>
      </c>
      <c r="E38" s="85">
        <v>68000</v>
      </c>
    </row>
    <row r="39" ht="18.75" customHeight="1" spans="1:5">
      <c r="A39" s="10">
        <v>3</v>
      </c>
      <c r="B39" s="11" t="s">
        <v>129</v>
      </c>
      <c r="C39" s="12" t="s">
        <v>1134</v>
      </c>
      <c r="D39" s="15" t="s">
        <v>75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137</v>
      </c>
      <c r="C42" s="5"/>
      <c r="D42" s="24"/>
      <c r="E42" s="221"/>
    </row>
    <row r="43" customHeight="1" spans="1:5">
      <c r="A43" s="10">
        <v>1</v>
      </c>
      <c r="B43" s="11" t="s">
        <v>912</v>
      </c>
      <c r="C43" s="4" t="s">
        <v>913</v>
      </c>
      <c r="D43" s="10" t="s">
        <v>124</v>
      </c>
      <c r="E43" s="85">
        <v>270000</v>
      </c>
    </row>
    <row r="44" customHeight="1" spans="1:5">
      <c r="A44" s="10">
        <v>2</v>
      </c>
      <c r="B44" s="11" t="s">
        <v>914</v>
      </c>
      <c r="C44" s="4" t="s">
        <v>44</v>
      </c>
      <c r="D44" s="10" t="s">
        <v>39</v>
      </c>
      <c r="E44" s="85">
        <v>126000</v>
      </c>
    </row>
    <row r="45" customHeight="1" spans="1:5">
      <c r="A45" s="10">
        <v>3</v>
      </c>
      <c r="B45" s="11" t="s">
        <v>138</v>
      </c>
      <c r="C45" s="4" t="s">
        <v>648</v>
      </c>
      <c r="D45" s="10" t="s">
        <v>210</v>
      </c>
      <c r="E45" s="85">
        <v>180000</v>
      </c>
    </row>
    <row r="46" customHeight="1" spans="1:5">
      <c r="A46" s="10">
        <v>4</v>
      </c>
      <c r="B46" s="11" t="s">
        <v>141</v>
      </c>
      <c r="C46" s="4" t="s">
        <v>145</v>
      </c>
      <c r="D46" s="10" t="s">
        <v>39</v>
      </c>
      <c r="E46" s="85">
        <v>126000</v>
      </c>
    </row>
    <row r="47" customHeight="1" spans="1:5">
      <c r="A47" s="10">
        <v>5</v>
      </c>
      <c r="B47" s="11" t="s">
        <v>144</v>
      </c>
      <c r="C47" s="4" t="s">
        <v>145</v>
      </c>
      <c r="D47" s="10" t="s">
        <v>39</v>
      </c>
      <c r="E47" s="85">
        <v>126000</v>
      </c>
    </row>
    <row r="48" customHeight="1" spans="1:5">
      <c r="A48" s="10">
        <v>6</v>
      </c>
      <c r="B48" s="11" t="s">
        <v>146</v>
      </c>
      <c r="C48" s="4" t="s">
        <v>145</v>
      </c>
      <c r="D48" s="10" t="s">
        <v>42</v>
      </c>
      <c r="E48" s="85">
        <v>126000</v>
      </c>
    </row>
    <row r="49" customHeight="1" spans="1:5">
      <c r="A49" s="10">
        <v>7</v>
      </c>
      <c r="B49" s="14" t="s">
        <v>147</v>
      </c>
      <c r="C49" s="4" t="s">
        <v>52</v>
      </c>
      <c r="D49" s="16" t="s">
        <v>47</v>
      </c>
      <c r="E49" s="85">
        <v>90000</v>
      </c>
    </row>
    <row r="50" customHeight="1" spans="1:5">
      <c r="A50" s="10">
        <v>8</v>
      </c>
      <c r="B50" s="11" t="s">
        <v>151</v>
      </c>
      <c r="C50" s="4" t="s">
        <v>152</v>
      </c>
      <c r="D50" s="10" t="s">
        <v>75</v>
      </c>
      <c r="E50" s="85">
        <v>68000</v>
      </c>
    </row>
    <row r="51" customHeight="1" spans="1:5">
      <c r="A51" s="10">
        <v>9</v>
      </c>
      <c r="B51" s="11" t="s">
        <v>155</v>
      </c>
      <c r="C51" s="4" t="s">
        <v>152</v>
      </c>
      <c r="D51" s="10" t="s">
        <v>99</v>
      </c>
      <c r="E51" s="85">
        <v>54000</v>
      </c>
    </row>
    <row r="52" customHeight="1" spans="1:5">
      <c r="A52" s="10">
        <v>10</v>
      </c>
      <c r="B52" s="11" t="s">
        <v>915</v>
      </c>
      <c r="C52" s="4" t="s">
        <v>152</v>
      </c>
      <c r="D52" s="10" t="s">
        <v>99</v>
      </c>
      <c r="E52" s="85">
        <v>54000</v>
      </c>
    </row>
    <row r="53" customHeight="1" spans="1:5">
      <c r="A53" s="10">
        <v>11</v>
      </c>
      <c r="B53" s="11" t="s">
        <v>157</v>
      </c>
      <c r="C53" s="4" t="s">
        <v>152</v>
      </c>
      <c r="D53" s="10" t="s">
        <v>99</v>
      </c>
      <c r="E53" s="85">
        <v>54000</v>
      </c>
    </row>
    <row r="54" ht="25.5" customHeight="1" spans="1:5">
      <c r="A54" s="10"/>
      <c r="B54" s="20" t="s">
        <v>120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56"/>
    </row>
    <row r="56" customHeight="1" spans="1:5">
      <c r="A56" s="10"/>
      <c r="B56" s="20" t="s">
        <v>159</v>
      </c>
      <c r="C56" s="21"/>
      <c r="D56" s="21"/>
      <c r="E56" s="156"/>
    </row>
    <row r="57" customHeight="1" spans="1:5">
      <c r="A57" s="10">
        <v>1</v>
      </c>
      <c r="B57" s="11" t="s">
        <v>916</v>
      </c>
      <c r="C57" s="12" t="s">
        <v>161</v>
      </c>
      <c r="D57" s="15" t="s">
        <v>124</v>
      </c>
      <c r="E57" s="85">
        <v>270000</v>
      </c>
    </row>
    <row r="58" customHeight="1" spans="1:5">
      <c r="A58" s="10">
        <v>2</v>
      </c>
      <c r="B58" s="11" t="s">
        <v>162</v>
      </c>
      <c r="C58" s="12" t="s">
        <v>485</v>
      </c>
      <c r="D58" s="15" t="s">
        <v>486</v>
      </c>
      <c r="E58" s="85">
        <v>126000</v>
      </c>
    </row>
    <row r="59" customHeight="1" spans="1:5">
      <c r="A59" s="10"/>
      <c r="B59" s="20" t="s">
        <v>120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56"/>
    </row>
    <row r="61" customHeight="1" spans="1:5">
      <c r="A61" s="10"/>
      <c r="B61" s="20" t="s">
        <v>164</v>
      </c>
      <c r="C61" s="21"/>
      <c r="D61" s="21"/>
      <c r="E61" s="156"/>
    </row>
    <row r="62" customHeight="1" spans="1:5">
      <c r="A62" s="10">
        <v>1</v>
      </c>
      <c r="B62" s="11" t="s">
        <v>917</v>
      </c>
      <c r="C62" s="17" t="s">
        <v>918</v>
      </c>
      <c r="D62" s="10" t="s">
        <v>124</v>
      </c>
      <c r="E62" s="85">
        <v>270000</v>
      </c>
    </row>
    <row r="63" customHeight="1" spans="1:5">
      <c r="A63" s="10">
        <v>2</v>
      </c>
      <c r="B63" s="351" t="s">
        <v>919</v>
      </c>
      <c r="C63" s="17" t="s">
        <v>920</v>
      </c>
      <c r="D63" s="15" t="s">
        <v>50</v>
      </c>
      <c r="E63" s="85">
        <v>126000</v>
      </c>
    </row>
    <row r="64" customHeight="1" spans="1:5">
      <c r="A64" s="10">
        <v>3</v>
      </c>
      <c r="B64" s="11" t="s">
        <v>167</v>
      </c>
      <c r="C64" s="4" t="s">
        <v>52</v>
      </c>
      <c r="D64" s="10" t="s">
        <v>53</v>
      </c>
      <c r="E64" s="85">
        <v>90000</v>
      </c>
    </row>
    <row r="65" customHeight="1" spans="1:5">
      <c r="A65" s="10">
        <v>4</v>
      </c>
      <c r="B65" s="18" t="s">
        <v>921</v>
      </c>
      <c r="C65" s="17" t="s">
        <v>217</v>
      </c>
      <c r="D65" s="15" t="s">
        <v>601</v>
      </c>
      <c r="E65" s="85">
        <v>90000</v>
      </c>
    </row>
    <row r="66" customHeight="1" spans="1:5">
      <c r="A66" s="10">
        <v>5</v>
      </c>
      <c r="B66" s="14" t="s">
        <v>922</v>
      </c>
      <c r="C66" s="17" t="s">
        <v>52</v>
      </c>
      <c r="D66" s="15" t="s">
        <v>192</v>
      </c>
      <c r="E66" s="85">
        <v>90000</v>
      </c>
    </row>
    <row r="67" customHeight="1" spans="1:5">
      <c r="A67" s="10">
        <v>7</v>
      </c>
      <c r="B67" s="11" t="s">
        <v>171</v>
      </c>
      <c r="C67" s="4" t="s">
        <v>152</v>
      </c>
      <c r="D67" s="10" t="s">
        <v>131</v>
      </c>
      <c r="E67" s="85">
        <v>68000</v>
      </c>
    </row>
    <row r="68" customHeight="1" spans="1:5">
      <c r="A68" s="10">
        <v>8</v>
      </c>
      <c r="B68" s="11" t="s">
        <v>172</v>
      </c>
      <c r="C68" s="17" t="s">
        <v>72</v>
      </c>
      <c r="D68" s="10" t="s">
        <v>131</v>
      </c>
      <c r="E68" s="85">
        <v>68000</v>
      </c>
    </row>
    <row r="69" customHeight="1" spans="1:5">
      <c r="A69" s="10">
        <v>9</v>
      </c>
      <c r="B69" s="11" t="s">
        <v>174</v>
      </c>
      <c r="C69" s="17" t="s">
        <v>72</v>
      </c>
      <c r="D69" s="10" t="s">
        <v>131</v>
      </c>
      <c r="E69" s="85">
        <v>68000</v>
      </c>
    </row>
    <row r="70" customHeight="1" spans="1:5">
      <c r="A70" s="10">
        <v>10</v>
      </c>
      <c r="B70" s="11" t="s">
        <v>175</v>
      </c>
      <c r="C70" s="4" t="s">
        <v>649</v>
      </c>
      <c r="D70" s="10" t="s">
        <v>70</v>
      </c>
      <c r="E70" s="85">
        <v>68000</v>
      </c>
    </row>
    <row r="71" ht="21.6" customHeight="1" spans="1:5">
      <c r="A71" s="10">
        <v>11</v>
      </c>
      <c r="B71" s="11" t="s">
        <v>179</v>
      </c>
      <c r="C71" s="4" t="s">
        <v>152</v>
      </c>
      <c r="D71" s="10" t="s">
        <v>75</v>
      </c>
      <c r="E71" s="85">
        <v>68000</v>
      </c>
    </row>
    <row r="72" ht="27" customHeight="1" spans="1:5">
      <c r="A72" s="10"/>
      <c r="B72" s="20" t="s">
        <v>120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56"/>
    </row>
    <row r="74" customHeight="1" spans="1:5">
      <c r="A74" s="10"/>
      <c r="B74" s="20" t="s">
        <v>183</v>
      </c>
      <c r="C74" s="21"/>
      <c r="D74" s="21"/>
      <c r="E74" s="156"/>
    </row>
    <row r="75" customHeight="1" spans="1:5">
      <c r="A75" s="10">
        <v>1</v>
      </c>
      <c r="B75" s="11" t="s">
        <v>184</v>
      </c>
      <c r="C75" s="4" t="s">
        <v>185</v>
      </c>
      <c r="D75" s="10" t="s">
        <v>124</v>
      </c>
      <c r="E75" s="85">
        <v>270000</v>
      </c>
    </row>
    <row r="76" customHeight="1" spans="1:5">
      <c r="A76" s="10">
        <v>2</v>
      </c>
      <c r="B76" s="14" t="s">
        <v>923</v>
      </c>
      <c r="C76" s="4" t="s">
        <v>924</v>
      </c>
      <c r="D76" s="15" t="s">
        <v>925</v>
      </c>
      <c r="E76" s="85">
        <v>126000</v>
      </c>
    </row>
    <row r="77" customHeight="1" spans="1:5">
      <c r="A77" s="10">
        <v>3</v>
      </c>
      <c r="B77" s="18" t="s">
        <v>186</v>
      </c>
      <c r="C77" s="12" t="s">
        <v>926</v>
      </c>
      <c r="D77" s="10" t="s">
        <v>486</v>
      </c>
      <c r="E77" s="85">
        <v>126000</v>
      </c>
    </row>
    <row r="78" customHeight="1" spans="1:5">
      <c r="A78" s="10">
        <v>4</v>
      </c>
      <c r="B78" s="11" t="s">
        <v>190</v>
      </c>
      <c r="C78" s="4" t="s">
        <v>191</v>
      </c>
      <c r="D78" s="15" t="s">
        <v>214</v>
      </c>
      <c r="E78" s="85">
        <v>90000</v>
      </c>
    </row>
    <row r="79" customHeight="1" spans="1:5">
      <c r="A79" s="10">
        <v>5</v>
      </c>
      <c r="B79" s="11" t="s">
        <v>197</v>
      </c>
      <c r="C79" s="4" t="s">
        <v>182</v>
      </c>
      <c r="D79" s="10" t="s">
        <v>78</v>
      </c>
      <c r="E79" s="85">
        <v>68000</v>
      </c>
    </row>
    <row r="80" customHeight="1" spans="1:5">
      <c r="A80" s="10">
        <v>6</v>
      </c>
      <c r="B80" s="11" t="s">
        <v>201</v>
      </c>
      <c r="C80" s="4" t="s">
        <v>182</v>
      </c>
      <c r="D80" s="10" t="s">
        <v>99</v>
      </c>
      <c r="E80" s="85">
        <v>54000</v>
      </c>
    </row>
    <row r="81" customHeight="1" spans="1:5">
      <c r="A81" s="10">
        <v>7</v>
      </c>
      <c r="B81" s="11" t="s">
        <v>203</v>
      </c>
      <c r="C81" s="4" t="s">
        <v>204</v>
      </c>
      <c r="D81" s="10" t="s">
        <v>111</v>
      </c>
      <c r="E81" s="85">
        <v>54000</v>
      </c>
    </row>
    <row r="82" customHeight="1" spans="1:5">
      <c r="A82" s="10"/>
      <c r="B82" s="20" t="s">
        <v>120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56"/>
    </row>
    <row r="84" customHeight="1" spans="1:5">
      <c r="A84" s="10"/>
      <c r="B84" s="20" t="s">
        <v>205</v>
      </c>
      <c r="C84" s="25"/>
      <c r="D84" s="21"/>
      <c r="E84" s="156"/>
    </row>
    <row r="85" customHeight="1" spans="1:5">
      <c r="A85" s="10">
        <v>1</v>
      </c>
      <c r="B85" s="11" t="s">
        <v>208</v>
      </c>
      <c r="C85" s="4" t="s">
        <v>145</v>
      </c>
      <c r="D85" s="10" t="s">
        <v>39</v>
      </c>
      <c r="E85" s="85">
        <v>126000</v>
      </c>
    </row>
    <row r="86" customHeight="1" spans="1:5">
      <c r="A86" s="10">
        <v>2</v>
      </c>
      <c r="B86" s="11" t="s">
        <v>206</v>
      </c>
      <c r="C86" s="4" t="s">
        <v>145</v>
      </c>
      <c r="D86" s="10" t="s">
        <v>39</v>
      </c>
      <c r="E86" s="85">
        <v>126000</v>
      </c>
    </row>
    <row r="87" customHeight="1" spans="1:5">
      <c r="A87" s="10">
        <v>3</v>
      </c>
      <c r="B87" s="11" t="s">
        <v>479</v>
      </c>
      <c r="C87" s="4" t="s">
        <v>145</v>
      </c>
      <c r="D87" s="10" t="s">
        <v>42</v>
      </c>
      <c r="E87" s="85">
        <v>126000</v>
      </c>
    </row>
    <row r="88" ht="21.6" customHeight="1" spans="1:5">
      <c r="A88" s="10">
        <v>4</v>
      </c>
      <c r="B88" s="11" t="s">
        <v>211</v>
      </c>
      <c r="C88" s="4" t="s">
        <v>927</v>
      </c>
      <c r="D88" s="15" t="s">
        <v>56</v>
      </c>
      <c r="E88" s="85">
        <v>90000</v>
      </c>
    </row>
    <row r="89" ht="21.6" customHeight="1" spans="1:5">
      <c r="A89" s="10">
        <v>5</v>
      </c>
      <c r="B89" s="11" t="s">
        <v>212</v>
      </c>
      <c r="C89" s="12" t="s">
        <v>217</v>
      </c>
      <c r="D89" s="15" t="s">
        <v>601</v>
      </c>
      <c r="E89" s="85">
        <v>90000</v>
      </c>
    </row>
    <row r="90" ht="21.6" customHeight="1" spans="1:5">
      <c r="A90" s="10">
        <v>6</v>
      </c>
      <c r="B90" s="11" t="s">
        <v>213</v>
      </c>
      <c r="C90" s="12" t="s">
        <v>52</v>
      </c>
      <c r="D90" s="15" t="s">
        <v>600</v>
      </c>
      <c r="E90" s="85">
        <v>90000</v>
      </c>
    </row>
    <row r="91" ht="21.6" customHeight="1" spans="1:5">
      <c r="A91" s="10">
        <v>7</v>
      </c>
      <c r="B91" s="11" t="s">
        <v>215</v>
      </c>
      <c r="C91" s="17" t="s">
        <v>72</v>
      </c>
      <c r="D91" s="15" t="s">
        <v>131</v>
      </c>
      <c r="E91" s="85">
        <v>68000</v>
      </c>
    </row>
    <row r="92" ht="21.6" customHeight="1" spans="1:5">
      <c r="A92" s="10">
        <v>8</v>
      </c>
      <c r="B92" s="11" t="s">
        <v>216</v>
      </c>
      <c r="C92" s="17" t="s">
        <v>217</v>
      </c>
      <c r="D92" s="15" t="s">
        <v>67</v>
      </c>
      <c r="E92" s="85">
        <v>90000</v>
      </c>
    </row>
    <row r="93" ht="21.6" customHeight="1" spans="1:5">
      <c r="A93" s="10">
        <v>9</v>
      </c>
      <c r="B93" s="11" t="s">
        <v>220</v>
      </c>
      <c r="C93" s="4" t="s">
        <v>221</v>
      </c>
      <c r="D93" s="10" t="s">
        <v>75</v>
      </c>
      <c r="E93" s="220">
        <v>66000</v>
      </c>
    </row>
    <row r="94" ht="21.6" customHeight="1" spans="1:5">
      <c r="A94" s="10">
        <v>10</v>
      </c>
      <c r="B94" s="11" t="s">
        <v>224</v>
      </c>
      <c r="C94" s="17" t="s">
        <v>505</v>
      </c>
      <c r="D94" s="15" t="s">
        <v>108</v>
      </c>
      <c r="E94" s="220">
        <v>54000</v>
      </c>
    </row>
    <row r="95" customHeight="1" spans="1:5">
      <c r="A95" s="10"/>
      <c r="B95" s="20" t="s">
        <v>120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56"/>
    </row>
    <row r="97" customHeight="1" spans="1:5">
      <c r="A97" s="10"/>
      <c r="B97" s="20" t="s">
        <v>226</v>
      </c>
      <c r="C97" s="21"/>
      <c r="D97" s="21"/>
      <c r="E97" s="156"/>
    </row>
    <row r="98" customHeight="1" spans="1:5">
      <c r="A98" s="10">
        <v>1</v>
      </c>
      <c r="B98" s="14" t="s">
        <v>227</v>
      </c>
      <c r="C98" s="4" t="s">
        <v>650</v>
      </c>
      <c r="D98" s="16" t="s">
        <v>304</v>
      </c>
      <c r="E98" s="85">
        <v>270000</v>
      </c>
    </row>
    <row r="99" customHeight="1" spans="1:5">
      <c r="A99" s="10">
        <v>2</v>
      </c>
      <c r="B99" s="11" t="s">
        <v>229</v>
      </c>
      <c r="C99" s="4" t="s">
        <v>230</v>
      </c>
      <c r="D99" s="15" t="s">
        <v>214</v>
      </c>
      <c r="E99" s="85">
        <v>90000</v>
      </c>
    </row>
    <row r="100" customHeight="1" spans="1:5">
      <c r="A100" s="10">
        <v>3</v>
      </c>
      <c r="B100" s="11" t="s">
        <v>235</v>
      </c>
      <c r="C100" s="4" t="s">
        <v>651</v>
      </c>
      <c r="D100" s="15" t="s">
        <v>70</v>
      </c>
      <c r="E100" s="85">
        <v>68000</v>
      </c>
    </row>
    <row r="101" customHeight="1" spans="1:5">
      <c r="A101" s="10">
        <v>4</v>
      </c>
      <c r="B101" s="11" t="s">
        <v>236</v>
      </c>
      <c r="C101" s="4" t="s">
        <v>200</v>
      </c>
      <c r="D101" s="15" t="s">
        <v>75</v>
      </c>
      <c r="E101" s="85">
        <v>68000</v>
      </c>
    </row>
    <row r="102" customHeight="1" spans="1:5">
      <c r="A102" s="4"/>
      <c r="B102" s="20" t="s">
        <v>120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56"/>
    </row>
    <row r="104" customHeight="1" spans="1:5">
      <c r="A104" s="4"/>
      <c r="B104" s="20" t="s">
        <v>239</v>
      </c>
      <c r="C104" s="4"/>
      <c r="D104" s="4"/>
      <c r="E104" s="4"/>
    </row>
    <row r="105" customHeight="1" spans="1:5">
      <c r="A105" s="4">
        <v>1</v>
      </c>
      <c r="B105" s="11" t="s">
        <v>652</v>
      </c>
      <c r="C105" s="12" t="s">
        <v>241</v>
      </c>
      <c r="D105" s="15" t="s">
        <v>124</v>
      </c>
      <c r="E105" s="85">
        <v>270000</v>
      </c>
    </row>
    <row r="106" customHeight="1" spans="1:5">
      <c r="A106" s="4">
        <v>2</v>
      </c>
      <c r="B106" s="11" t="s">
        <v>242</v>
      </c>
      <c r="C106" s="4" t="s">
        <v>243</v>
      </c>
      <c r="D106" s="16" t="s">
        <v>36</v>
      </c>
      <c r="E106" s="85">
        <v>180000</v>
      </c>
    </row>
    <row r="107" customHeight="1" spans="1:5">
      <c r="A107" s="4">
        <v>3</v>
      </c>
      <c r="B107" s="11" t="s">
        <v>244</v>
      </c>
      <c r="C107" s="4" t="s">
        <v>653</v>
      </c>
      <c r="D107" s="10" t="s">
        <v>56</v>
      </c>
      <c r="E107" s="85">
        <v>90000</v>
      </c>
    </row>
    <row r="108" customHeight="1" spans="1:5">
      <c r="A108" s="4">
        <v>4</v>
      </c>
      <c r="B108" s="11" t="s">
        <v>246</v>
      </c>
      <c r="C108" s="4" t="s">
        <v>653</v>
      </c>
      <c r="D108" s="10" t="s">
        <v>56</v>
      </c>
      <c r="E108" s="85">
        <v>90000</v>
      </c>
    </row>
    <row r="109" customHeight="1" spans="1:5">
      <c r="A109" s="4">
        <v>5</v>
      </c>
      <c r="B109" s="11" t="s">
        <v>249</v>
      </c>
      <c r="C109" s="4" t="s">
        <v>250</v>
      </c>
      <c r="D109" s="15" t="s">
        <v>928</v>
      </c>
      <c r="E109" s="220">
        <v>54000</v>
      </c>
    </row>
    <row r="110" customHeight="1" spans="1:5">
      <c r="A110" s="4">
        <v>6</v>
      </c>
      <c r="B110" s="18" t="s">
        <v>252</v>
      </c>
      <c r="C110" s="4" t="s">
        <v>250</v>
      </c>
      <c r="D110" s="10" t="s">
        <v>506</v>
      </c>
      <c r="E110" s="220">
        <v>54000</v>
      </c>
    </row>
    <row r="111" customHeight="1" spans="1:5">
      <c r="A111" s="4">
        <v>7</v>
      </c>
      <c r="B111" s="18" t="s">
        <v>253</v>
      </c>
      <c r="C111" s="4" t="s">
        <v>250</v>
      </c>
      <c r="D111" s="15" t="s">
        <v>108</v>
      </c>
      <c r="E111" s="220">
        <v>54000</v>
      </c>
    </row>
    <row r="112" ht="25.5" customHeight="1" spans="1:5">
      <c r="A112" s="4"/>
      <c r="B112" s="20" t="s">
        <v>120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257</v>
      </c>
      <c r="C114" s="21"/>
      <c r="D114" s="21"/>
      <c r="E114" s="156"/>
    </row>
    <row r="115" customHeight="1" spans="1:5">
      <c r="A115" s="10">
        <v>1</v>
      </c>
      <c r="B115" s="14" t="s">
        <v>165</v>
      </c>
      <c r="C115" s="4" t="s">
        <v>145</v>
      </c>
      <c r="D115" s="10" t="s">
        <v>50</v>
      </c>
      <c r="E115" s="85">
        <v>126000</v>
      </c>
    </row>
    <row r="116" ht="18.75" customHeight="1" spans="1:5">
      <c r="A116" s="10">
        <v>2</v>
      </c>
      <c r="B116" s="11" t="s">
        <v>259</v>
      </c>
      <c r="C116" s="4" t="s">
        <v>260</v>
      </c>
      <c r="D116" s="15" t="s">
        <v>70</v>
      </c>
      <c r="E116" s="85">
        <v>68000</v>
      </c>
    </row>
    <row r="117" customHeight="1" spans="1:5">
      <c r="A117" s="10">
        <v>3</v>
      </c>
      <c r="B117" s="11" t="s">
        <v>193</v>
      </c>
      <c r="C117" s="12" t="s">
        <v>929</v>
      </c>
      <c r="D117" s="15" t="s">
        <v>173</v>
      </c>
      <c r="E117" s="85">
        <v>68000</v>
      </c>
    </row>
    <row r="118" ht="24.75" customHeight="1" spans="1:5">
      <c r="A118" s="4"/>
      <c r="B118" s="20" t="s">
        <v>120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278</v>
      </c>
      <c r="C120" s="21"/>
      <c r="D120" s="21"/>
      <c r="E120" s="156"/>
    </row>
    <row r="121" customHeight="1" spans="1:5">
      <c r="A121" s="4">
        <v>1</v>
      </c>
      <c r="B121" s="11" t="s">
        <v>279</v>
      </c>
      <c r="C121" s="12" t="s">
        <v>280</v>
      </c>
      <c r="D121" s="15" t="s">
        <v>124</v>
      </c>
      <c r="E121" s="85">
        <v>270000</v>
      </c>
    </row>
    <row r="122" customHeight="1" spans="1:5">
      <c r="A122" s="4">
        <v>2</v>
      </c>
      <c r="B122" s="11" t="s">
        <v>281</v>
      </c>
      <c r="C122" s="12" t="s">
        <v>654</v>
      </c>
      <c r="D122" s="15" t="s">
        <v>210</v>
      </c>
      <c r="E122" s="85">
        <v>180000</v>
      </c>
    </row>
    <row r="123" customHeight="1" spans="1:5">
      <c r="A123" s="4">
        <v>3</v>
      </c>
      <c r="B123" s="14" t="s">
        <v>283</v>
      </c>
      <c r="C123" s="12" t="s">
        <v>655</v>
      </c>
      <c r="D123" s="15" t="s">
        <v>39</v>
      </c>
      <c r="E123" s="85">
        <v>126000</v>
      </c>
    </row>
    <row r="124" customHeight="1" spans="1:5">
      <c r="A124" s="4">
        <v>4</v>
      </c>
      <c r="B124" s="14" t="s">
        <v>930</v>
      </c>
      <c r="C124" s="12" t="s">
        <v>655</v>
      </c>
      <c r="D124" s="15" t="s">
        <v>42</v>
      </c>
      <c r="E124" s="85">
        <v>126000</v>
      </c>
    </row>
    <row r="125" customHeight="1" spans="1:5">
      <c r="A125" s="4">
        <v>5</v>
      </c>
      <c r="B125" s="11" t="s">
        <v>286</v>
      </c>
      <c r="C125" s="12" t="s">
        <v>288</v>
      </c>
      <c r="D125" s="15" t="s">
        <v>47</v>
      </c>
      <c r="E125" s="85">
        <v>90000</v>
      </c>
    </row>
    <row r="126" customHeight="1" spans="1:5">
      <c r="A126" s="4">
        <v>6</v>
      </c>
      <c r="B126" s="11" t="s">
        <v>287</v>
      </c>
      <c r="C126" s="12" t="s">
        <v>656</v>
      </c>
      <c r="D126" s="15" t="s">
        <v>53</v>
      </c>
      <c r="E126" s="85">
        <v>90000</v>
      </c>
    </row>
    <row r="127" customHeight="1" spans="1:5">
      <c r="A127" s="4">
        <v>7</v>
      </c>
      <c r="B127" s="11" t="s">
        <v>289</v>
      </c>
      <c r="C127" s="12" t="s">
        <v>288</v>
      </c>
      <c r="D127" s="15" t="s">
        <v>214</v>
      </c>
      <c r="E127" s="85">
        <v>90000</v>
      </c>
    </row>
    <row r="128" customHeight="1" spans="1:5">
      <c r="A128" s="4">
        <v>8</v>
      </c>
      <c r="B128" s="11" t="s">
        <v>292</v>
      </c>
      <c r="C128" s="12" t="s">
        <v>657</v>
      </c>
      <c r="D128" s="10" t="s">
        <v>86</v>
      </c>
      <c r="E128" s="85">
        <v>54000</v>
      </c>
    </row>
    <row r="129" customHeight="1" spans="1:5">
      <c r="A129" s="4">
        <v>9</v>
      </c>
      <c r="B129" s="18" t="s">
        <v>294</v>
      </c>
      <c r="C129" s="12" t="s">
        <v>295</v>
      </c>
      <c r="D129" s="15" t="s">
        <v>111</v>
      </c>
      <c r="E129" s="85">
        <v>54000</v>
      </c>
    </row>
    <row r="130" customHeight="1" spans="1:5">
      <c r="A130" s="4">
        <v>10</v>
      </c>
      <c r="B130" s="18" t="s">
        <v>296</v>
      </c>
      <c r="C130" s="12" t="s">
        <v>291</v>
      </c>
      <c r="D130" s="15" t="s">
        <v>111</v>
      </c>
      <c r="E130" s="85">
        <v>54000</v>
      </c>
    </row>
    <row r="131" ht="28.5" customHeight="1" spans="1:5">
      <c r="A131" s="4"/>
      <c r="B131" s="20" t="s">
        <v>120</v>
      </c>
      <c r="C131" s="26" t="s">
        <v>658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56"/>
    </row>
    <row r="133" customHeight="1" spans="1:5">
      <c r="A133" s="4"/>
      <c r="B133" s="20" t="s">
        <v>299</v>
      </c>
      <c r="C133" s="12"/>
      <c r="D133" s="15"/>
      <c r="E133" s="85"/>
    </row>
    <row r="134" customHeight="1" spans="1:5">
      <c r="A134" s="27">
        <v>1</v>
      </c>
      <c r="B134" s="11" t="s">
        <v>931</v>
      </c>
      <c r="C134" s="12" t="s">
        <v>932</v>
      </c>
      <c r="D134" s="15" t="s">
        <v>124</v>
      </c>
      <c r="E134" s="85">
        <v>270000</v>
      </c>
    </row>
    <row r="135" customHeight="1" spans="1:5">
      <c r="A135" s="27">
        <v>2</v>
      </c>
      <c r="B135" s="11" t="s">
        <v>933</v>
      </c>
      <c r="C135" s="12" t="s">
        <v>934</v>
      </c>
      <c r="D135" s="15" t="s">
        <v>36</v>
      </c>
      <c r="E135" s="85">
        <v>180000</v>
      </c>
    </row>
    <row r="136" customHeight="1" spans="1:5">
      <c r="A136" s="27">
        <v>3</v>
      </c>
      <c r="B136" s="14" t="s">
        <v>302</v>
      </c>
      <c r="C136" s="4" t="s">
        <v>488</v>
      </c>
      <c r="D136" s="16" t="s">
        <v>36</v>
      </c>
      <c r="E136" s="85">
        <v>180000</v>
      </c>
    </row>
    <row r="137" customHeight="1" spans="1:5">
      <c r="A137" s="27">
        <v>4</v>
      </c>
      <c r="B137" s="11" t="s">
        <v>305</v>
      </c>
      <c r="C137" s="12" t="s">
        <v>935</v>
      </c>
      <c r="D137" s="15" t="s">
        <v>192</v>
      </c>
      <c r="E137" s="85">
        <v>90000</v>
      </c>
    </row>
    <row r="138" customHeight="1" spans="1:5">
      <c r="A138" s="27">
        <v>5</v>
      </c>
      <c r="B138" s="11" t="s">
        <v>307</v>
      </c>
      <c r="C138" s="4" t="s">
        <v>311</v>
      </c>
      <c r="D138" s="15" t="s">
        <v>192</v>
      </c>
      <c r="E138" s="85">
        <v>90000</v>
      </c>
    </row>
    <row r="139" customHeight="1" spans="1:5">
      <c r="A139" s="27">
        <v>6</v>
      </c>
      <c r="B139" s="11" t="s">
        <v>309</v>
      </c>
      <c r="C139" s="4" t="s">
        <v>311</v>
      </c>
      <c r="D139" s="15" t="s">
        <v>192</v>
      </c>
      <c r="E139" s="85">
        <v>90000</v>
      </c>
    </row>
    <row r="140" customHeight="1" spans="1:5">
      <c r="A140" s="27">
        <v>7</v>
      </c>
      <c r="B140" s="11" t="s">
        <v>231</v>
      </c>
      <c r="C140" s="12" t="s">
        <v>936</v>
      </c>
      <c r="D140" s="15" t="s">
        <v>173</v>
      </c>
      <c r="E140" s="85">
        <v>68000</v>
      </c>
    </row>
    <row r="141" customHeight="1" spans="1:5">
      <c r="A141" s="27">
        <v>8</v>
      </c>
      <c r="B141" s="11" t="s">
        <v>312</v>
      </c>
      <c r="C141" s="12" t="s">
        <v>936</v>
      </c>
      <c r="D141" s="15" t="s">
        <v>173</v>
      </c>
      <c r="E141" s="85">
        <v>68000</v>
      </c>
    </row>
    <row r="142" customHeight="1" spans="1:5">
      <c r="A142" s="27">
        <v>9</v>
      </c>
      <c r="B142" s="11" t="s">
        <v>313</v>
      </c>
      <c r="C142" s="4" t="s">
        <v>937</v>
      </c>
      <c r="D142" s="15" t="s">
        <v>173</v>
      </c>
      <c r="E142" s="85">
        <v>68000</v>
      </c>
    </row>
    <row r="143" customHeight="1" spans="1:5">
      <c r="A143" s="27">
        <v>10</v>
      </c>
      <c r="B143" s="11" t="s">
        <v>315</v>
      </c>
      <c r="C143" s="12" t="s">
        <v>660</v>
      </c>
      <c r="D143" s="15" t="s">
        <v>70</v>
      </c>
      <c r="E143" s="85">
        <v>68000</v>
      </c>
    </row>
    <row r="144" customHeight="1" spans="1:5">
      <c r="A144" s="27">
        <v>11</v>
      </c>
      <c r="B144" s="11" t="s">
        <v>317</v>
      </c>
      <c r="C144" s="12" t="s">
        <v>318</v>
      </c>
      <c r="D144" s="15" t="s">
        <v>131</v>
      </c>
      <c r="E144" s="85">
        <v>68000</v>
      </c>
    </row>
    <row r="145" customHeight="1" spans="1:5">
      <c r="A145" s="27">
        <v>12</v>
      </c>
      <c r="B145" s="11" t="s">
        <v>62</v>
      </c>
      <c r="C145" s="12" t="s">
        <v>938</v>
      </c>
      <c r="D145" s="15" t="s">
        <v>173</v>
      </c>
      <c r="E145" s="85">
        <v>68000</v>
      </c>
    </row>
    <row r="146" customHeight="1" spans="1:5">
      <c r="A146" s="27">
        <v>13</v>
      </c>
      <c r="B146" s="18" t="s">
        <v>319</v>
      </c>
      <c r="C146" s="4" t="s">
        <v>320</v>
      </c>
      <c r="D146" s="15" t="s">
        <v>180</v>
      </c>
      <c r="E146" s="85">
        <v>68000</v>
      </c>
    </row>
    <row r="147" customHeight="1" spans="1:5">
      <c r="A147" s="27">
        <v>14</v>
      </c>
      <c r="B147" s="11" t="s">
        <v>321</v>
      </c>
      <c r="C147" s="4" t="s">
        <v>939</v>
      </c>
      <c r="D147" s="15" t="s">
        <v>78</v>
      </c>
      <c r="E147" s="85">
        <v>68000</v>
      </c>
    </row>
    <row r="148" customHeight="1" spans="1:5">
      <c r="A148" s="27">
        <v>15</v>
      </c>
      <c r="B148" s="11" t="s">
        <v>322</v>
      </c>
      <c r="C148" s="4" t="s">
        <v>939</v>
      </c>
      <c r="D148" s="15" t="s">
        <v>153</v>
      </c>
      <c r="E148" s="85">
        <v>68000</v>
      </c>
    </row>
    <row r="149" customHeight="1" spans="1:5">
      <c r="A149" s="27">
        <v>16</v>
      </c>
      <c r="B149" s="11" t="s">
        <v>324</v>
      </c>
      <c r="C149" s="4" t="s">
        <v>939</v>
      </c>
      <c r="D149" s="15" t="s">
        <v>153</v>
      </c>
      <c r="E149" s="85">
        <v>68000</v>
      </c>
    </row>
    <row r="150" customHeight="1" spans="1:5">
      <c r="A150" s="27">
        <v>17</v>
      </c>
      <c r="B150" s="11" t="s">
        <v>325</v>
      </c>
      <c r="C150" s="12" t="s">
        <v>326</v>
      </c>
      <c r="D150" s="15" t="s">
        <v>75</v>
      </c>
      <c r="E150" s="85">
        <v>68000</v>
      </c>
    </row>
    <row r="151" customHeight="1" spans="1:5">
      <c r="A151" s="27">
        <v>18</v>
      </c>
      <c r="B151" s="11" t="s">
        <v>327</v>
      </c>
      <c r="C151" s="12" t="s">
        <v>328</v>
      </c>
      <c r="D151" s="10" t="s">
        <v>99</v>
      </c>
      <c r="E151" s="85">
        <v>54000</v>
      </c>
    </row>
    <row r="152" customHeight="1" spans="1:5">
      <c r="A152" s="27">
        <v>19</v>
      </c>
      <c r="B152" s="11" t="s">
        <v>329</v>
      </c>
      <c r="C152" s="12" t="s">
        <v>661</v>
      </c>
      <c r="D152" s="15" t="s">
        <v>78</v>
      </c>
      <c r="E152" s="220">
        <v>68000</v>
      </c>
    </row>
    <row r="153" customHeight="1" spans="1:5">
      <c r="A153" s="27">
        <v>20</v>
      </c>
      <c r="B153" s="11" t="s">
        <v>331</v>
      </c>
      <c r="C153" s="12" t="s">
        <v>662</v>
      </c>
      <c r="D153" s="15" t="s">
        <v>86</v>
      </c>
      <c r="E153" s="220">
        <v>54000</v>
      </c>
    </row>
    <row r="154" customHeight="1" spans="1:5">
      <c r="A154" s="27">
        <v>21</v>
      </c>
      <c r="B154" s="11" t="s">
        <v>333</v>
      </c>
      <c r="C154" s="12" t="s">
        <v>663</v>
      </c>
      <c r="D154" s="15" t="s">
        <v>78</v>
      </c>
      <c r="E154" s="220">
        <v>68000</v>
      </c>
    </row>
    <row r="155" customHeight="1" spans="1:5">
      <c r="A155" s="27">
        <v>22</v>
      </c>
      <c r="B155" s="11" t="s">
        <v>334</v>
      </c>
      <c r="C155" s="12" t="s">
        <v>664</v>
      </c>
      <c r="D155" s="15" t="s">
        <v>86</v>
      </c>
      <c r="E155" s="220">
        <v>54000</v>
      </c>
    </row>
    <row r="156" customHeight="1" spans="1:5">
      <c r="A156" s="27">
        <v>23</v>
      </c>
      <c r="B156" s="18" t="s">
        <v>336</v>
      </c>
      <c r="C156" s="12" t="s">
        <v>337</v>
      </c>
      <c r="D156" s="15" t="s">
        <v>225</v>
      </c>
      <c r="E156" s="220">
        <v>54000</v>
      </c>
    </row>
    <row r="157" customHeight="1" spans="1:5">
      <c r="A157" s="27">
        <v>24</v>
      </c>
      <c r="B157" s="18" t="s">
        <v>343</v>
      </c>
      <c r="C157" s="12" t="s">
        <v>344</v>
      </c>
      <c r="D157" s="15" t="s">
        <v>111</v>
      </c>
      <c r="E157" s="220">
        <v>54000</v>
      </c>
    </row>
    <row r="158" customHeight="1" spans="1:5">
      <c r="A158" s="27">
        <v>25</v>
      </c>
      <c r="B158" s="18" t="s">
        <v>345</v>
      </c>
      <c r="C158" s="12" t="s">
        <v>346</v>
      </c>
      <c r="D158" s="15" t="s">
        <v>111</v>
      </c>
      <c r="E158" s="220">
        <v>54000</v>
      </c>
    </row>
    <row r="159" customHeight="1" spans="1:5">
      <c r="A159" s="27">
        <v>26</v>
      </c>
      <c r="B159" s="18" t="s">
        <v>347</v>
      </c>
      <c r="C159" s="12" t="s">
        <v>348</v>
      </c>
      <c r="D159" s="15" t="s">
        <v>111</v>
      </c>
      <c r="E159" s="220">
        <v>54000</v>
      </c>
    </row>
    <row r="160" customHeight="1" spans="1:5">
      <c r="A160" s="27">
        <v>27</v>
      </c>
      <c r="B160" s="18" t="s">
        <v>349</v>
      </c>
      <c r="C160" s="12" t="s">
        <v>665</v>
      </c>
      <c r="D160" s="15" t="s">
        <v>108</v>
      </c>
      <c r="E160" s="220">
        <v>54000</v>
      </c>
    </row>
    <row r="161" customHeight="1" spans="1:5">
      <c r="A161" s="27">
        <v>28</v>
      </c>
      <c r="B161" s="18" t="s">
        <v>350</v>
      </c>
      <c r="C161" s="12" t="s">
        <v>346</v>
      </c>
      <c r="D161" s="15" t="s">
        <v>111</v>
      </c>
      <c r="E161" s="220">
        <v>54000</v>
      </c>
    </row>
    <row r="162" customHeight="1" spans="1:5">
      <c r="A162" s="27">
        <v>29</v>
      </c>
      <c r="B162" s="11" t="s">
        <v>359</v>
      </c>
      <c r="C162" s="12" t="s">
        <v>512</v>
      </c>
      <c r="D162" s="15" t="s">
        <v>384</v>
      </c>
      <c r="E162" s="226">
        <v>36000</v>
      </c>
    </row>
    <row r="163" customHeight="1" spans="1:5">
      <c r="A163" s="27">
        <v>30</v>
      </c>
      <c r="B163" s="11" t="s">
        <v>362</v>
      </c>
      <c r="C163" s="12" t="s">
        <v>512</v>
      </c>
      <c r="D163" s="15" t="s">
        <v>384</v>
      </c>
      <c r="E163" s="226">
        <v>36000</v>
      </c>
    </row>
    <row r="164" customHeight="1" spans="1:5">
      <c r="A164" s="27">
        <v>31</v>
      </c>
      <c r="B164" s="11" t="s">
        <v>666</v>
      </c>
      <c r="C164" s="12" t="s">
        <v>512</v>
      </c>
      <c r="D164" s="15" t="s">
        <v>384</v>
      </c>
      <c r="E164" s="226">
        <v>36000</v>
      </c>
    </row>
    <row r="165" customHeight="1" spans="1:5">
      <c r="A165" s="27">
        <v>32</v>
      </c>
      <c r="B165" s="11" t="s">
        <v>363</v>
      </c>
      <c r="C165" s="12" t="s">
        <v>512</v>
      </c>
      <c r="D165" s="15" t="s">
        <v>384</v>
      </c>
      <c r="E165" s="226">
        <v>36000</v>
      </c>
    </row>
    <row r="166" customHeight="1" spans="1:5">
      <c r="A166" s="27">
        <v>33</v>
      </c>
      <c r="B166" s="11" t="s">
        <v>364</v>
      </c>
      <c r="C166" s="12" t="s">
        <v>512</v>
      </c>
      <c r="D166" s="15" t="s">
        <v>384</v>
      </c>
      <c r="E166" s="226">
        <v>36000</v>
      </c>
    </row>
    <row r="167" customHeight="1" spans="1:5">
      <c r="A167" s="27">
        <v>34</v>
      </c>
      <c r="B167" s="11" t="s">
        <v>365</v>
      </c>
      <c r="C167" s="12" t="s">
        <v>512</v>
      </c>
      <c r="D167" s="15" t="s">
        <v>377</v>
      </c>
      <c r="E167" s="226">
        <v>36000</v>
      </c>
    </row>
    <row r="168" customHeight="1" spans="1:5">
      <c r="A168" s="27">
        <v>35</v>
      </c>
      <c r="B168" s="11" t="s">
        <v>367</v>
      </c>
      <c r="C168" s="12" t="s">
        <v>512</v>
      </c>
      <c r="D168" s="15" t="s">
        <v>377</v>
      </c>
      <c r="E168" s="226">
        <v>36000</v>
      </c>
    </row>
    <row r="169" customHeight="1" spans="1:5">
      <c r="A169" s="27">
        <v>36</v>
      </c>
      <c r="B169" s="14" t="s">
        <v>368</v>
      </c>
      <c r="C169" s="12" t="s">
        <v>512</v>
      </c>
      <c r="D169" s="15" t="s">
        <v>377</v>
      </c>
      <c r="E169" s="226">
        <v>36000</v>
      </c>
    </row>
    <row r="170" customHeight="1" spans="1:5">
      <c r="A170" s="27">
        <v>37</v>
      </c>
      <c r="B170" s="11" t="s">
        <v>369</v>
      </c>
      <c r="C170" s="12" t="s">
        <v>512</v>
      </c>
      <c r="D170" s="15" t="s">
        <v>377</v>
      </c>
      <c r="E170" s="226">
        <v>36000</v>
      </c>
    </row>
    <row r="171" customHeight="1" spans="1:5">
      <c r="A171" s="27">
        <v>38</v>
      </c>
      <c r="B171" s="18" t="s">
        <v>370</v>
      </c>
      <c r="C171" s="12" t="s">
        <v>512</v>
      </c>
      <c r="D171" s="15" t="s">
        <v>377</v>
      </c>
      <c r="E171" s="226">
        <v>36000</v>
      </c>
    </row>
    <row r="172" customHeight="1" spans="1:5">
      <c r="A172" s="27">
        <v>39</v>
      </c>
      <c r="B172" s="18" t="s">
        <v>357</v>
      </c>
      <c r="C172" s="12" t="s">
        <v>512</v>
      </c>
      <c r="D172" s="15" t="s">
        <v>377</v>
      </c>
      <c r="E172" s="226">
        <v>36000</v>
      </c>
    </row>
    <row r="173" customHeight="1" spans="1:5">
      <c r="A173" s="27">
        <v>40</v>
      </c>
      <c r="B173" s="11" t="s">
        <v>371</v>
      </c>
      <c r="C173" s="12" t="s">
        <v>360</v>
      </c>
      <c r="D173" s="15" t="s">
        <v>607</v>
      </c>
      <c r="E173" s="226">
        <v>36000</v>
      </c>
    </row>
    <row r="174" customHeight="1" spans="1:5">
      <c r="A174" s="27">
        <v>41</v>
      </c>
      <c r="B174" s="11" t="s">
        <v>373</v>
      </c>
      <c r="C174" s="12" t="s">
        <v>360</v>
      </c>
      <c r="D174" s="15" t="s">
        <v>607</v>
      </c>
      <c r="E174" s="226">
        <v>36000</v>
      </c>
    </row>
    <row r="175" customHeight="1" spans="1:5">
      <c r="A175" s="27">
        <v>42</v>
      </c>
      <c r="B175" s="18" t="s">
        <v>374</v>
      </c>
      <c r="C175" s="12" t="s">
        <v>360</v>
      </c>
      <c r="D175" s="15" t="s">
        <v>606</v>
      </c>
      <c r="E175" s="226">
        <v>36000</v>
      </c>
    </row>
    <row r="176" customHeight="1" spans="1:5">
      <c r="A176" s="27">
        <v>43</v>
      </c>
      <c r="B176" s="11" t="s">
        <v>376</v>
      </c>
      <c r="C176" s="12" t="s">
        <v>387</v>
      </c>
      <c r="D176" s="15" t="s">
        <v>608</v>
      </c>
      <c r="E176" s="85">
        <v>36000</v>
      </c>
    </row>
    <row r="177" customHeight="1" spans="1:5">
      <c r="A177" s="27">
        <v>44</v>
      </c>
      <c r="B177" s="11" t="s">
        <v>378</v>
      </c>
      <c r="C177" s="12" t="s">
        <v>514</v>
      </c>
      <c r="D177" s="15" t="s">
        <v>669</v>
      </c>
      <c r="E177" s="85">
        <v>36000</v>
      </c>
    </row>
    <row r="178" customHeight="1" spans="1:5">
      <c r="A178" s="27">
        <v>45</v>
      </c>
      <c r="B178" s="11" t="s">
        <v>379</v>
      </c>
      <c r="C178" s="12" t="s">
        <v>514</v>
      </c>
      <c r="D178" s="15" t="s">
        <v>669</v>
      </c>
      <c r="E178" s="85">
        <v>36000</v>
      </c>
    </row>
    <row r="179" customHeight="1" spans="1:5">
      <c r="A179" s="27">
        <v>46</v>
      </c>
      <c r="B179" s="11" t="s">
        <v>380</v>
      </c>
      <c r="C179" s="12" t="s">
        <v>514</v>
      </c>
      <c r="D179" s="15" t="s">
        <v>669</v>
      </c>
      <c r="E179" s="85">
        <v>36000</v>
      </c>
    </row>
    <row r="180" customHeight="1" spans="1:5">
      <c r="A180" s="27">
        <v>47</v>
      </c>
      <c r="B180" s="11" t="s">
        <v>381</v>
      </c>
      <c r="C180" s="12" t="s">
        <v>514</v>
      </c>
      <c r="D180" s="15" t="s">
        <v>669</v>
      </c>
      <c r="E180" s="85">
        <v>36000</v>
      </c>
    </row>
    <row r="181" customHeight="1" spans="1:5">
      <c r="A181" s="27">
        <v>48</v>
      </c>
      <c r="B181" s="11" t="s">
        <v>382</v>
      </c>
      <c r="C181" s="12" t="s">
        <v>514</v>
      </c>
      <c r="D181" s="15" t="s">
        <v>669</v>
      </c>
      <c r="E181" s="85">
        <v>36000</v>
      </c>
    </row>
    <row r="182" customHeight="1" spans="1:5">
      <c r="A182" s="27">
        <v>49</v>
      </c>
      <c r="B182" s="18" t="s">
        <v>383</v>
      </c>
      <c r="C182" s="12" t="s">
        <v>514</v>
      </c>
      <c r="D182" s="15" t="s">
        <v>669</v>
      </c>
      <c r="E182" s="85">
        <v>36000</v>
      </c>
    </row>
    <row r="183" customHeight="1" spans="1:5">
      <c r="A183" s="27">
        <v>50</v>
      </c>
      <c r="B183" s="18" t="s">
        <v>385</v>
      </c>
      <c r="C183" s="12" t="s">
        <v>514</v>
      </c>
      <c r="D183" s="15" t="s">
        <v>669</v>
      </c>
      <c r="E183" s="85">
        <v>36000</v>
      </c>
    </row>
    <row r="184" customHeight="1" spans="1:5">
      <c r="A184" s="27">
        <v>51</v>
      </c>
      <c r="B184" s="11" t="s">
        <v>668</v>
      </c>
      <c r="C184" s="12" t="s">
        <v>387</v>
      </c>
      <c r="D184" s="15" t="s">
        <v>669</v>
      </c>
      <c r="E184" s="85">
        <v>36000</v>
      </c>
    </row>
    <row r="185" customHeight="1" spans="1:5">
      <c r="A185" s="27">
        <v>52</v>
      </c>
      <c r="B185" s="11" t="s">
        <v>386</v>
      </c>
      <c r="C185" s="12" t="s">
        <v>387</v>
      </c>
      <c r="D185" s="15" t="s">
        <v>669</v>
      </c>
      <c r="E185" s="85">
        <v>36000</v>
      </c>
    </row>
    <row r="186" customHeight="1" spans="1:5">
      <c r="A186" s="27">
        <v>53</v>
      </c>
      <c r="B186" s="18" t="s">
        <v>358</v>
      </c>
      <c r="C186" s="12" t="s">
        <v>390</v>
      </c>
      <c r="D186" s="15" t="s">
        <v>391</v>
      </c>
      <c r="E186" s="85">
        <v>36000</v>
      </c>
    </row>
    <row r="187" customHeight="1" spans="1:5">
      <c r="A187" s="27">
        <v>54</v>
      </c>
      <c r="B187" s="18" t="s">
        <v>392</v>
      </c>
      <c r="C187" s="12" t="s">
        <v>514</v>
      </c>
      <c r="D187" s="15" t="s">
        <v>398</v>
      </c>
      <c r="E187" s="85">
        <v>36000</v>
      </c>
    </row>
    <row r="188" customHeight="1" spans="1:5">
      <c r="A188" s="27">
        <v>55</v>
      </c>
      <c r="B188" s="18" t="s">
        <v>396</v>
      </c>
      <c r="C188" s="12" t="s">
        <v>397</v>
      </c>
      <c r="D188" s="15" t="s">
        <v>940</v>
      </c>
      <c r="E188" s="85">
        <v>36000</v>
      </c>
    </row>
    <row r="189" customHeight="1" spans="1:5">
      <c r="A189" s="27">
        <v>56</v>
      </c>
      <c r="B189" s="18" t="s">
        <v>399</v>
      </c>
      <c r="C189" s="12" t="s">
        <v>397</v>
      </c>
      <c r="D189" s="15" t="s">
        <v>940</v>
      </c>
      <c r="E189" s="85">
        <v>36000</v>
      </c>
    </row>
    <row r="190" customHeight="1" spans="1:5">
      <c r="A190" s="27">
        <v>57</v>
      </c>
      <c r="B190" s="18" t="s">
        <v>400</v>
      </c>
      <c r="C190" s="12" t="s">
        <v>397</v>
      </c>
      <c r="D190" s="15" t="s">
        <v>940</v>
      </c>
      <c r="E190" s="85">
        <v>36000</v>
      </c>
    </row>
    <row r="191" customHeight="1" spans="1:5">
      <c r="A191" s="27">
        <v>58</v>
      </c>
      <c r="B191" s="18" t="s">
        <v>401</v>
      </c>
      <c r="C191" s="12" t="s">
        <v>402</v>
      </c>
      <c r="D191" s="15" t="s">
        <v>393</v>
      </c>
      <c r="E191" s="85">
        <v>36000</v>
      </c>
    </row>
    <row r="192" customHeight="1" spans="1:5">
      <c r="A192" s="27">
        <v>59</v>
      </c>
      <c r="B192" s="18" t="s">
        <v>404</v>
      </c>
      <c r="C192" s="12" t="s">
        <v>402</v>
      </c>
      <c r="D192" s="15" t="s">
        <v>393</v>
      </c>
      <c r="E192" s="85">
        <v>36000</v>
      </c>
    </row>
    <row r="193" ht="30.75" customHeight="1" spans="1:5">
      <c r="A193" s="27"/>
      <c r="B193" s="8" t="s">
        <v>120</v>
      </c>
      <c r="C193" s="28" t="s">
        <v>941</v>
      </c>
      <c r="D193" s="29"/>
      <c r="E193" s="93">
        <f>SUM(E134:E192)</f>
        <v>3386000</v>
      </c>
    </row>
    <row r="194" ht="42.75" customHeight="1" spans="1:5">
      <c r="A194" s="4"/>
      <c r="B194" s="30" t="s">
        <v>406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1:5">
      <c r="B195" s="33"/>
      <c r="D195" s="34"/>
      <c r="E195" s="34"/>
    </row>
    <row r="196" ht="36.75" customHeight="1" spans="1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7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7">
      <c r="A2" s="502" t="s">
        <v>1138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1:17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831</v>
      </c>
      <c r="F4" s="218" t="s">
        <v>1139</v>
      </c>
      <c r="G4" s="218" t="s">
        <v>1140</v>
      </c>
      <c r="H4" s="218" t="s">
        <v>1141</v>
      </c>
      <c r="I4" s="218" t="s">
        <v>8</v>
      </c>
      <c r="J4" s="505" t="s">
        <v>1046</v>
      </c>
      <c r="K4" s="505" t="s">
        <v>1142</v>
      </c>
      <c r="L4" s="505" t="s">
        <v>1143</v>
      </c>
      <c r="M4" s="506" t="s">
        <v>1144</v>
      </c>
      <c r="N4" s="568" t="s">
        <v>1145</v>
      </c>
      <c r="O4" s="568" t="s">
        <v>1146</v>
      </c>
      <c r="P4" s="569"/>
      <c r="Q4" s="570" t="s">
        <v>1147</v>
      </c>
    </row>
    <row r="5" ht="17.25" customHeight="1" spans="1:17">
      <c r="C5" s="8"/>
      <c r="D5" s="8"/>
      <c r="L5" s="369" t="s">
        <v>623</v>
      </c>
      <c r="O5" s="571" t="s">
        <v>624</v>
      </c>
      <c r="P5" s="572"/>
      <c r="Q5" s="369" t="s">
        <v>1148</v>
      </c>
    </row>
    <row r="6" ht="20.1" customHeight="1" spans="1:17">
      <c r="A6" s="9" t="s">
        <v>22</v>
      </c>
      <c r="B6" s="8" t="s">
        <v>23</v>
      </c>
      <c r="C6" s="8"/>
      <c r="D6" s="8"/>
      <c r="E6" s="82" t="s">
        <v>21</v>
      </c>
      <c r="F6" s="82" t="s">
        <v>21</v>
      </c>
      <c r="G6" s="82" t="s">
        <v>21</v>
      </c>
      <c r="H6" s="82" t="s">
        <v>21</v>
      </c>
      <c r="I6" s="82" t="s">
        <v>21</v>
      </c>
      <c r="J6" s="82" t="s">
        <v>21</v>
      </c>
      <c r="K6" s="82" t="s">
        <v>21</v>
      </c>
      <c r="L6" s="82" t="s">
        <v>21</v>
      </c>
      <c r="M6" s="82" t="s">
        <v>21</v>
      </c>
      <c r="N6" s="573" t="s">
        <v>21</v>
      </c>
      <c r="O6" s="573" t="s">
        <v>21</v>
      </c>
      <c r="P6" s="574"/>
      <c r="Q6" s="575" t="s">
        <v>21</v>
      </c>
    </row>
    <row r="7" ht="20.1" customHeight="1" spans="1:17">
      <c r="A7" s="10">
        <v>1</v>
      </c>
      <c r="B7" s="11" t="s">
        <v>24</v>
      </c>
      <c r="C7" s="12" t="s">
        <v>25</v>
      </c>
      <c r="D7" s="12" t="s">
        <v>26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6">
        <v>201165.835946667</v>
      </c>
      <c r="O7" s="577">
        <f>M7-N7</f>
        <v>149018.174784</v>
      </c>
      <c r="P7" s="578"/>
      <c r="Q7" s="579">
        <f>L7-O7</f>
        <v>627118.152216</v>
      </c>
    </row>
    <row r="8" ht="20.1" customHeight="1" spans="1:17">
      <c r="A8" s="10">
        <v>2</v>
      </c>
      <c r="B8" s="11" t="s">
        <v>27</v>
      </c>
      <c r="C8" s="12" t="s">
        <v>28</v>
      </c>
      <c r="D8" s="10" t="s">
        <v>29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6">
        <v>82627.9514186667</v>
      </c>
      <c r="O8" s="577">
        <f t="shared" ref="O8:O33" si="2">M8-N8</f>
        <v>47984.3114080003</v>
      </c>
      <c r="P8" s="578"/>
      <c r="Q8" s="579">
        <f t="shared" ref="Q8:Q33" si="3">L8-O8</f>
        <v>262923.830508667</v>
      </c>
    </row>
    <row r="9" ht="20.1" customHeight="1" spans="1:17">
      <c r="A9" s="10">
        <v>3</v>
      </c>
      <c r="B9" s="14" t="s">
        <v>30</v>
      </c>
      <c r="C9" s="4" t="s">
        <v>31</v>
      </c>
      <c r="D9" s="10" t="s">
        <v>29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6">
        <v>121027.951418667</v>
      </c>
      <c r="O9" s="577">
        <f t="shared" si="2"/>
        <v>59694.363248</v>
      </c>
      <c r="P9" s="578"/>
      <c r="Q9" s="579">
        <f t="shared" si="3"/>
        <v>251213.778668667</v>
      </c>
    </row>
    <row r="10" ht="20.1" customHeight="1" spans="1:17">
      <c r="A10" s="10">
        <v>4</v>
      </c>
      <c r="B10" s="11" t="s">
        <v>32</v>
      </c>
      <c r="C10" s="17" t="s">
        <v>33</v>
      </c>
      <c r="D10" s="10" t="s">
        <v>29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6">
        <v>99703.2162026667</v>
      </c>
      <c r="O10" s="577">
        <f t="shared" si="2"/>
        <v>47984.3114080003</v>
      </c>
      <c r="P10" s="578"/>
      <c r="Q10" s="579">
        <f t="shared" si="3"/>
        <v>262923.830508667</v>
      </c>
    </row>
    <row r="11" ht="20.1" customHeight="1" spans="1:17">
      <c r="A11" s="10">
        <v>5</v>
      </c>
      <c r="B11" s="14" t="s">
        <v>300</v>
      </c>
      <c r="C11" s="4" t="s">
        <v>1130</v>
      </c>
      <c r="D11" s="10" t="s">
        <v>29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6">
        <v>111223.216202667</v>
      </c>
      <c r="O11" s="577">
        <f t="shared" si="2"/>
        <v>47984.311408</v>
      </c>
      <c r="P11" s="578"/>
      <c r="Q11" s="579">
        <f t="shared" si="3"/>
        <v>262923.830508667</v>
      </c>
    </row>
    <row r="12" ht="20.1" customHeight="1" spans="1:17">
      <c r="A12" s="10">
        <v>6</v>
      </c>
      <c r="B12" s="18" t="s">
        <v>908</v>
      </c>
      <c r="C12" s="10" t="s">
        <v>909</v>
      </c>
      <c r="D12" s="10" t="s">
        <v>29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6">
        <v>101827.951418667</v>
      </c>
      <c r="O12" s="577">
        <f t="shared" si="2"/>
        <v>59694.363248</v>
      </c>
      <c r="P12" s="578"/>
      <c r="Q12" s="579">
        <f t="shared" si="3"/>
        <v>251213.778668667</v>
      </c>
    </row>
    <row r="13" ht="20.1" customHeight="1" spans="1:17">
      <c r="A13" s="10">
        <v>7</v>
      </c>
      <c r="B13" s="11" t="s">
        <v>34</v>
      </c>
      <c r="C13" s="12" t="s">
        <v>910</v>
      </c>
      <c r="D13" s="15" t="s">
        <v>39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6">
        <v>74036.1031466667</v>
      </c>
      <c r="O13" s="577">
        <f t="shared" si="2"/>
        <v>39065.8625600003</v>
      </c>
      <c r="P13" s="578"/>
      <c r="Q13" s="579">
        <f t="shared" si="3"/>
        <v>214056.218273333</v>
      </c>
    </row>
    <row r="14" ht="20.1" customHeight="1" spans="1:17">
      <c r="A14" s="10">
        <v>8</v>
      </c>
      <c r="B14" s="11" t="s">
        <v>37</v>
      </c>
      <c r="C14" s="4" t="s">
        <v>38</v>
      </c>
      <c r="D14" s="10" t="s">
        <v>42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6">
        <v>94625.7820586667</v>
      </c>
      <c r="O14" s="577">
        <f t="shared" si="2"/>
        <v>36637.3276160003</v>
      </c>
      <c r="P14" s="578"/>
      <c r="Q14" s="579">
        <f t="shared" si="3"/>
        <v>200751.533717333</v>
      </c>
    </row>
    <row r="15" ht="20.1" customHeight="1" spans="1:17">
      <c r="A15" s="10">
        <v>9</v>
      </c>
      <c r="B15" s="11" t="s">
        <v>40</v>
      </c>
      <c r="C15" s="4" t="s">
        <v>643</v>
      </c>
      <c r="D15" s="15" t="s">
        <v>192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6">
        <v>44846.6165886667</v>
      </c>
      <c r="O15" s="577">
        <f t="shared" si="2"/>
        <v>32819.829278</v>
      </c>
      <c r="P15" s="578"/>
      <c r="Q15" s="579">
        <f t="shared" si="3"/>
        <v>178220.885472</v>
      </c>
    </row>
    <row r="16" ht="20.1" customHeight="1" spans="1:17">
      <c r="A16" s="10">
        <v>10</v>
      </c>
      <c r="B16" s="14" t="s">
        <v>43</v>
      </c>
      <c r="C16" s="17" t="s">
        <v>52</v>
      </c>
      <c r="D16" s="15" t="s">
        <v>47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6">
        <v>67626.6094346667</v>
      </c>
      <c r="O16" s="577">
        <f t="shared" si="2"/>
        <v>30628.823952</v>
      </c>
      <c r="P16" s="578"/>
      <c r="Q16" s="579">
        <f t="shared" si="3"/>
        <v>166536.140798</v>
      </c>
    </row>
    <row r="17" ht="20.1" customHeight="1" spans="1:17">
      <c r="A17" s="10">
        <v>11</v>
      </c>
      <c r="B17" s="11" t="s">
        <v>45</v>
      </c>
      <c r="C17" s="4" t="s">
        <v>46</v>
      </c>
      <c r="D17" s="10" t="s">
        <v>53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6">
        <v>83731.2492266667</v>
      </c>
      <c r="O17" s="577">
        <f t="shared" si="2"/>
        <v>28822.1592000003</v>
      </c>
      <c r="P17" s="578"/>
      <c r="Q17" s="579">
        <f t="shared" si="3"/>
        <v>156712.9733</v>
      </c>
    </row>
    <row r="18" ht="20.1" customHeight="1" spans="1:17">
      <c r="A18" s="10">
        <v>12</v>
      </c>
      <c r="B18" s="11" t="s">
        <v>48</v>
      </c>
      <c r="C18" s="4" t="s">
        <v>911</v>
      </c>
      <c r="D18" s="10" t="s">
        <v>56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6">
        <v>42046.0636866667</v>
      </c>
      <c r="O18" s="577">
        <f t="shared" si="2"/>
        <v>28101.02346</v>
      </c>
      <c r="P18" s="578"/>
      <c r="Q18" s="579">
        <f t="shared" si="3"/>
        <v>157040.815706667</v>
      </c>
    </row>
    <row r="19" ht="20.1" customHeight="1" spans="1:17">
      <c r="A19" s="10">
        <v>13</v>
      </c>
      <c r="B19" s="11" t="s">
        <v>51</v>
      </c>
      <c r="C19" s="12" t="s">
        <v>61</v>
      </c>
      <c r="D19" s="15" t="s">
        <v>601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6">
        <v>49548.7761866667</v>
      </c>
      <c r="O19" s="577">
        <f t="shared" si="2"/>
        <v>27921.598</v>
      </c>
      <c r="P19" s="578"/>
      <c r="Q19" s="579">
        <f t="shared" si="3"/>
        <v>151816.664916667</v>
      </c>
    </row>
    <row r="20" ht="20.1" customHeight="1" spans="1:17">
      <c r="A20" s="10">
        <v>14</v>
      </c>
      <c r="B20" s="18" t="s">
        <v>54</v>
      </c>
      <c r="C20" s="4" t="s">
        <v>1131</v>
      </c>
      <c r="D20" s="15" t="s">
        <v>59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6">
        <v>67370.8702826667</v>
      </c>
      <c r="O20" s="577">
        <f t="shared" si="2"/>
        <v>26904.033184</v>
      </c>
      <c r="P20" s="578"/>
      <c r="Q20" s="579">
        <f t="shared" si="3"/>
        <v>147121.822982667</v>
      </c>
    </row>
    <row r="21" ht="18.75" customHeight="1" spans="1:17">
      <c r="A21" s="10">
        <v>15</v>
      </c>
      <c r="B21" s="11" t="s">
        <v>65</v>
      </c>
      <c r="C21" s="12" t="s">
        <v>178</v>
      </c>
      <c r="D21" s="15" t="s">
        <v>70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6">
        <v>52497.7703786666</v>
      </c>
      <c r="O21" s="577">
        <f t="shared" si="2"/>
        <v>23640.2985280001</v>
      </c>
      <c r="P21" s="578"/>
      <c r="Q21" s="579">
        <f t="shared" si="3"/>
        <v>129717.869638667</v>
      </c>
    </row>
    <row r="22" ht="20.1" customHeight="1" spans="1:17">
      <c r="A22" s="10">
        <v>16</v>
      </c>
      <c r="B22" s="14" t="s">
        <v>68</v>
      </c>
      <c r="C22" s="17" t="s">
        <v>1132</v>
      </c>
      <c r="D22" s="10" t="s">
        <v>180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6">
        <v>55538.1050666667</v>
      </c>
      <c r="O22" s="577">
        <f t="shared" si="2"/>
        <v>23973.0096</v>
      </c>
      <c r="P22" s="578"/>
      <c r="Q22" s="579">
        <f t="shared" si="3"/>
        <v>129167.4154</v>
      </c>
    </row>
    <row r="23" ht="21.6" customHeight="1" spans="1:17">
      <c r="A23" s="10">
        <v>17</v>
      </c>
      <c r="B23" s="11" t="s">
        <v>71</v>
      </c>
      <c r="C23" s="17" t="s">
        <v>72</v>
      </c>
      <c r="D23" s="15" t="s">
        <v>180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6">
        <v>40149.1752666667</v>
      </c>
      <c r="O23" s="577">
        <f t="shared" si="2"/>
        <v>22081.9394</v>
      </c>
      <c r="P23" s="578"/>
      <c r="Q23" s="579">
        <f t="shared" si="3"/>
        <v>126058.4856</v>
      </c>
    </row>
    <row r="24" ht="20.1" customHeight="1" spans="1:17">
      <c r="A24" s="10">
        <v>18</v>
      </c>
      <c r="B24" s="14" t="s">
        <v>73</v>
      </c>
      <c r="C24" s="17" t="s">
        <v>74</v>
      </c>
      <c r="D24" s="10" t="s">
        <v>81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6">
        <v>42371.8157286667</v>
      </c>
      <c r="O24" s="577">
        <f t="shared" si="2"/>
        <v>18775.611258</v>
      </c>
      <c r="P24" s="578"/>
      <c r="Q24" s="579">
        <f t="shared" si="3"/>
        <v>105651.977658667</v>
      </c>
    </row>
    <row r="25" ht="18.75" customHeight="1" spans="1:17">
      <c r="A25" s="10">
        <v>19</v>
      </c>
      <c r="B25" s="4" t="s">
        <v>478</v>
      </c>
      <c r="C25" s="4" t="s">
        <v>94</v>
      </c>
      <c r="D25" s="10" t="s">
        <v>86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6">
        <v>23036.0123466667</v>
      </c>
      <c r="O25" s="577">
        <f t="shared" si="2"/>
        <v>16016.30072</v>
      </c>
      <c r="P25" s="578"/>
      <c r="Q25" s="579">
        <f t="shared" si="3"/>
        <v>100957.355946667</v>
      </c>
    </row>
    <row r="26" ht="18.75" customHeight="1" spans="1:17">
      <c r="A26" s="10">
        <v>20</v>
      </c>
      <c r="B26" s="18" t="s">
        <v>79</v>
      </c>
      <c r="C26" s="12" t="s">
        <v>94</v>
      </c>
      <c r="D26" s="15" t="s">
        <v>86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6">
        <v>23036.0123466667</v>
      </c>
      <c r="O26" s="577">
        <f t="shared" si="2"/>
        <v>16016.30072</v>
      </c>
      <c r="P26" s="578"/>
      <c r="Q26" s="579">
        <f t="shared" si="3"/>
        <v>100957.355946667</v>
      </c>
    </row>
    <row r="27" ht="20.1" customHeight="1" spans="1:17">
      <c r="A27" s="10">
        <v>21</v>
      </c>
      <c r="B27" s="11" t="s">
        <v>82</v>
      </c>
      <c r="C27" s="17" t="s">
        <v>69</v>
      </c>
      <c r="D27" s="10" t="s">
        <v>86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6">
        <v>29756.0123466667</v>
      </c>
      <c r="O27" s="577">
        <f t="shared" si="2"/>
        <v>16016.30072</v>
      </c>
      <c r="P27" s="578"/>
      <c r="Q27" s="579">
        <f t="shared" si="3"/>
        <v>100957.355946667</v>
      </c>
    </row>
    <row r="28" ht="18.75" customHeight="1" spans="1:17">
      <c r="A28" s="10">
        <v>22</v>
      </c>
      <c r="B28" s="18" t="s">
        <v>84</v>
      </c>
      <c r="C28" s="12" t="s">
        <v>85</v>
      </c>
      <c r="D28" s="15" t="s">
        <v>99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6">
        <v>22338.4826046667</v>
      </c>
      <c r="O28" s="577">
        <f t="shared" si="2"/>
        <v>15583.017982</v>
      </c>
      <c r="P28" s="578"/>
      <c r="Q28" s="579">
        <f t="shared" si="3"/>
        <v>98226.268101333</v>
      </c>
    </row>
    <row r="29" ht="18.75" customHeight="1" spans="1:17">
      <c r="A29" s="10">
        <v>23</v>
      </c>
      <c r="B29" s="18" t="s">
        <v>87</v>
      </c>
      <c r="C29" s="4" t="s">
        <v>88</v>
      </c>
      <c r="D29" s="10" t="s">
        <v>225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6">
        <v>21640.9528626667</v>
      </c>
      <c r="O29" s="577">
        <f t="shared" si="2"/>
        <v>15149.735244</v>
      </c>
      <c r="P29" s="578"/>
      <c r="Q29" s="579">
        <f t="shared" si="3"/>
        <v>95495.180256</v>
      </c>
    </row>
    <row r="30" ht="18.75" customHeight="1" spans="1:17">
      <c r="A30" s="10">
        <v>24</v>
      </c>
      <c r="B30" s="18" t="s">
        <v>89</v>
      </c>
      <c r="C30" s="4" t="s">
        <v>88</v>
      </c>
      <c r="D30" s="10" t="s">
        <v>225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6">
        <v>21640.9528626667</v>
      </c>
      <c r="O30" s="577">
        <f t="shared" si="2"/>
        <v>15149.735244</v>
      </c>
      <c r="P30" s="578"/>
      <c r="Q30" s="579">
        <f t="shared" si="3"/>
        <v>95495.180256</v>
      </c>
    </row>
    <row r="31" ht="18.75" customHeight="1" spans="1:17">
      <c r="A31" s="10">
        <v>25</v>
      </c>
      <c r="B31" s="18" t="s">
        <v>91</v>
      </c>
      <c r="C31" s="17" t="s">
        <v>646</v>
      </c>
      <c r="D31" s="15" t="s">
        <v>86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80">
        <v>22338.4826046667</v>
      </c>
      <c r="O31" s="577">
        <f t="shared" si="2"/>
        <v>16713.830462</v>
      </c>
      <c r="P31" s="578"/>
      <c r="Q31" s="579">
        <f t="shared" si="3"/>
        <v>104411.788954667</v>
      </c>
    </row>
    <row r="32" ht="18.75" customHeight="1" spans="1:17">
      <c r="A32" s="10">
        <v>26</v>
      </c>
      <c r="B32" s="18" t="s">
        <v>95</v>
      </c>
      <c r="C32" s="4" t="s">
        <v>647</v>
      </c>
      <c r="D32" s="10" t="s">
        <v>108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6">
        <v>17572.8850026667</v>
      </c>
      <c r="O32" s="577">
        <f t="shared" si="2"/>
        <v>13640.250704</v>
      </c>
      <c r="P32" s="578"/>
      <c r="Q32" s="579">
        <f t="shared" si="3"/>
        <v>86687.597962667</v>
      </c>
    </row>
    <row r="33" ht="18.75" customHeight="1" spans="1:17">
      <c r="A33" s="10">
        <v>27</v>
      </c>
      <c r="B33" s="18" t="s">
        <v>103</v>
      </c>
      <c r="C33" s="12" t="s">
        <v>104</v>
      </c>
      <c r="D33" s="15" t="s">
        <v>111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6">
        <v>16512.6821906667</v>
      </c>
      <c r="O33" s="577">
        <f t="shared" si="2"/>
        <v>13746.483436</v>
      </c>
      <c r="P33" s="578"/>
      <c r="Q33" s="579">
        <f t="shared" si="3"/>
        <v>87384.217064</v>
      </c>
    </row>
    <row r="34" ht="26.25" customHeight="1" spans="1:17">
      <c r="A34" s="10"/>
      <c r="B34" s="20" t="s">
        <v>120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81"/>
      <c r="Q34" s="582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83"/>
      <c r="O35" s="583"/>
      <c r="P35" s="581"/>
      <c r="Q35" s="584"/>
    </row>
    <row r="36" ht="18.75" customHeight="1" spans="1:17">
      <c r="A36" s="10"/>
      <c r="B36" s="20" t="s">
        <v>121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6"/>
      <c r="O36" s="576"/>
      <c r="P36" s="585"/>
      <c r="Q36" s="586"/>
    </row>
    <row r="37" ht="18.75" customHeight="1" spans="1:17">
      <c r="A37" s="10">
        <v>1</v>
      </c>
      <c r="B37" s="18" t="s">
        <v>122</v>
      </c>
      <c r="C37" s="4" t="s">
        <v>123</v>
      </c>
      <c r="D37" s="10" t="s">
        <v>124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6">
        <v>161106.806858667</v>
      </c>
      <c r="O37" s="577">
        <f>M37-N37</f>
        <v>90365.440608</v>
      </c>
      <c r="P37" s="578"/>
      <c r="Q37" s="579">
        <f>L37-O37</f>
        <v>495145.495892</v>
      </c>
    </row>
    <row r="38" ht="18.75" customHeight="1" spans="1:17">
      <c r="A38" s="10">
        <v>2</v>
      </c>
      <c r="B38" s="18" t="s">
        <v>127</v>
      </c>
      <c r="C38" s="4" t="s">
        <v>1133</v>
      </c>
      <c r="D38" s="10" t="s">
        <v>81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6">
        <v>17042.7138666667</v>
      </c>
      <c r="O38" s="577">
        <f>M38-N38</f>
        <v>25494.61808</v>
      </c>
      <c r="P38" s="578"/>
      <c r="Q38" s="579">
        <f t="shared" ref="Q38:Q39" si="12">L38-O38</f>
        <v>150718.948586667</v>
      </c>
    </row>
    <row r="39" ht="18.75" customHeight="1" spans="1:17">
      <c r="A39" s="10">
        <v>3</v>
      </c>
      <c r="B39" s="11" t="s">
        <v>129</v>
      </c>
      <c r="C39" s="12" t="s">
        <v>1134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6">
        <v>26339.0784066667</v>
      </c>
      <c r="O39" s="577">
        <f>M39-N39</f>
        <v>17424.82882</v>
      </c>
      <c r="P39" s="578"/>
      <c r="Q39" s="57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7">
        <v>204488.599132</v>
      </c>
      <c r="O40" s="587">
        <f t="shared" si="13"/>
        <v>133284.887508</v>
      </c>
      <c r="P40" s="581"/>
      <c r="Q40" s="582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83"/>
      <c r="O41" s="583"/>
      <c r="P41" s="581"/>
      <c r="Q41" s="584"/>
    </row>
    <row r="42" ht="20.1" customHeight="1" spans="1:17">
      <c r="A42" s="10"/>
      <c r="B42" s="23" t="s">
        <v>137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6"/>
      <c r="O42" s="576"/>
      <c r="P42" s="585"/>
      <c r="Q42" s="586"/>
    </row>
    <row r="43" ht="20.1" customHeight="1" spans="1:17">
      <c r="A43" s="10">
        <v>1</v>
      </c>
      <c r="B43" s="11" t="s">
        <v>912</v>
      </c>
      <c r="C43" s="4" t="s">
        <v>913</v>
      </c>
      <c r="D43" s="10" t="s">
        <v>124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6">
        <v>180306.806858667</v>
      </c>
      <c r="O43" s="577">
        <f t="shared" ref="O43:O53" si="14">M43-N43</f>
        <v>90365.440608</v>
      </c>
      <c r="P43" s="578"/>
      <c r="Q43" s="579">
        <f>L43-O43</f>
        <v>495145.495892</v>
      </c>
    </row>
    <row r="44" ht="20.1" customHeight="1" spans="1:17">
      <c r="A44" s="10">
        <v>2</v>
      </c>
      <c r="B44" s="11" t="s">
        <v>914</v>
      </c>
      <c r="C44" s="4" t="s">
        <v>44</v>
      </c>
      <c r="D44" s="10" t="s">
        <v>39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6">
        <v>79956.9391466667</v>
      </c>
      <c r="O44" s="577">
        <f t="shared" si="14"/>
        <v>39065.8625600003</v>
      </c>
      <c r="P44" s="578"/>
      <c r="Q44" s="579">
        <f t="shared" ref="Q44:Q53" si="17">L44-O44</f>
        <v>214056.218273333</v>
      </c>
    </row>
    <row r="45" ht="20.1" customHeight="1" spans="1:17">
      <c r="A45" s="10">
        <v>3</v>
      </c>
      <c r="B45" s="11" t="s">
        <v>138</v>
      </c>
      <c r="C45" s="4" t="s">
        <v>648</v>
      </c>
      <c r="D45" s="10" t="s">
        <v>210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6">
        <v>97273.5138506667</v>
      </c>
      <c r="O45" s="577">
        <f t="shared" si="14"/>
        <v>46526.0737760003</v>
      </c>
      <c r="P45" s="578"/>
      <c r="Q45" s="579">
        <f t="shared" si="17"/>
        <v>254933.513807333</v>
      </c>
    </row>
    <row r="46" ht="20.1" customHeight="1" spans="1:17">
      <c r="A46" s="10">
        <v>4</v>
      </c>
      <c r="B46" s="11" t="s">
        <v>141</v>
      </c>
      <c r="C46" s="4" t="s">
        <v>145</v>
      </c>
      <c r="D46" s="10" t="s">
        <v>39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6">
        <v>79956.9391466667</v>
      </c>
      <c r="O46" s="577">
        <f t="shared" si="14"/>
        <v>39065.8625600003</v>
      </c>
      <c r="P46" s="578"/>
      <c r="Q46" s="579">
        <f t="shared" si="17"/>
        <v>214056.218273333</v>
      </c>
    </row>
    <row r="47" ht="20.1" customHeight="1" spans="1:17">
      <c r="A47" s="10">
        <v>5</v>
      </c>
      <c r="B47" s="11" t="s">
        <v>144</v>
      </c>
      <c r="C47" s="4" t="s">
        <v>145</v>
      </c>
      <c r="D47" s="10" t="s">
        <v>39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6">
        <v>79796.1031466666</v>
      </c>
      <c r="O47" s="577">
        <f t="shared" si="14"/>
        <v>39065.8625600004</v>
      </c>
      <c r="P47" s="578"/>
      <c r="Q47" s="579">
        <f t="shared" si="17"/>
        <v>214056.218273333</v>
      </c>
    </row>
    <row r="48" ht="20.1" customHeight="1" spans="1:17">
      <c r="A48" s="10">
        <v>6</v>
      </c>
      <c r="B48" s="11" t="s">
        <v>146</v>
      </c>
      <c r="C48" s="4" t="s">
        <v>145</v>
      </c>
      <c r="D48" s="10" t="s">
        <v>42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6">
        <v>75572.9156906667</v>
      </c>
      <c r="O48" s="577">
        <f t="shared" si="14"/>
        <v>36639.0892160003</v>
      </c>
      <c r="P48" s="578"/>
      <c r="Q48" s="579">
        <f t="shared" si="17"/>
        <v>200758.947117333</v>
      </c>
    </row>
    <row r="49" ht="20.1" customHeight="1" spans="1:17">
      <c r="A49" s="10">
        <v>7</v>
      </c>
      <c r="B49" s="14" t="s">
        <v>147</v>
      </c>
      <c r="C49" s="4" t="s">
        <v>52</v>
      </c>
      <c r="D49" s="16" t="s">
        <v>47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6">
        <v>58026.6094346667</v>
      </c>
      <c r="O49" s="577">
        <f t="shared" si="14"/>
        <v>30628.823952</v>
      </c>
      <c r="P49" s="578"/>
      <c r="Q49" s="579">
        <f t="shared" si="17"/>
        <v>166536.140798</v>
      </c>
    </row>
    <row r="50" ht="20.1" customHeight="1" spans="1:17">
      <c r="A50" s="10">
        <v>8</v>
      </c>
      <c r="B50" s="11" t="s">
        <v>151</v>
      </c>
      <c r="C50" s="4" t="s">
        <v>152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6">
        <v>33059.0784066667</v>
      </c>
      <c r="O50" s="577">
        <f t="shared" si="14"/>
        <v>17970.1489</v>
      </c>
      <c r="P50" s="578"/>
      <c r="Q50" s="579">
        <f t="shared" si="17"/>
        <v>109826.316933333</v>
      </c>
    </row>
    <row r="51" ht="20.1" customHeight="1" spans="1:17">
      <c r="A51" s="10">
        <v>9</v>
      </c>
      <c r="B51" s="11" t="s">
        <v>155</v>
      </c>
      <c r="C51" s="4" t="s">
        <v>152</v>
      </c>
      <c r="D51" s="10" t="s">
        <v>99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6">
        <v>29058.4826046667</v>
      </c>
      <c r="O51" s="577">
        <f t="shared" si="14"/>
        <v>15583.017982</v>
      </c>
      <c r="P51" s="578"/>
      <c r="Q51" s="579">
        <f t="shared" si="17"/>
        <v>98226.268101333</v>
      </c>
    </row>
    <row r="52" ht="20.1" customHeight="1" spans="1:17">
      <c r="A52" s="10">
        <v>10</v>
      </c>
      <c r="B52" s="11" t="s">
        <v>915</v>
      </c>
      <c r="C52" s="4" t="s">
        <v>152</v>
      </c>
      <c r="D52" s="10" t="s">
        <v>99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6">
        <v>28360.9528626667</v>
      </c>
      <c r="O52" s="577">
        <f t="shared" si="14"/>
        <v>16280.547724</v>
      </c>
      <c r="P52" s="578"/>
      <c r="Q52" s="579">
        <f t="shared" si="17"/>
        <v>97528.738359333</v>
      </c>
    </row>
    <row r="53" ht="20.1" customHeight="1" spans="1:17">
      <c r="A53" s="10">
        <v>11</v>
      </c>
      <c r="B53" s="11" t="s">
        <v>157</v>
      </c>
      <c r="C53" s="4" t="s">
        <v>152</v>
      </c>
      <c r="D53" s="10" t="s">
        <v>99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6">
        <v>29058.4826046667</v>
      </c>
      <c r="O53" s="577">
        <f t="shared" si="14"/>
        <v>15583.017982</v>
      </c>
      <c r="P53" s="578"/>
      <c r="Q53" s="579">
        <f t="shared" si="17"/>
        <v>98226.268101333</v>
      </c>
    </row>
    <row r="54" ht="25.5" customHeight="1" spans="1:17">
      <c r="A54" s="10"/>
      <c r="B54" s="20" t="s">
        <v>120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8">
        <v>770426.823753333</v>
      </c>
      <c r="O54" s="588">
        <f t="shared" si="18"/>
        <v>386773.747820002</v>
      </c>
      <c r="P54" s="589"/>
      <c r="Q54" s="590">
        <f>SUM(Q43:Q53)</f>
        <v>2163350.34393</v>
      </c>
    </row>
    <row r="55" ht="20.1" customHeight="1" spans="1:17">
      <c r="A55" s="10"/>
      <c r="B55" s="22"/>
      <c r="C55" s="21"/>
      <c r="D55" s="21"/>
      <c r="E55" s="156"/>
      <c r="F55" s="156"/>
      <c r="G55" s="220"/>
      <c r="H55" s="220"/>
      <c r="I55" s="156"/>
      <c r="J55" s="516"/>
      <c r="K55" s="516"/>
      <c r="L55" s="516"/>
      <c r="M55" s="517"/>
      <c r="N55" s="591"/>
      <c r="O55" s="591"/>
      <c r="P55" s="592"/>
      <c r="Q55" s="593"/>
    </row>
    <row r="56" ht="20.1" customHeight="1" spans="1:17">
      <c r="A56" s="10"/>
      <c r="B56" s="20" t="s">
        <v>159</v>
      </c>
      <c r="C56" s="21"/>
      <c r="D56" s="21"/>
      <c r="E56" s="156"/>
      <c r="F56" s="156"/>
      <c r="G56" s="220"/>
      <c r="H56" s="220"/>
      <c r="I56" s="156"/>
      <c r="J56" s="516"/>
      <c r="K56" s="516"/>
      <c r="L56" s="516"/>
      <c r="M56" s="517"/>
      <c r="N56" s="591"/>
      <c r="O56" s="591"/>
      <c r="P56" s="592"/>
      <c r="Q56" s="593"/>
    </row>
    <row r="57" ht="20.1" customHeight="1" spans="1:17">
      <c r="A57" s="10">
        <v>1</v>
      </c>
      <c r="B57" s="11" t="s">
        <v>916</v>
      </c>
      <c r="C57" s="12" t="s">
        <v>161</v>
      </c>
      <c r="D57" s="15" t="s">
        <v>124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94">
        <v>180306.806858667</v>
      </c>
      <c r="O57" s="577">
        <f>M57-N57</f>
        <v>90365.440608</v>
      </c>
      <c r="P57" s="578"/>
      <c r="Q57" s="579">
        <f>L57-O57</f>
        <v>495145.495892</v>
      </c>
    </row>
    <row r="58" ht="20.1" customHeight="1" spans="1:17">
      <c r="A58" s="10">
        <v>2</v>
      </c>
      <c r="B58" s="11" t="s">
        <v>162</v>
      </c>
      <c r="C58" s="12" t="s">
        <v>485</v>
      </c>
      <c r="D58" s="15" t="s">
        <v>486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94">
        <v>64596.9391466667</v>
      </c>
      <c r="O58" s="577">
        <f>M58-N58</f>
        <v>39065.8625600003</v>
      </c>
      <c r="P58" s="578"/>
      <c r="Q58" s="579">
        <f>L58-O58</f>
        <v>214056.218273333</v>
      </c>
    </row>
    <row r="59" ht="20.1" customHeight="1" spans="1:17">
      <c r="A59" s="10"/>
      <c r="B59" s="20" t="s">
        <v>120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8">
        <v>244903.746005333</v>
      </c>
      <c r="O59" s="588">
        <f t="shared" si="19"/>
        <v>129431.303168</v>
      </c>
      <c r="P59" s="589"/>
      <c r="Q59" s="590">
        <f>SUM(Q57:Q58)</f>
        <v>709201.714165333</v>
      </c>
    </row>
    <row r="60" ht="20.1" customHeight="1" spans="1:17">
      <c r="A60" s="10"/>
      <c r="B60" s="20"/>
      <c r="C60" s="21"/>
      <c r="D60" s="21"/>
      <c r="E60" s="156"/>
      <c r="F60" s="156"/>
      <c r="G60" s="220"/>
      <c r="H60" s="220"/>
      <c r="I60" s="156"/>
      <c r="J60" s="516"/>
      <c r="K60" s="516"/>
      <c r="L60" s="516"/>
      <c r="M60" s="517"/>
      <c r="N60" s="591"/>
      <c r="O60" s="591"/>
      <c r="P60" s="592"/>
      <c r="Q60" s="593"/>
    </row>
    <row r="61" ht="20.1" customHeight="1" spans="1:17">
      <c r="A61" s="10"/>
      <c r="B61" s="20" t="s">
        <v>164</v>
      </c>
      <c r="C61" s="21"/>
      <c r="D61" s="21"/>
      <c r="E61" s="156"/>
      <c r="F61" s="156"/>
      <c r="G61" s="220"/>
      <c r="H61" s="220"/>
      <c r="I61" s="156"/>
      <c r="J61" s="516"/>
      <c r="K61" s="516"/>
      <c r="L61" s="516"/>
      <c r="M61" s="517"/>
      <c r="N61" s="591"/>
      <c r="O61" s="591"/>
      <c r="P61" s="592"/>
      <c r="Q61" s="593"/>
    </row>
    <row r="62" ht="20.1" customHeight="1" spans="1:17">
      <c r="A62" s="10">
        <v>1</v>
      </c>
      <c r="B62" s="11" t="s">
        <v>917</v>
      </c>
      <c r="C62" s="17" t="s">
        <v>918</v>
      </c>
      <c r="D62" s="10" t="s">
        <v>124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6">
        <v>180306.806858667</v>
      </c>
      <c r="O62" s="577">
        <f t="shared" ref="O62:O71" si="20">M62-N62</f>
        <v>112418.099808</v>
      </c>
      <c r="P62" s="578"/>
      <c r="Q62" s="579">
        <f>L62-O62</f>
        <v>473092.836692</v>
      </c>
    </row>
    <row r="63" ht="20.1" customHeight="1" spans="1:17">
      <c r="A63" s="10">
        <v>2</v>
      </c>
      <c r="B63" s="351" t="s">
        <v>919</v>
      </c>
      <c r="C63" s="17" t="s">
        <v>920</v>
      </c>
      <c r="D63" s="15" t="s">
        <v>50</v>
      </c>
      <c r="E63" s="85">
        <v>601396.833333333</v>
      </c>
      <c r="F63" s="85"/>
      <c r="G63" s="220">
        <f>160000</f>
        <v>160000</v>
      </c>
      <c r="H63" s="220"/>
      <c r="I63" s="15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6">
        <v>77764.9802666667</v>
      </c>
      <c r="O63" s="577">
        <f t="shared" si="20"/>
        <v>37852.4230400003</v>
      </c>
      <c r="P63" s="578"/>
      <c r="Q63" s="579">
        <f t="shared" ref="Q63:Q71" si="23">L63-O63</f>
        <v>207407.360293333</v>
      </c>
    </row>
    <row r="64" ht="20.1" customHeight="1" spans="1:17">
      <c r="A64" s="10">
        <v>3</v>
      </c>
      <c r="B64" s="11" t="s">
        <v>167</v>
      </c>
      <c r="C64" s="4" t="s">
        <v>52</v>
      </c>
      <c r="D64" s="10" t="s">
        <v>53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6">
        <v>54931.2492266667</v>
      </c>
      <c r="O64" s="577">
        <f t="shared" si="20"/>
        <v>28822.1591999999</v>
      </c>
      <c r="P64" s="578"/>
      <c r="Q64" s="579">
        <f t="shared" si="23"/>
        <v>156712.9733</v>
      </c>
    </row>
    <row r="65" ht="20.1" customHeight="1" spans="1:17">
      <c r="A65" s="10">
        <v>4</v>
      </c>
      <c r="B65" s="18" t="s">
        <v>921</v>
      </c>
      <c r="C65" s="17" t="s">
        <v>217</v>
      </c>
      <c r="D65" s="15" t="s">
        <v>601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6">
        <v>49548.7761866667</v>
      </c>
      <c r="O65" s="577">
        <f t="shared" si="20"/>
        <v>27921.598</v>
      </c>
      <c r="P65" s="578"/>
      <c r="Q65" s="579">
        <f t="shared" si="23"/>
        <v>151816.664916667</v>
      </c>
    </row>
    <row r="66" ht="20.1" customHeight="1" spans="1:17">
      <c r="A66" s="10">
        <v>5</v>
      </c>
      <c r="B66" s="14" t="s">
        <v>922</v>
      </c>
      <c r="C66" s="17" t="s">
        <v>52</v>
      </c>
      <c r="D66" s="15" t="s">
        <v>192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6">
        <v>59574.3159626667</v>
      </c>
      <c r="O66" s="577">
        <f t="shared" si="20"/>
        <v>31532.129904</v>
      </c>
      <c r="P66" s="578"/>
      <c r="Q66" s="579">
        <f t="shared" si="23"/>
        <v>171447.613346</v>
      </c>
    </row>
    <row r="67" ht="20.1" customHeight="1" spans="1:17">
      <c r="A67" s="10">
        <v>7</v>
      </c>
      <c r="B67" s="11" t="s">
        <v>171</v>
      </c>
      <c r="C67" s="4" t="s">
        <v>152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6">
        <v>41338.9510986667</v>
      </c>
      <c r="O67" s="577">
        <f t="shared" si="20"/>
        <v>23045.640688</v>
      </c>
      <c r="P67" s="578"/>
      <c r="Q67" s="579">
        <f t="shared" si="23"/>
        <v>130204.118645333</v>
      </c>
    </row>
    <row r="68" ht="20.1" customHeight="1" spans="1:17">
      <c r="A68" s="10">
        <v>8</v>
      </c>
      <c r="B68" s="11" t="s">
        <v>172</v>
      </c>
      <c r="C68" s="17" t="s">
        <v>72</v>
      </c>
      <c r="D68" s="10" t="s">
        <v>131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6">
        <v>41338.9510986667</v>
      </c>
      <c r="O68" s="577">
        <f t="shared" si="20"/>
        <v>23045.640688</v>
      </c>
      <c r="P68" s="578"/>
      <c r="Q68" s="579">
        <f t="shared" si="23"/>
        <v>130204.118645333</v>
      </c>
    </row>
    <row r="69" ht="20.1" customHeight="1" spans="1:17">
      <c r="A69" s="10">
        <v>9</v>
      </c>
      <c r="B69" s="11" t="s">
        <v>174</v>
      </c>
      <c r="C69" s="17" t="s">
        <v>72</v>
      </c>
      <c r="D69" s="10" t="s">
        <v>131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6">
        <v>41338.9510986667</v>
      </c>
      <c r="O69" s="577">
        <f t="shared" si="20"/>
        <v>23045.640688</v>
      </c>
      <c r="P69" s="578"/>
      <c r="Q69" s="579">
        <f t="shared" si="23"/>
        <v>130204.118645333</v>
      </c>
    </row>
    <row r="70" ht="20.1" customHeight="1" spans="1:17">
      <c r="A70" s="10">
        <v>10</v>
      </c>
      <c r="B70" s="11" t="s">
        <v>175</v>
      </c>
      <c r="C70" s="4" t="s">
        <v>649</v>
      </c>
      <c r="D70" s="10" t="s">
        <v>70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6">
        <v>43368.8824146667</v>
      </c>
      <c r="O70" s="577">
        <f t="shared" si="20"/>
        <v>23169.186492</v>
      </c>
      <c r="P70" s="578"/>
      <c r="Q70" s="579">
        <f t="shared" si="23"/>
        <v>130188.981674667</v>
      </c>
    </row>
    <row r="71" ht="21.6" customHeight="1" spans="1:17">
      <c r="A71" s="10">
        <v>11</v>
      </c>
      <c r="B71" s="11" t="s">
        <v>179</v>
      </c>
      <c r="C71" s="4" t="s">
        <v>152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6">
        <v>33825.9865626667</v>
      </c>
      <c r="O71" s="577">
        <f t="shared" si="20"/>
        <v>17203.240744</v>
      </c>
      <c r="P71" s="578"/>
      <c r="Q71" s="579">
        <f t="shared" si="23"/>
        <v>106028.295589333</v>
      </c>
    </row>
    <row r="72" ht="27" customHeight="1" spans="1:17">
      <c r="A72" s="10"/>
      <c r="B72" s="20" t="s">
        <v>120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8">
        <v>623337.850774667</v>
      </c>
      <c r="O72" s="588">
        <f t="shared" si="26"/>
        <v>348055.759252</v>
      </c>
      <c r="P72" s="589"/>
      <c r="Q72" s="590">
        <f>SUM(Q62:Q71)</f>
        <v>1787307.081748</v>
      </c>
    </row>
    <row r="73" ht="20.1" customHeight="1" spans="1:17">
      <c r="A73" s="10"/>
      <c r="B73" s="22"/>
      <c r="C73" s="21"/>
      <c r="D73" s="21"/>
      <c r="E73" s="156"/>
      <c r="F73" s="156"/>
      <c r="G73" s="220"/>
      <c r="H73" s="220"/>
      <c r="I73" s="156"/>
      <c r="J73" s="516"/>
      <c r="K73" s="516"/>
      <c r="L73" s="516"/>
      <c r="M73" s="517"/>
      <c r="N73" s="591"/>
      <c r="O73" s="591"/>
      <c r="P73" s="592"/>
      <c r="Q73" s="593"/>
    </row>
    <row r="74" ht="20.1" customHeight="1" spans="1:17">
      <c r="A74" s="10"/>
      <c r="B74" s="20" t="s">
        <v>183</v>
      </c>
      <c r="C74" s="21"/>
      <c r="D74" s="21"/>
      <c r="E74" s="156"/>
      <c r="F74" s="156"/>
      <c r="G74" s="220"/>
      <c r="H74" s="220"/>
      <c r="I74" s="156"/>
      <c r="J74" s="516"/>
      <c r="K74" s="516"/>
      <c r="L74" s="516"/>
      <c r="M74" s="517"/>
      <c r="N74" s="591"/>
      <c r="O74" s="591"/>
      <c r="P74" s="592"/>
      <c r="Q74" s="593"/>
    </row>
    <row r="75" ht="20.1" customHeight="1" spans="1:17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6">
        <v>180306.806858667</v>
      </c>
      <c r="O75" s="577">
        <f t="shared" ref="O75:O81" si="27">M75-N75</f>
        <v>90365.440608</v>
      </c>
      <c r="P75" s="578"/>
      <c r="Q75" s="579">
        <f>L75-O75</f>
        <v>495145.495892</v>
      </c>
    </row>
    <row r="76" ht="20.1" customHeight="1" spans="1:17">
      <c r="A76" s="10">
        <v>2</v>
      </c>
      <c r="B76" s="14" t="s">
        <v>923</v>
      </c>
      <c r="C76" s="4" t="s">
        <v>924</v>
      </c>
      <c r="D76" s="15" t="s">
        <v>925</v>
      </c>
      <c r="E76" s="85">
        <v>601396.833333333</v>
      </c>
      <c r="F76" s="85"/>
      <c r="G76" s="220">
        <f>160000</f>
        <v>160000</v>
      </c>
      <c r="H76" s="220"/>
      <c r="I76" s="15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6">
        <v>77764.9802666667</v>
      </c>
      <c r="O76" s="577">
        <f t="shared" si="27"/>
        <v>47089.8784000003</v>
      </c>
      <c r="P76" s="578"/>
      <c r="Q76" s="579">
        <f t="shared" ref="Q76:Q81" si="30">L76-O76</f>
        <v>198169.904933333</v>
      </c>
    </row>
    <row r="77" ht="20.1" customHeight="1" spans="1:17">
      <c r="A77" s="10">
        <v>3</v>
      </c>
      <c r="B77" s="18" t="s">
        <v>186</v>
      </c>
      <c r="C77" s="12" t="s">
        <v>926</v>
      </c>
      <c r="D77" s="10" t="s">
        <v>486</v>
      </c>
      <c r="E77" s="85">
        <v>620675.583333333</v>
      </c>
      <c r="F77" s="85"/>
      <c r="G77" s="220">
        <v>0</v>
      </c>
      <c r="H77" s="220">
        <v>80000</v>
      </c>
      <c r="I77" s="15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6">
        <v>64596.9391466667</v>
      </c>
      <c r="O77" s="577">
        <f t="shared" si="27"/>
        <v>48599.4395200003</v>
      </c>
      <c r="P77" s="578"/>
      <c r="Q77" s="579">
        <f t="shared" si="30"/>
        <v>204522.641313333</v>
      </c>
    </row>
    <row r="78" ht="20.1" customHeight="1" spans="1:17">
      <c r="A78" s="10">
        <v>4</v>
      </c>
      <c r="B78" s="11" t="s">
        <v>190</v>
      </c>
      <c r="C78" s="4" t="s">
        <v>191</v>
      </c>
      <c r="D78" s="15" t="s">
        <v>214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6">
        <v>56350.5861866667</v>
      </c>
      <c r="O78" s="577">
        <f t="shared" si="27"/>
        <v>29725.518</v>
      </c>
      <c r="P78" s="578"/>
      <c r="Q78" s="579">
        <f t="shared" si="30"/>
        <v>161624.66825</v>
      </c>
    </row>
    <row r="79" ht="20.1" customHeight="1" spans="1:17">
      <c r="A79" s="10">
        <v>5</v>
      </c>
      <c r="B79" s="11" t="s">
        <v>197</v>
      </c>
      <c r="C79" s="4" t="s">
        <v>182</v>
      </c>
      <c r="D79" s="10" t="s">
        <v>78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6">
        <v>33059.0784066667</v>
      </c>
      <c r="O79" s="577">
        <f t="shared" si="27"/>
        <v>19371.94922</v>
      </c>
      <c r="P79" s="578"/>
      <c r="Q79" s="579">
        <f t="shared" si="30"/>
        <v>116360.43328</v>
      </c>
    </row>
    <row r="80" ht="20.1" customHeight="1" spans="1:17">
      <c r="A80" s="10">
        <v>6</v>
      </c>
      <c r="B80" s="11" t="s">
        <v>201</v>
      </c>
      <c r="C80" s="4" t="s">
        <v>182</v>
      </c>
      <c r="D80" s="10" t="s">
        <v>99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6">
        <v>29058.4826046667</v>
      </c>
      <c r="O80" s="577">
        <f t="shared" si="27"/>
        <v>15583.017982</v>
      </c>
      <c r="P80" s="578"/>
      <c r="Q80" s="579">
        <f t="shared" si="30"/>
        <v>98226.268101333</v>
      </c>
    </row>
    <row r="81" ht="20.1" customHeight="1" spans="1:17">
      <c r="A81" s="10">
        <v>7</v>
      </c>
      <c r="B81" s="11" t="s">
        <v>203</v>
      </c>
      <c r="C81" s="4" t="s">
        <v>204</v>
      </c>
      <c r="D81" s="10" t="s">
        <v>111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6">
        <v>24751.1704626667</v>
      </c>
      <c r="O81" s="577">
        <f t="shared" si="27"/>
        <v>13907.995164</v>
      </c>
      <c r="P81" s="578"/>
      <c r="Q81" s="579">
        <f t="shared" si="30"/>
        <v>86834.470336</v>
      </c>
    </row>
    <row r="82" ht="20.1" customHeight="1" spans="1:17">
      <c r="A82" s="10"/>
      <c r="B82" s="20" t="s">
        <v>120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8">
        <v>465888.043932667</v>
      </c>
      <c r="O82" s="588">
        <f t="shared" si="31"/>
        <v>264643.238894001</v>
      </c>
      <c r="P82" s="589"/>
      <c r="Q82" s="590">
        <f>SUM(Q75:Q81)</f>
        <v>1360883.882106</v>
      </c>
    </row>
    <row r="83" ht="20.1" customHeight="1" spans="1:17">
      <c r="A83" s="10"/>
      <c r="B83" s="20"/>
      <c r="C83" s="21"/>
      <c r="D83" s="21"/>
      <c r="E83" s="156"/>
      <c r="F83" s="156"/>
      <c r="G83" s="220"/>
      <c r="H83" s="220"/>
      <c r="I83" s="156"/>
      <c r="J83" s="516"/>
      <c r="K83" s="516"/>
      <c r="L83" s="516"/>
      <c r="M83" s="517"/>
      <c r="N83" s="591"/>
      <c r="O83" s="591"/>
      <c r="P83" s="592"/>
      <c r="Q83" s="593"/>
    </row>
    <row r="84" ht="20.1" customHeight="1" spans="1:17">
      <c r="A84" s="10"/>
      <c r="B84" s="20" t="s">
        <v>205</v>
      </c>
      <c r="C84" s="25"/>
      <c r="D84" s="21"/>
      <c r="E84" s="156"/>
      <c r="F84" s="156"/>
      <c r="G84" s="220"/>
      <c r="H84" s="220"/>
      <c r="I84" s="156"/>
      <c r="J84" s="516"/>
      <c r="K84" s="516"/>
      <c r="L84" s="516"/>
      <c r="M84" s="517"/>
      <c r="N84" s="591"/>
      <c r="O84" s="591"/>
      <c r="P84" s="592"/>
      <c r="Q84" s="593"/>
    </row>
    <row r="85" ht="20.1" customHeight="1" spans="1:17">
      <c r="A85" s="10">
        <v>1</v>
      </c>
      <c r="B85" s="11" t="s">
        <v>208</v>
      </c>
      <c r="C85" s="4" t="s">
        <v>145</v>
      </c>
      <c r="D85" s="10" t="s">
        <v>39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6">
        <v>99156.9391466667</v>
      </c>
      <c r="O85" s="577">
        <f t="shared" ref="O85:O94" si="32">M85-N85</f>
        <v>39065.8625600003</v>
      </c>
      <c r="P85" s="578"/>
      <c r="Q85" s="579">
        <f>L85-O85</f>
        <v>214056.218273333</v>
      </c>
    </row>
    <row r="86" ht="20.1" customHeight="1" spans="1:17">
      <c r="A86" s="10">
        <v>2</v>
      </c>
      <c r="B86" s="11" t="s">
        <v>206</v>
      </c>
      <c r="C86" s="4" t="s">
        <v>145</v>
      </c>
      <c r="D86" s="10" t="s">
        <v>39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6">
        <v>79796.1031466666</v>
      </c>
      <c r="O86" s="577">
        <f t="shared" si="32"/>
        <v>39065.8625600004</v>
      </c>
      <c r="P86" s="578"/>
      <c r="Q86" s="579">
        <f t="shared" ref="Q86:Q94" si="35">L86-O86</f>
        <v>214056.218273333</v>
      </c>
    </row>
    <row r="87" ht="20.1" customHeight="1" spans="1:17">
      <c r="A87" s="10">
        <v>3</v>
      </c>
      <c r="B87" s="11" t="s">
        <v>479</v>
      </c>
      <c r="C87" s="4" t="s">
        <v>145</v>
      </c>
      <c r="D87" s="10" t="s">
        <v>42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6">
        <v>75574.6772906667</v>
      </c>
      <c r="O87" s="577">
        <f t="shared" si="32"/>
        <v>36637.3276160003</v>
      </c>
      <c r="P87" s="578"/>
      <c r="Q87" s="579">
        <f t="shared" si="35"/>
        <v>200751.533717333</v>
      </c>
    </row>
    <row r="88" ht="21.6" customHeight="1" spans="1:17">
      <c r="A88" s="10">
        <v>4</v>
      </c>
      <c r="B88" s="11" t="s">
        <v>211</v>
      </c>
      <c r="C88" s="4" t="s">
        <v>927</v>
      </c>
      <c r="D88" s="15" t="s">
        <v>56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6">
        <v>50985.9775466667</v>
      </c>
      <c r="O88" s="577">
        <f t="shared" si="32"/>
        <v>28761.1096</v>
      </c>
      <c r="P88" s="578"/>
      <c r="Q88" s="579">
        <f t="shared" si="35"/>
        <v>156380.729566667</v>
      </c>
    </row>
    <row r="89" ht="21.6" customHeight="1" spans="1:17">
      <c r="A89" s="10">
        <v>5</v>
      </c>
      <c r="B89" s="11" t="s">
        <v>212</v>
      </c>
      <c r="C89" s="12" t="s">
        <v>217</v>
      </c>
      <c r="D89" s="15" t="s">
        <v>601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6">
        <v>49548.7761866667</v>
      </c>
      <c r="O89" s="577">
        <f t="shared" si="32"/>
        <v>27921.598</v>
      </c>
      <c r="P89" s="578"/>
      <c r="Q89" s="579">
        <f t="shared" si="35"/>
        <v>151816.664916667</v>
      </c>
    </row>
    <row r="90" ht="21.6" customHeight="1" spans="1:17">
      <c r="A90" s="10">
        <v>6</v>
      </c>
      <c r="B90" s="11" t="s">
        <v>213</v>
      </c>
      <c r="C90" s="12" t="s">
        <v>52</v>
      </c>
      <c r="D90" s="15" t="s">
        <v>600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6">
        <v>53384.0535626667</v>
      </c>
      <c r="O90" s="577">
        <f t="shared" si="32"/>
        <v>27918.342384</v>
      </c>
      <c r="P90" s="578"/>
      <c r="Q90" s="579">
        <f t="shared" si="35"/>
        <v>151799.350866</v>
      </c>
    </row>
    <row r="91" ht="21.6" customHeight="1" spans="1:17">
      <c r="A91" s="10">
        <v>7</v>
      </c>
      <c r="B91" s="11" t="s">
        <v>215</v>
      </c>
      <c r="C91" s="17" t="s">
        <v>72</v>
      </c>
      <c r="D91" s="15" t="s">
        <v>131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6">
        <v>41338.9510986667</v>
      </c>
      <c r="O91" s="577">
        <f t="shared" si="32"/>
        <v>23045.640688</v>
      </c>
      <c r="P91" s="578"/>
      <c r="Q91" s="579">
        <f t="shared" si="35"/>
        <v>130204.118645333</v>
      </c>
    </row>
    <row r="92" ht="21.6" customHeight="1" spans="1:17">
      <c r="A92" s="10">
        <v>8</v>
      </c>
      <c r="B92" s="11" t="s">
        <v>216</v>
      </c>
      <c r="C92" s="17" t="s">
        <v>217</v>
      </c>
      <c r="D92" s="15" t="s">
        <v>67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6">
        <v>45317.5412946667</v>
      </c>
      <c r="O92" s="577">
        <f t="shared" si="32"/>
        <v>25211.93406</v>
      </c>
      <c r="P92" s="578"/>
      <c r="Q92" s="579">
        <f t="shared" si="35"/>
        <v>138323.949356667</v>
      </c>
    </row>
    <row r="93" ht="21.6" customHeight="1" spans="1:17">
      <c r="A93" s="10">
        <v>9</v>
      </c>
      <c r="B93" s="11" t="s">
        <v>220</v>
      </c>
      <c r="C93" s="4" t="s">
        <v>221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6">
        <v>33825.9865626667</v>
      </c>
      <c r="O93" s="577">
        <f t="shared" si="32"/>
        <v>17203.240744</v>
      </c>
      <c r="P93" s="578"/>
      <c r="Q93" s="579">
        <f t="shared" si="35"/>
        <v>106028.295589333</v>
      </c>
    </row>
    <row r="94" ht="21.6" customHeight="1" spans="1:17">
      <c r="A94" s="10">
        <v>10</v>
      </c>
      <c r="B94" s="11" t="s">
        <v>224</v>
      </c>
      <c r="C94" s="17" t="s">
        <v>505</v>
      </c>
      <c r="D94" s="15" t="s">
        <v>108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6">
        <v>29984.8709254267</v>
      </c>
      <c r="O94" s="577">
        <f t="shared" si="32"/>
        <v>9628.26478124</v>
      </c>
      <c r="P94" s="578"/>
      <c r="Q94" s="595">
        <f t="shared" si="35"/>
        <v>66133.388440427</v>
      </c>
    </row>
    <row r="95" ht="20.1" customHeight="1" spans="1:17">
      <c r="A95" s="10"/>
      <c r="B95" s="20" t="s">
        <v>120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8">
        <v>558913.876761427</v>
      </c>
      <c r="O95" s="588">
        <f t="shared" si="39"/>
        <v>274459.182993241</v>
      </c>
      <c r="P95" s="589"/>
      <c r="Q95" s="590">
        <f>SUM(Q85:Q94)</f>
        <v>1529550.46764509</v>
      </c>
    </row>
    <row r="96" ht="20.1" customHeight="1" spans="1:17">
      <c r="A96" s="10"/>
      <c r="B96" s="22"/>
      <c r="C96" s="21"/>
      <c r="D96" s="21"/>
      <c r="E96" s="156"/>
      <c r="F96" s="156"/>
      <c r="G96" s="220"/>
      <c r="H96" s="220"/>
      <c r="I96" s="156"/>
      <c r="J96" s="516"/>
      <c r="K96" s="516"/>
      <c r="L96" s="516"/>
      <c r="M96" s="517"/>
      <c r="N96" s="591"/>
      <c r="O96" s="591"/>
      <c r="P96" s="592"/>
      <c r="Q96" s="593"/>
    </row>
    <row r="97" ht="20.1" customHeight="1" spans="1:17">
      <c r="A97" s="10"/>
      <c r="B97" s="20" t="s">
        <v>226</v>
      </c>
      <c r="C97" s="21"/>
      <c r="D97" s="21"/>
      <c r="E97" s="156"/>
      <c r="F97" s="156"/>
      <c r="G97" s="220"/>
      <c r="H97" s="220"/>
      <c r="I97" s="156"/>
      <c r="J97" s="516"/>
      <c r="K97" s="516"/>
      <c r="L97" s="516"/>
      <c r="M97" s="517"/>
      <c r="N97" s="591"/>
      <c r="O97" s="591"/>
      <c r="P97" s="592"/>
      <c r="Q97" s="593"/>
    </row>
    <row r="98" ht="20.1" customHeight="1" spans="1:17">
      <c r="A98" s="10">
        <v>1</v>
      </c>
      <c r="B98" s="14" t="s">
        <v>227</v>
      </c>
      <c r="C98" s="4" t="s">
        <v>650</v>
      </c>
      <c r="D98" s="16" t="s">
        <v>36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6">
        <v>82423.2162026667</v>
      </c>
      <c r="O98" s="577">
        <f>M98-N98</f>
        <v>47984.3114080003</v>
      </c>
      <c r="P98" s="578"/>
      <c r="Q98" s="579">
        <f>L98-O98</f>
        <v>262923.830508667</v>
      </c>
    </row>
    <row r="99" ht="20.1" customHeight="1" spans="1:17">
      <c r="A99" s="10">
        <v>2</v>
      </c>
      <c r="B99" s="11" t="s">
        <v>229</v>
      </c>
      <c r="C99" s="4" t="s">
        <v>230</v>
      </c>
      <c r="D99" s="15" t="s">
        <v>214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6">
        <v>43492.3733766667</v>
      </c>
      <c r="O99" s="577">
        <f>M99-N99</f>
        <v>29272.04753</v>
      </c>
      <c r="P99" s="578"/>
      <c r="Q99" s="579">
        <f t="shared" ref="Q99:Q101" si="42">L99-O99</f>
        <v>162078.13872</v>
      </c>
    </row>
    <row r="100" ht="20.1" customHeight="1" spans="1:17">
      <c r="A100" s="10">
        <v>3</v>
      </c>
      <c r="B100" s="11" t="s">
        <v>235</v>
      </c>
      <c r="C100" s="4" t="s">
        <v>651</v>
      </c>
      <c r="D100" s="15" t="s">
        <v>70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6">
        <v>34968.8824146667</v>
      </c>
      <c r="O100" s="577">
        <f>M100-N100</f>
        <v>21969.186492</v>
      </c>
      <c r="P100" s="578"/>
      <c r="Q100" s="579">
        <f t="shared" si="42"/>
        <v>131388.981674667</v>
      </c>
    </row>
    <row r="101" ht="20.1" customHeight="1" spans="1:17">
      <c r="A101" s="10">
        <v>4</v>
      </c>
      <c r="B101" s="11" t="s">
        <v>236</v>
      </c>
      <c r="C101" s="4" t="s">
        <v>200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6">
        <v>27105.9865626667</v>
      </c>
      <c r="O101" s="577">
        <f>M101-N101</f>
        <v>16657.920664</v>
      </c>
      <c r="P101" s="578"/>
      <c r="Q101" s="579">
        <f t="shared" si="42"/>
        <v>106573.615669333</v>
      </c>
    </row>
    <row r="102" ht="20.1" customHeight="1" spans="1:17">
      <c r="A102" s="4"/>
      <c r="B102" s="20" t="s">
        <v>120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8">
        <v>187990.458556667</v>
      </c>
      <c r="O102" s="588">
        <f t="shared" si="43"/>
        <v>115883.466094</v>
      </c>
      <c r="P102" s="589"/>
      <c r="Q102" s="590">
        <f>SUM(Q98:Q101)</f>
        <v>662964.566572667</v>
      </c>
    </row>
    <row r="103" ht="20.1" customHeight="1" spans="1:17">
      <c r="A103" s="4"/>
      <c r="B103" s="22"/>
      <c r="C103" s="21"/>
      <c r="D103" s="26"/>
      <c r="E103" s="156"/>
      <c r="F103" s="156"/>
      <c r="G103" s="220"/>
      <c r="H103" s="220"/>
      <c r="I103" s="156"/>
      <c r="J103" s="516"/>
      <c r="K103" s="516"/>
      <c r="L103" s="516"/>
      <c r="M103" s="517"/>
      <c r="N103" s="591"/>
      <c r="O103" s="591"/>
      <c r="P103" s="592"/>
      <c r="Q103" s="593"/>
    </row>
    <row r="104" ht="20.1" customHeight="1" spans="1:17">
      <c r="A104" s="4"/>
      <c r="B104" s="20" t="s">
        <v>239</v>
      </c>
      <c r="C104" s="4"/>
      <c r="D104" s="4"/>
      <c r="E104" s="4"/>
      <c r="F104" s="4"/>
      <c r="G104" s="220"/>
      <c r="H104" s="220"/>
      <c r="I104" s="4"/>
      <c r="J104" s="519"/>
      <c r="K104" s="519"/>
      <c r="L104" s="519"/>
      <c r="M104" s="520"/>
      <c r="N104" s="596"/>
      <c r="O104" s="596"/>
      <c r="P104" s="597"/>
      <c r="Q104" s="598"/>
    </row>
    <row r="105" ht="20.1" customHeight="1" spans="1:17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6">
        <v>180306.806858667</v>
      </c>
      <c r="O105" s="577">
        <f t="shared" ref="O105:O111" si="44">M105-N105</f>
        <v>90365.440608</v>
      </c>
      <c r="P105" s="578"/>
      <c r="Q105" s="579">
        <f>L105-O105</f>
        <v>495145.495892</v>
      </c>
    </row>
    <row r="106" ht="20.1" customHeight="1" spans="1:17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6">
        <v>99703.2162026667</v>
      </c>
      <c r="O106" s="577">
        <f t="shared" si="44"/>
        <v>47984.3114080003</v>
      </c>
      <c r="P106" s="578"/>
      <c r="Q106" s="579">
        <f t="shared" ref="Q106:Q111" si="47">L106-O106</f>
        <v>262923.830508667</v>
      </c>
    </row>
    <row r="107" ht="20.1" customHeight="1" spans="1:17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6">
        <v>58814.6731034667</v>
      </c>
      <c r="O107" s="577">
        <f t="shared" si="44"/>
        <v>28761.1096</v>
      </c>
      <c r="P107" s="578"/>
      <c r="Q107" s="579">
        <f t="shared" si="47"/>
        <v>156380.729566667</v>
      </c>
    </row>
    <row r="108" ht="20.1" customHeight="1" spans="1:17">
      <c r="A108" s="4">
        <v>4</v>
      </c>
      <c r="B108" s="11" t="s">
        <v>246</v>
      </c>
      <c r="C108" s="4" t="s">
        <v>653</v>
      </c>
      <c r="D108" s="10" t="s">
        <v>56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6">
        <v>58631.4399444267</v>
      </c>
      <c r="O108" s="577">
        <f t="shared" si="44"/>
        <v>28761.1096</v>
      </c>
      <c r="P108" s="578"/>
      <c r="Q108" s="579">
        <f t="shared" si="47"/>
        <v>156380.729566667</v>
      </c>
    </row>
    <row r="109" ht="20.1" customHeight="1" spans="1:17">
      <c r="A109" s="4">
        <v>5</v>
      </c>
      <c r="B109" s="11" t="s">
        <v>249</v>
      </c>
      <c r="C109" s="4" t="s">
        <v>250</v>
      </c>
      <c r="D109" s="15" t="s">
        <v>928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6">
        <v>31871.3352033067</v>
      </c>
      <c r="O109" s="577">
        <f t="shared" si="44"/>
        <v>14868.92969952</v>
      </c>
      <c r="P109" s="578"/>
      <c r="Q109" s="579">
        <f t="shared" si="47"/>
        <v>93513.716967147</v>
      </c>
    </row>
    <row r="110" ht="20.1" customHeight="1" spans="1:17">
      <c r="A110" s="4">
        <v>6</v>
      </c>
      <c r="B110" s="18" t="s">
        <v>252</v>
      </c>
      <c r="C110" s="4" t="s">
        <v>250</v>
      </c>
      <c r="D110" s="10" t="s">
        <v>506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6">
        <v>31221.1455546667</v>
      </c>
      <c r="O110" s="577">
        <f t="shared" si="44"/>
        <v>14491.49184</v>
      </c>
      <c r="P110" s="578"/>
      <c r="Q110" s="579">
        <f t="shared" si="47"/>
        <v>91205.48816</v>
      </c>
    </row>
    <row r="111" ht="20.1" customHeight="1" spans="1:17">
      <c r="A111" s="4">
        <v>7</v>
      </c>
      <c r="B111" s="18" t="s">
        <v>253</v>
      </c>
      <c r="C111" s="4" t="s">
        <v>250</v>
      </c>
      <c r="D111" s="15" t="s">
        <v>108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6">
        <v>29984.8709254267</v>
      </c>
      <c r="O111" s="577">
        <f t="shared" si="44"/>
        <v>13755.385616</v>
      </c>
      <c r="P111" s="578"/>
      <c r="Q111" s="579">
        <f t="shared" si="47"/>
        <v>86572.463050667</v>
      </c>
    </row>
    <row r="112" ht="25.5" customHeight="1" spans="1:17">
      <c r="A112" s="4"/>
      <c r="B112" s="20" t="s">
        <v>120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9">
        <v>490533.487792627</v>
      </c>
      <c r="O112" s="599">
        <f t="shared" si="49"/>
        <v>238987.77837152</v>
      </c>
      <c r="P112" s="600"/>
      <c r="Q112" s="601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21"/>
      <c r="H113" s="521"/>
      <c r="I113" s="223"/>
      <c r="J113" s="522"/>
      <c r="K113" s="522"/>
      <c r="L113" s="522"/>
      <c r="M113" s="523"/>
      <c r="N113" s="602"/>
      <c r="O113" s="602"/>
      <c r="P113" s="600"/>
      <c r="Q113" s="603"/>
    </row>
    <row r="114" ht="20.1" customHeight="1" spans="1:17">
      <c r="A114" s="10"/>
      <c r="B114" s="20" t="s">
        <v>257</v>
      </c>
      <c r="C114" s="21"/>
      <c r="D114" s="21"/>
      <c r="E114" s="156"/>
      <c r="F114" s="156"/>
      <c r="G114" s="220"/>
      <c r="H114" s="220"/>
      <c r="I114" s="156"/>
      <c r="J114" s="516"/>
      <c r="K114" s="516"/>
      <c r="L114" s="516"/>
      <c r="M114" s="517"/>
      <c r="N114" s="591"/>
      <c r="O114" s="591"/>
      <c r="P114" s="592"/>
      <c r="Q114" s="593"/>
    </row>
    <row r="115" ht="20.1" customHeight="1" spans="1:17">
      <c r="A115" s="10">
        <v>1</v>
      </c>
      <c r="B115" s="14" t="s">
        <v>165</v>
      </c>
      <c r="C115" s="4" t="s">
        <v>145</v>
      </c>
      <c r="D115" s="10" t="s">
        <v>50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6">
        <v>77610.1169066667</v>
      </c>
      <c r="O115" s="577">
        <f>M115-N115</f>
        <v>37852.4230400003</v>
      </c>
      <c r="P115" s="578"/>
      <c r="Q115" s="579">
        <f>L115-O115</f>
        <v>207407.360293333</v>
      </c>
    </row>
    <row r="116" ht="18.75" customHeight="1" spans="1:17">
      <c r="A116" s="10">
        <v>2</v>
      </c>
      <c r="B116" s="11" t="s">
        <v>259</v>
      </c>
      <c r="C116" s="4" t="s">
        <v>260</v>
      </c>
      <c r="D116" s="15" t="s">
        <v>70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6">
        <v>43368.8824146667</v>
      </c>
      <c r="O116" s="577">
        <f>M116-N116</f>
        <v>23169.186492</v>
      </c>
      <c r="P116" s="578"/>
      <c r="Q116" s="579">
        <f t="shared" ref="Q116:Q117" si="52">L116-O116</f>
        <v>130188.981674667</v>
      </c>
    </row>
    <row r="117" ht="20.1" customHeight="1" spans="1:17">
      <c r="A117" s="10">
        <v>3</v>
      </c>
      <c r="B117" s="11" t="s">
        <v>193</v>
      </c>
      <c r="C117" s="12" t="s">
        <v>929</v>
      </c>
      <c r="D117" s="15" t="s">
        <v>173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6">
        <v>35221.9540866667</v>
      </c>
      <c r="O117" s="577">
        <f>M117-N117</f>
        <v>23758.88066</v>
      </c>
      <c r="P117" s="578"/>
      <c r="Q117" s="579">
        <f t="shared" si="52"/>
        <v>139707.62059</v>
      </c>
    </row>
    <row r="118" ht="24.75" customHeight="1" spans="1:17">
      <c r="A118" s="4"/>
      <c r="B118" s="20" t="s">
        <v>120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8">
        <v>156200.953408</v>
      </c>
      <c r="O118" s="588">
        <f t="shared" si="53"/>
        <v>84780.4901920003</v>
      </c>
      <c r="P118" s="589"/>
      <c r="Q118" s="590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4"/>
      <c r="O119" s="604"/>
      <c r="P119" s="605"/>
      <c r="Q119" s="606"/>
    </row>
    <row r="120" ht="20.1" customHeight="1" spans="1:17">
      <c r="A120" s="4"/>
      <c r="B120" s="20" t="s">
        <v>278</v>
      </c>
      <c r="C120" s="21"/>
      <c r="D120" s="21"/>
      <c r="E120" s="156"/>
      <c r="F120" s="156"/>
      <c r="G120" s="220"/>
      <c r="H120" s="220"/>
      <c r="I120" s="156"/>
      <c r="J120" s="516"/>
      <c r="K120" s="516"/>
      <c r="L120" s="516"/>
      <c r="M120" s="517"/>
      <c r="N120" s="591"/>
      <c r="O120" s="591"/>
      <c r="P120" s="592"/>
      <c r="Q120" s="593"/>
    </row>
    <row r="121" ht="20.1" customHeight="1" spans="1:17">
      <c r="A121" s="4">
        <v>1</v>
      </c>
      <c r="B121" s="11" t="s">
        <v>279</v>
      </c>
      <c r="C121" s="12" t="s">
        <v>280</v>
      </c>
      <c r="D121" s="15" t="s">
        <v>124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6">
        <v>179914.454762667</v>
      </c>
      <c r="O121" s="577">
        <f t="shared" ref="O121:O130" si="54">M121-N121</f>
        <v>90365.440608</v>
      </c>
      <c r="P121" s="578"/>
      <c r="Q121" s="579">
        <f>L121-O121</f>
        <v>495145.495892</v>
      </c>
    </row>
    <row r="122" ht="20.1" customHeight="1" spans="1:17">
      <c r="A122" s="4">
        <v>2</v>
      </c>
      <c r="B122" s="11" t="s">
        <v>281</v>
      </c>
      <c r="C122" s="12" t="s">
        <v>654</v>
      </c>
      <c r="D122" s="15" t="s">
        <v>210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6">
        <v>98995.9569386667</v>
      </c>
      <c r="O122" s="577">
        <f t="shared" si="54"/>
        <v>46526.0737760003</v>
      </c>
      <c r="P122" s="578"/>
      <c r="Q122" s="579">
        <f t="shared" ref="Q122:Q130" si="57">L122-O122</f>
        <v>254933.513807333</v>
      </c>
    </row>
    <row r="123" ht="20.1" customHeight="1" spans="1:17">
      <c r="A123" s="4">
        <v>3</v>
      </c>
      <c r="B123" s="14" t="s">
        <v>283</v>
      </c>
      <c r="C123" s="12" t="s">
        <v>655</v>
      </c>
      <c r="D123" s="15" t="s">
        <v>39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6">
        <v>89396.1031466666</v>
      </c>
      <c r="O123" s="577">
        <f t="shared" si="54"/>
        <v>39065.8625600004</v>
      </c>
      <c r="P123" s="578"/>
      <c r="Q123" s="579">
        <f t="shared" si="57"/>
        <v>214056.218273333</v>
      </c>
    </row>
    <row r="124" ht="20.1" customHeight="1" spans="1:17">
      <c r="A124" s="4">
        <v>4</v>
      </c>
      <c r="B124" s="14" t="s">
        <v>930</v>
      </c>
      <c r="C124" s="12" t="s">
        <v>655</v>
      </c>
      <c r="D124" s="15" t="s">
        <v>42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6">
        <v>60214.6772906667</v>
      </c>
      <c r="O124" s="577">
        <f t="shared" si="54"/>
        <v>45578.6613760003</v>
      </c>
      <c r="P124" s="578"/>
      <c r="Q124" s="579">
        <f t="shared" si="57"/>
        <v>191810.199957333</v>
      </c>
    </row>
    <row r="125" ht="20.1" customHeight="1" spans="1:17">
      <c r="A125" s="4">
        <v>5</v>
      </c>
      <c r="B125" s="11" t="s">
        <v>286</v>
      </c>
      <c r="C125" s="12" t="s">
        <v>288</v>
      </c>
      <c r="D125" s="15" t="s">
        <v>47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6">
        <v>44846.6165886667</v>
      </c>
      <c r="O125" s="577">
        <f t="shared" si="54"/>
        <v>30368.816798</v>
      </c>
      <c r="P125" s="578"/>
      <c r="Q125" s="579">
        <f t="shared" si="57"/>
        <v>166796.147952</v>
      </c>
    </row>
    <row r="126" ht="20.1" customHeight="1" spans="1:17">
      <c r="A126" s="4">
        <v>6</v>
      </c>
      <c r="B126" s="11" t="s">
        <v>287</v>
      </c>
      <c r="C126" s="12" t="s">
        <v>656</v>
      </c>
      <c r="D126" s="15" t="s">
        <v>53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6">
        <v>42029.5891866667</v>
      </c>
      <c r="O126" s="577">
        <f t="shared" si="54"/>
        <v>28159.71956</v>
      </c>
      <c r="P126" s="578"/>
      <c r="Q126" s="579">
        <f t="shared" si="57"/>
        <v>157375.41294</v>
      </c>
    </row>
    <row r="127" ht="20.1" customHeight="1" spans="1:17">
      <c r="A127" s="4">
        <v>7</v>
      </c>
      <c r="B127" s="11" t="s">
        <v>289</v>
      </c>
      <c r="C127" s="12" t="s">
        <v>288</v>
      </c>
      <c r="D127" s="15" t="s">
        <v>214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6">
        <v>43380.0962466667</v>
      </c>
      <c r="O127" s="577">
        <f t="shared" si="54"/>
        <v>29256.00794</v>
      </c>
      <c r="P127" s="578"/>
      <c r="Q127" s="579">
        <f t="shared" si="57"/>
        <v>162094.17831</v>
      </c>
    </row>
    <row r="128" ht="20.1" customHeight="1" spans="1:17">
      <c r="A128" s="4">
        <v>8</v>
      </c>
      <c r="B128" s="11" t="s">
        <v>292</v>
      </c>
      <c r="C128" s="12" t="s">
        <v>657</v>
      </c>
      <c r="D128" s="10" t="s">
        <v>86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6">
        <v>23036.0123466667</v>
      </c>
      <c r="O128" s="577">
        <f t="shared" si="54"/>
        <v>16016.30072</v>
      </c>
      <c r="P128" s="578"/>
      <c r="Q128" s="579">
        <f t="shared" si="57"/>
        <v>100957.355946667</v>
      </c>
    </row>
    <row r="129" ht="20.1" customHeight="1" spans="1:17">
      <c r="A129" s="4">
        <v>9</v>
      </c>
      <c r="B129" s="18" t="s">
        <v>294</v>
      </c>
      <c r="C129" s="12" t="s">
        <v>295</v>
      </c>
      <c r="D129" s="15" t="s">
        <v>111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6">
        <v>17042.7138666667</v>
      </c>
      <c r="O129" s="577">
        <f t="shared" si="54"/>
        <v>13216.45176</v>
      </c>
      <c r="P129" s="578"/>
      <c r="Q129" s="579">
        <f t="shared" si="57"/>
        <v>84427.19824</v>
      </c>
    </row>
    <row r="130" ht="20.1" customHeight="1" spans="1:17">
      <c r="A130" s="4">
        <v>10</v>
      </c>
      <c r="B130" s="18" t="s">
        <v>296</v>
      </c>
      <c r="C130" s="12" t="s">
        <v>291</v>
      </c>
      <c r="D130" s="15" t="s">
        <v>111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6">
        <v>17042.7138666667</v>
      </c>
      <c r="O130" s="577">
        <f t="shared" si="54"/>
        <v>13216.45176</v>
      </c>
      <c r="P130" s="578"/>
      <c r="Q130" s="579">
        <f t="shared" si="57"/>
        <v>84427.19824</v>
      </c>
    </row>
    <row r="131" ht="28.5" customHeight="1" spans="1:17">
      <c r="A131" s="4"/>
      <c r="B131" s="20" t="s">
        <v>120</v>
      </c>
      <c r="C131" s="26" t="s">
        <v>658</v>
      </c>
      <c r="D131" s="15"/>
      <c r="E131" s="156">
        <f>SUM(E121:E130)</f>
        <v>5466985.16666667</v>
      </c>
      <c r="F131" s="156">
        <f t="shared" ref="F131:O131" si="59">SUM(F121:F130)</f>
        <v>0</v>
      </c>
      <c r="G131" s="156">
        <f t="shared" si="59"/>
        <v>0</v>
      </c>
      <c r="H131" s="156">
        <f t="shared" si="59"/>
        <v>720000</v>
      </c>
      <c r="I131" s="156">
        <f t="shared" si="59"/>
        <v>330000</v>
      </c>
      <c r="J131" s="156">
        <f t="shared" si="59"/>
        <v>6516985.16666667</v>
      </c>
      <c r="K131" s="156">
        <v>4253192.46025</v>
      </c>
      <c r="L131" s="156">
        <f t="shared" si="59"/>
        <v>2263792.70641667</v>
      </c>
      <c r="M131" s="156">
        <f t="shared" si="59"/>
        <v>967668.721098668</v>
      </c>
      <c r="N131" s="607">
        <v>615898.934240667</v>
      </c>
      <c r="O131" s="607">
        <f t="shared" si="59"/>
        <v>351769.786858001</v>
      </c>
      <c r="P131" s="592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56"/>
      <c r="F132" s="156"/>
      <c r="G132" s="220"/>
      <c r="H132" s="220"/>
      <c r="I132" s="156"/>
      <c r="J132" s="516"/>
      <c r="K132" s="516"/>
      <c r="L132" s="516"/>
      <c r="M132" s="517"/>
      <c r="N132" s="591"/>
      <c r="O132" s="591"/>
      <c r="P132" s="592"/>
      <c r="Q132" s="593"/>
    </row>
    <row r="133" ht="20.1" customHeight="1" spans="1:17">
      <c r="A133" s="4"/>
      <c r="B133" s="20" t="s">
        <v>299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6"/>
      <c r="O133" s="576"/>
      <c r="P133" s="585"/>
      <c r="Q133" s="586"/>
    </row>
    <row r="134" ht="20.1" customHeight="1" spans="1:17">
      <c r="A134" s="27">
        <v>1</v>
      </c>
      <c r="B134" s="11" t="s">
        <v>931</v>
      </c>
      <c r="C134" s="12" t="s">
        <v>932</v>
      </c>
      <c r="D134" s="15" t="s">
        <v>124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6">
        <v>161106.806858667</v>
      </c>
      <c r="O134" s="577">
        <f t="shared" ref="O134:O192" si="60">M134-N134</f>
        <v>90365.440608</v>
      </c>
      <c r="P134" s="578"/>
      <c r="Q134" s="579">
        <f>L134-O134</f>
        <v>495145.495892</v>
      </c>
    </row>
    <row r="135" ht="20.1" customHeight="1" spans="1:17">
      <c r="A135" s="27">
        <v>2</v>
      </c>
      <c r="B135" s="11" t="s">
        <v>933</v>
      </c>
      <c r="C135" s="12" t="s">
        <v>934</v>
      </c>
      <c r="D135" s="15" t="s">
        <v>36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6">
        <v>82627.9514186667</v>
      </c>
      <c r="O135" s="577">
        <f t="shared" si="60"/>
        <v>59694.3632480003</v>
      </c>
      <c r="P135" s="578"/>
      <c r="Q135" s="579">
        <f t="shared" ref="Q135:Q192" si="63">L135-O135</f>
        <v>251213.778668667</v>
      </c>
    </row>
    <row r="136" ht="20.1" customHeight="1" spans="1:17">
      <c r="A136" s="27">
        <v>3</v>
      </c>
      <c r="B136" s="14" t="s">
        <v>302</v>
      </c>
      <c r="C136" s="4" t="s">
        <v>488</v>
      </c>
      <c r="D136" s="16" t="s">
        <v>36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6">
        <v>92023.2162026667</v>
      </c>
      <c r="O136" s="577">
        <f t="shared" si="60"/>
        <v>47984.3114080003</v>
      </c>
      <c r="P136" s="578"/>
      <c r="Q136" s="579">
        <f t="shared" si="63"/>
        <v>262923.830508667</v>
      </c>
    </row>
    <row r="137" ht="20.1" customHeight="1" spans="1:17">
      <c r="A137" s="27">
        <v>4</v>
      </c>
      <c r="B137" s="11" t="s">
        <v>305</v>
      </c>
      <c r="C137" s="12" t="s">
        <v>935</v>
      </c>
      <c r="D137" s="15" t="s">
        <v>192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6">
        <v>46081.2025986667</v>
      </c>
      <c r="O137" s="577">
        <f t="shared" si="60"/>
        <v>31448.49218</v>
      </c>
      <c r="P137" s="578"/>
      <c r="Q137" s="579">
        <f t="shared" si="63"/>
        <v>171531.25107</v>
      </c>
    </row>
    <row r="138" ht="20.1" customHeight="1" spans="1:17">
      <c r="A138" s="27">
        <v>5</v>
      </c>
      <c r="B138" s="11" t="s">
        <v>307</v>
      </c>
      <c r="C138" s="4" t="s">
        <v>311</v>
      </c>
      <c r="D138" s="15" t="s">
        <v>192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6">
        <v>46081.2025986667</v>
      </c>
      <c r="O138" s="577">
        <f t="shared" si="60"/>
        <v>31448.49218</v>
      </c>
      <c r="P138" s="578"/>
      <c r="Q138" s="579">
        <f t="shared" si="63"/>
        <v>171531.25107</v>
      </c>
    </row>
    <row r="139" ht="20.1" customHeight="1" spans="1:17">
      <c r="A139" s="27">
        <v>6</v>
      </c>
      <c r="B139" s="11" t="s">
        <v>309</v>
      </c>
      <c r="C139" s="4" t="s">
        <v>311</v>
      </c>
      <c r="D139" s="15" t="s">
        <v>192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6">
        <v>46081.2025986667</v>
      </c>
      <c r="O139" s="577">
        <f t="shared" si="60"/>
        <v>31448.49218</v>
      </c>
      <c r="P139" s="578"/>
      <c r="Q139" s="579">
        <f t="shared" si="63"/>
        <v>171531.25107</v>
      </c>
    </row>
    <row r="140" ht="20.1" customHeight="1" spans="1:17">
      <c r="A140" s="27">
        <v>7</v>
      </c>
      <c r="B140" s="11" t="s">
        <v>231</v>
      </c>
      <c r="C140" s="12" t="s">
        <v>936</v>
      </c>
      <c r="D140" s="15" t="s">
        <v>173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6">
        <v>35221.9540866667</v>
      </c>
      <c r="O140" s="577">
        <f t="shared" si="60"/>
        <v>23758.88066</v>
      </c>
      <c r="P140" s="578"/>
      <c r="Q140" s="579">
        <f t="shared" si="63"/>
        <v>139707.62059</v>
      </c>
    </row>
    <row r="141" ht="20.1" customHeight="1" spans="1:17">
      <c r="A141" s="27">
        <v>8</v>
      </c>
      <c r="B141" s="11" t="s">
        <v>312</v>
      </c>
      <c r="C141" s="12" t="s">
        <v>936</v>
      </c>
      <c r="D141" s="15" t="s">
        <v>173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6">
        <v>35318.8264566667</v>
      </c>
      <c r="O141" s="577">
        <f t="shared" si="60"/>
        <v>23772.71957</v>
      </c>
      <c r="P141" s="578"/>
      <c r="Q141" s="579">
        <f t="shared" si="63"/>
        <v>139693.78168</v>
      </c>
    </row>
    <row r="142" ht="20.1" customHeight="1" spans="1:17">
      <c r="A142" s="27">
        <v>9</v>
      </c>
      <c r="B142" s="11" t="s">
        <v>313</v>
      </c>
      <c r="C142" s="4" t="s">
        <v>937</v>
      </c>
      <c r="D142" s="15" t="s">
        <v>173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6">
        <v>35318.8264566667</v>
      </c>
      <c r="O142" s="577">
        <f t="shared" si="60"/>
        <v>23772.71957</v>
      </c>
      <c r="P142" s="578"/>
      <c r="Q142" s="579">
        <f t="shared" si="63"/>
        <v>139693.78168</v>
      </c>
    </row>
    <row r="143" ht="20.1" customHeight="1" spans="1:17">
      <c r="A143" s="27">
        <v>10</v>
      </c>
      <c r="B143" s="11" t="s">
        <v>315</v>
      </c>
      <c r="C143" s="12" t="s">
        <v>660</v>
      </c>
      <c r="D143" s="15" t="s">
        <v>70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6">
        <v>34968.8824146667</v>
      </c>
      <c r="O143" s="577">
        <f t="shared" si="60"/>
        <v>21969.186492</v>
      </c>
      <c r="P143" s="578"/>
      <c r="Q143" s="579">
        <f t="shared" si="63"/>
        <v>131388.981674667</v>
      </c>
    </row>
    <row r="144" ht="20.1" customHeight="1" spans="1:17">
      <c r="A144" s="27">
        <v>11</v>
      </c>
      <c r="B144" s="11" t="s">
        <v>317</v>
      </c>
      <c r="C144" s="12" t="s">
        <v>318</v>
      </c>
      <c r="D144" s="15" t="s">
        <v>131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6">
        <v>32848.5634026667</v>
      </c>
      <c r="O144" s="577">
        <f t="shared" si="60"/>
        <v>21832.72816</v>
      </c>
      <c r="P144" s="578"/>
      <c r="Q144" s="579">
        <f t="shared" si="63"/>
        <v>131417.031173333</v>
      </c>
    </row>
    <row r="145" ht="20.1" customHeight="1" spans="1:17">
      <c r="A145" s="27">
        <v>12</v>
      </c>
      <c r="B145" s="11" t="s">
        <v>62</v>
      </c>
      <c r="C145" s="12" t="s">
        <v>938</v>
      </c>
      <c r="D145" s="15" t="s">
        <v>173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6">
        <v>35221.9540866667</v>
      </c>
      <c r="O145" s="577">
        <f t="shared" si="60"/>
        <v>23758.88066</v>
      </c>
      <c r="P145" s="578"/>
      <c r="Q145" s="579">
        <f t="shared" si="63"/>
        <v>139707.62059</v>
      </c>
    </row>
    <row r="146" ht="20.1" customHeight="1" spans="1:17">
      <c r="A146" s="27">
        <v>13</v>
      </c>
      <c r="B146" s="18" t="s">
        <v>319</v>
      </c>
      <c r="C146" s="4" t="s">
        <v>320</v>
      </c>
      <c r="D146" s="15" t="s">
        <v>180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6">
        <v>31749.1752666667</v>
      </c>
      <c r="O146" s="577">
        <f t="shared" si="60"/>
        <v>20881.9394</v>
      </c>
      <c r="P146" s="578"/>
      <c r="Q146" s="579">
        <f t="shared" si="63"/>
        <v>127258.4856</v>
      </c>
    </row>
    <row r="147" ht="20.1" customHeight="1" spans="1:17">
      <c r="A147" s="27">
        <v>14</v>
      </c>
      <c r="B147" s="11" t="s">
        <v>321</v>
      </c>
      <c r="C147" s="4" t="s">
        <v>939</v>
      </c>
      <c r="D147" s="15" t="s">
        <v>78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6">
        <v>27105.9865626667</v>
      </c>
      <c r="O147" s="577">
        <f t="shared" si="60"/>
        <v>17884.495944</v>
      </c>
      <c r="P147" s="578"/>
      <c r="Q147" s="579">
        <f t="shared" si="63"/>
        <v>113282.957056</v>
      </c>
    </row>
    <row r="148" ht="20.1" customHeight="1" spans="1:17">
      <c r="A148" s="27">
        <v>15</v>
      </c>
      <c r="B148" s="11" t="s">
        <v>322</v>
      </c>
      <c r="C148" s="4" t="s">
        <v>939</v>
      </c>
      <c r="D148" s="15" t="s">
        <v>153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6">
        <v>27794.2066266667</v>
      </c>
      <c r="O148" s="577">
        <f t="shared" si="60"/>
        <v>18343.9781</v>
      </c>
      <c r="P148" s="578"/>
      <c r="Q148" s="579">
        <f t="shared" si="63"/>
        <v>116193.361066667</v>
      </c>
    </row>
    <row r="149" ht="20.1" customHeight="1" spans="1:17">
      <c r="A149" s="27">
        <v>16</v>
      </c>
      <c r="B149" s="11" t="s">
        <v>324</v>
      </c>
      <c r="C149" s="4" t="s">
        <v>939</v>
      </c>
      <c r="D149" s="15" t="s">
        <v>153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6">
        <v>27873.0796866667</v>
      </c>
      <c r="O149" s="577">
        <f t="shared" si="60"/>
        <v>18343.9781</v>
      </c>
      <c r="P149" s="578"/>
      <c r="Q149" s="579">
        <f t="shared" si="63"/>
        <v>116193.361066667</v>
      </c>
    </row>
    <row r="150" ht="20.1" customHeight="1" spans="1:17">
      <c r="A150" s="27">
        <v>17</v>
      </c>
      <c r="B150" s="11" t="s">
        <v>325</v>
      </c>
      <c r="C150" s="12" t="s">
        <v>326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6">
        <v>27105.9865626667</v>
      </c>
      <c r="O150" s="577">
        <f t="shared" si="60"/>
        <v>16657.920664</v>
      </c>
      <c r="P150" s="578"/>
      <c r="Q150" s="579">
        <f t="shared" si="63"/>
        <v>106573.615669333</v>
      </c>
    </row>
    <row r="151" ht="20.1" customHeight="1" spans="1:17">
      <c r="A151" s="27">
        <v>18</v>
      </c>
      <c r="B151" s="11" t="s">
        <v>327</v>
      </c>
      <c r="C151" s="12" t="s">
        <v>328</v>
      </c>
      <c r="D151" s="10" t="s">
        <v>99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6">
        <v>22338.4826046667</v>
      </c>
      <c r="O151" s="577">
        <f t="shared" si="60"/>
        <v>15583.017982</v>
      </c>
      <c r="P151" s="578"/>
      <c r="Q151" s="579">
        <f t="shared" si="63"/>
        <v>98226.268101333</v>
      </c>
    </row>
    <row r="152" ht="20.1" customHeight="1" spans="1:17">
      <c r="A152" s="27">
        <v>19</v>
      </c>
      <c r="B152" s="11" t="s">
        <v>329</v>
      </c>
      <c r="C152" s="12" t="s">
        <v>661</v>
      </c>
      <c r="D152" s="15" t="s">
        <v>78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6">
        <v>27105.9865626667</v>
      </c>
      <c r="O152" s="577">
        <f t="shared" si="60"/>
        <v>17884.495944</v>
      </c>
      <c r="P152" s="578"/>
      <c r="Q152" s="579">
        <f t="shared" si="63"/>
        <v>113282.957056</v>
      </c>
    </row>
    <row r="153" ht="20.1" customHeight="1" spans="1:17">
      <c r="A153" s="27">
        <v>20</v>
      </c>
      <c r="B153" s="11" t="s">
        <v>331</v>
      </c>
      <c r="C153" s="12" t="s">
        <v>662</v>
      </c>
      <c r="D153" s="15" t="s">
        <v>86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6">
        <v>23036.0123466667</v>
      </c>
      <c r="O153" s="577">
        <f t="shared" si="60"/>
        <v>16016.30072</v>
      </c>
      <c r="P153" s="578"/>
      <c r="Q153" s="579">
        <f t="shared" si="63"/>
        <v>100957.355946667</v>
      </c>
    </row>
    <row r="154" ht="20.1" customHeight="1" spans="1:17">
      <c r="A154" s="27">
        <v>21</v>
      </c>
      <c r="B154" s="11" t="s">
        <v>333</v>
      </c>
      <c r="C154" s="12" t="s">
        <v>663</v>
      </c>
      <c r="D154" s="15" t="s">
        <v>78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6">
        <v>27029.2036746667</v>
      </c>
      <c r="O154" s="577">
        <f t="shared" si="60"/>
        <v>17884.495944</v>
      </c>
      <c r="P154" s="578"/>
      <c r="Q154" s="579">
        <f t="shared" si="63"/>
        <v>113282.957056</v>
      </c>
    </row>
    <row r="155" ht="20.1" customHeight="1" spans="1:17">
      <c r="A155" s="27">
        <v>22</v>
      </c>
      <c r="B155" s="11" t="s">
        <v>334</v>
      </c>
      <c r="C155" s="12" t="s">
        <v>664</v>
      </c>
      <c r="D155" s="15" t="s">
        <v>86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6">
        <v>22338.4826046667</v>
      </c>
      <c r="O155" s="577">
        <f t="shared" si="60"/>
        <v>16713.830462</v>
      </c>
      <c r="P155" s="578"/>
      <c r="Q155" s="579">
        <f t="shared" si="63"/>
        <v>104411.788954667</v>
      </c>
    </row>
    <row r="156" ht="20.1" customHeight="1" spans="1:17">
      <c r="A156" s="27">
        <v>23</v>
      </c>
      <c r="B156" s="18" t="s">
        <v>336</v>
      </c>
      <c r="C156" s="12" t="s">
        <v>337</v>
      </c>
      <c r="D156" s="15" t="s">
        <v>225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6">
        <v>21640.9528626667</v>
      </c>
      <c r="O156" s="577">
        <f t="shared" si="60"/>
        <v>15149.735244</v>
      </c>
      <c r="P156" s="578"/>
      <c r="Q156" s="579">
        <f t="shared" si="63"/>
        <v>95495.180256</v>
      </c>
    </row>
    <row r="157" ht="20.1" customHeight="1" spans="1:17">
      <c r="A157" s="27">
        <v>24</v>
      </c>
      <c r="B157" s="18" t="s">
        <v>343</v>
      </c>
      <c r="C157" s="12" t="s">
        <v>344</v>
      </c>
      <c r="D157" s="15" t="s">
        <v>111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6">
        <v>17042.7138666667</v>
      </c>
      <c r="O157" s="577">
        <f t="shared" si="60"/>
        <v>13216.45176</v>
      </c>
      <c r="P157" s="578"/>
      <c r="Q157" s="579">
        <f t="shared" si="63"/>
        <v>84427.19824</v>
      </c>
    </row>
    <row r="158" ht="20.1" customHeight="1" spans="1:17">
      <c r="A158" s="27">
        <v>25</v>
      </c>
      <c r="B158" s="18" t="s">
        <v>345</v>
      </c>
      <c r="C158" s="12" t="s">
        <v>346</v>
      </c>
      <c r="D158" s="15" t="s">
        <v>111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6">
        <v>17042.7138666667</v>
      </c>
      <c r="O158" s="577">
        <f t="shared" si="60"/>
        <v>13216.45176</v>
      </c>
      <c r="P158" s="578"/>
      <c r="Q158" s="579">
        <f t="shared" si="63"/>
        <v>84427.19824</v>
      </c>
    </row>
    <row r="159" ht="20.1" customHeight="1" spans="1:17">
      <c r="A159" s="27">
        <v>26</v>
      </c>
      <c r="B159" s="18" t="s">
        <v>347</v>
      </c>
      <c r="C159" s="12" t="s">
        <v>348</v>
      </c>
      <c r="D159" s="15" t="s">
        <v>111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6">
        <v>17042.7138666667</v>
      </c>
      <c r="O159" s="577">
        <f t="shared" si="60"/>
        <v>13216.45176</v>
      </c>
      <c r="P159" s="578"/>
      <c r="Q159" s="579">
        <f t="shared" si="63"/>
        <v>84427.19824</v>
      </c>
    </row>
    <row r="160" ht="20.1" customHeight="1" spans="1:17">
      <c r="A160" s="27">
        <v>27</v>
      </c>
      <c r="B160" s="18" t="s">
        <v>349</v>
      </c>
      <c r="C160" s="12" t="s">
        <v>665</v>
      </c>
      <c r="D160" s="15" t="s">
        <v>108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6">
        <v>17572.8850026667</v>
      </c>
      <c r="O160" s="577">
        <f t="shared" si="60"/>
        <v>13640.250704</v>
      </c>
      <c r="P160" s="578"/>
      <c r="Q160" s="579">
        <f t="shared" si="63"/>
        <v>86687.597962667</v>
      </c>
    </row>
    <row r="161" ht="20.1" customHeight="1" spans="1:17">
      <c r="A161" s="27">
        <v>28</v>
      </c>
      <c r="B161" s="18" t="s">
        <v>350</v>
      </c>
      <c r="C161" s="12" t="s">
        <v>346</v>
      </c>
      <c r="D161" s="15" t="s">
        <v>111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6">
        <v>17042.7138666667</v>
      </c>
      <c r="O161" s="577">
        <f t="shared" si="60"/>
        <v>13216.45176</v>
      </c>
      <c r="P161" s="578"/>
      <c r="Q161" s="579">
        <f t="shared" si="63"/>
        <v>84427.19824</v>
      </c>
    </row>
    <row r="162" ht="20.1" customHeight="1" spans="1:17">
      <c r="A162" s="27">
        <v>29</v>
      </c>
      <c r="B162" s="11" t="s">
        <v>359</v>
      </c>
      <c r="C162" s="12" t="s">
        <v>512</v>
      </c>
      <c r="D162" s="15" t="s">
        <v>384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6">
        <v>10739.3048</v>
      </c>
      <c r="O162" s="577">
        <f t="shared" si="60"/>
        <v>8153.6785866667</v>
      </c>
      <c r="P162" s="578"/>
      <c r="Q162" s="579">
        <f t="shared" si="63"/>
        <v>58853.7580800003</v>
      </c>
    </row>
    <row r="163" ht="20.1" customHeight="1" spans="1:17">
      <c r="A163" s="27">
        <v>30</v>
      </c>
      <c r="B163" s="11" t="s">
        <v>362</v>
      </c>
      <c r="C163" s="12" t="s">
        <v>512</v>
      </c>
      <c r="D163" s="15" t="s">
        <v>384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6">
        <v>11232.4576266667</v>
      </c>
      <c r="O163" s="577">
        <f t="shared" si="60"/>
        <v>8208.74168</v>
      </c>
      <c r="P163" s="578"/>
      <c r="Q163" s="579">
        <f t="shared" si="63"/>
        <v>58798.694986667</v>
      </c>
    </row>
    <row r="164" ht="20.1" customHeight="1" spans="1:17">
      <c r="A164" s="27">
        <v>31</v>
      </c>
      <c r="B164" s="11" t="s">
        <v>666</v>
      </c>
      <c r="C164" s="12" t="s">
        <v>512</v>
      </c>
      <c r="D164" s="15" t="s">
        <v>384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6">
        <v>10776.4576266667</v>
      </c>
      <c r="O164" s="577">
        <f t="shared" si="60"/>
        <v>8160.74168</v>
      </c>
      <c r="P164" s="578"/>
      <c r="Q164" s="579">
        <f t="shared" si="63"/>
        <v>58846.694986667</v>
      </c>
    </row>
    <row r="165" ht="20.1" customHeight="1" spans="1:17">
      <c r="A165" s="27">
        <v>32</v>
      </c>
      <c r="B165" s="11" t="s">
        <v>363</v>
      </c>
      <c r="C165" s="12" t="s">
        <v>512</v>
      </c>
      <c r="D165" s="15" t="s">
        <v>384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6">
        <v>10739.3048</v>
      </c>
      <c r="O165" s="577">
        <f t="shared" si="60"/>
        <v>8153.6785866667</v>
      </c>
      <c r="P165" s="578"/>
      <c r="Q165" s="579">
        <f t="shared" si="63"/>
        <v>58853.7580800003</v>
      </c>
    </row>
    <row r="166" ht="20.1" customHeight="1" spans="1:17">
      <c r="A166" s="27">
        <v>33</v>
      </c>
      <c r="B166" s="11" t="s">
        <v>364</v>
      </c>
      <c r="C166" s="12" t="s">
        <v>512</v>
      </c>
      <c r="D166" s="15" t="s">
        <v>384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6">
        <v>10776.4576266667</v>
      </c>
      <c r="O166" s="577">
        <f t="shared" si="60"/>
        <v>8160.74168</v>
      </c>
      <c r="P166" s="578"/>
      <c r="Q166" s="579">
        <f t="shared" si="63"/>
        <v>58846.694986667</v>
      </c>
    </row>
    <row r="167" ht="20.1" customHeight="1" spans="1:17">
      <c r="A167" s="27">
        <v>34</v>
      </c>
      <c r="B167" s="11" t="s">
        <v>365</v>
      </c>
      <c r="C167" s="12" t="s">
        <v>512</v>
      </c>
      <c r="D167" s="15" t="s">
        <v>377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6">
        <v>11232.4576266667</v>
      </c>
      <c r="O167" s="577">
        <f t="shared" si="60"/>
        <v>7399.2318133333</v>
      </c>
      <c r="P167" s="578"/>
      <c r="Q167" s="579">
        <f t="shared" si="63"/>
        <v>54346.8715199997</v>
      </c>
    </row>
    <row r="168" ht="20.1" customHeight="1" spans="1:17">
      <c r="A168" s="27">
        <v>35</v>
      </c>
      <c r="B168" s="11" t="s">
        <v>367</v>
      </c>
      <c r="C168" s="12" t="s">
        <v>512</v>
      </c>
      <c r="D168" s="15" t="s">
        <v>377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6">
        <v>10776.4576266667</v>
      </c>
      <c r="O168" s="577">
        <f t="shared" si="60"/>
        <v>7399.2318133333</v>
      </c>
      <c r="P168" s="578"/>
      <c r="Q168" s="579">
        <f t="shared" si="63"/>
        <v>54346.8715199997</v>
      </c>
    </row>
    <row r="169" ht="20.1" customHeight="1" spans="1:17">
      <c r="A169" s="27">
        <v>36</v>
      </c>
      <c r="B169" s="14" t="s">
        <v>368</v>
      </c>
      <c r="C169" s="12" t="s">
        <v>512</v>
      </c>
      <c r="D169" s="15" t="s">
        <v>377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6">
        <v>11232.4576266667</v>
      </c>
      <c r="O169" s="577">
        <f t="shared" si="60"/>
        <v>7399.2318133333</v>
      </c>
      <c r="P169" s="578"/>
      <c r="Q169" s="579">
        <f t="shared" si="63"/>
        <v>54346.8715199997</v>
      </c>
    </row>
    <row r="170" ht="20.1" customHeight="1" spans="1:17">
      <c r="A170" s="27">
        <v>37</v>
      </c>
      <c r="B170" s="11" t="s">
        <v>369</v>
      </c>
      <c r="C170" s="12" t="s">
        <v>512</v>
      </c>
      <c r="D170" s="15" t="s">
        <v>377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6">
        <v>10776.4576266667</v>
      </c>
      <c r="O170" s="577">
        <f t="shared" si="60"/>
        <v>7399.2318133333</v>
      </c>
      <c r="P170" s="578"/>
      <c r="Q170" s="579">
        <f t="shared" si="63"/>
        <v>54346.8715199997</v>
      </c>
    </row>
    <row r="171" ht="20.1" customHeight="1" spans="1:17">
      <c r="A171" s="27">
        <v>38</v>
      </c>
      <c r="B171" s="18" t="s">
        <v>370</v>
      </c>
      <c r="C171" s="12" t="s">
        <v>512</v>
      </c>
      <c r="D171" s="15" t="s">
        <v>377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6">
        <v>10776.4576266667</v>
      </c>
      <c r="O171" s="577">
        <f t="shared" si="60"/>
        <v>7399.2318133333</v>
      </c>
      <c r="P171" s="578"/>
      <c r="Q171" s="579">
        <f t="shared" si="63"/>
        <v>54346.8715199997</v>
      </c>
    </row>
    <row r="172" ht="20.1" customHeight="1" spans="1:17">
      <c r="A172" s="27">
        <v>39</v>
      </c>
      <c r="B172" s="18" t="s">
        <v>357</v>
      </c>
      <c r="C172" s="12" t="s">
        <v>512</v>
      </c>
      <c r="D172" s="15" t="s">
        <v>377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6">
        <v>11232.4576266667</v>
      </c>
      <c r="O172" s="577">
        <f t="shared" si="60"/>
        <v>7399.2318133333</v>
      </c>
      <c r="P172" s="578"/>
      <c r="Q172" s="579">
        <f t="shared" si="63"/>
        <v>54346.8715199997</v>
      </c>
    </row>
    <row r="173" ht="20.1" customHeight="1" spans="1:17">
      <c r="A173" s="27">
        <v>40</v>
      </c>
      <c r="B173" s="11" t="s">
        <v>371</v>
      </c>
      <c r="C173" s="12" t="s">
        <v>360</v>
      </c>
      <c r="D173" s="15" t="s">
        <v>607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6">
        <v>9152.59979</v>
      </c>
      <c r="O173" s="577">
        <f t="shared" si="60"/>
        <v>8007.5999433333</v>
      </c>
      <c r="P173" s="578"/>
      <c r="Q173" s="579">
        <f t="shared" si="63"/>
        <v>59701.5684733337</v>
      </c>
    </row>
    <row r="174" ht="20.1" customHeight="1" spans="1:17">
      <c r="A174" s="27">
        <v>41</v>
      </c>
      <c r="B174" s="11" t="s">
        <v>373</v>
      </c>
      <c r="C174" s="12" t="s">
        <v>360</v>
      </c>
      <c r="D174" s="15" t="s">
        <v>607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6">
        <v>9152.59979</v>
      </c>
      <c r="O174" s="577">
        <f t="shared" si="60"/>
        <v>8007.5999433333</v>
      </c>
      <c r="P174" s="578"/>
      <c r="Q174" s="579">
        <f t="shared" si="63"/>
        <v>59701.5684733337</v>
      </c>
    </row>
    <row r="175" ht="20.1" customHeight="1" spans="1:17">
      <c r="A175" s="27">
        <v>42</v>
      </c>
      <c r="B175" s="18" t="s">
        <v>374</v>
      </c>
      <c r="C175" s="12" t="s">
        <v>360</v>
      </c>
      <c r="D175" s="15" t="s">
        <v>606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6">
        <v>9504.20414</v>
      </c>
      <c r="O175" s="577">
        <f t="shared" si="60"/>
        <v>8391.7404466667</v>
      </c>
      <c r="P175" s="578"/>
      <c r="Q175" s="579">
        <f t="shared" si="63"/>
        <v>61648.7250533333</v>
      </c>
    </row>
    <row r="176" ht="20.1" customHeight="1" spans="1:17">
      <c r="A176" s="27">
        <v>43</v>
      </c>
      <c r="B176" s="11" t="s">
        <v>376</v>
      </c>
      <c r="C176" s="12" t="s">
        <v>387</v>
      </c>
      <c r="D176" s="15" t="s">
        <v>608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6">
        <v>4365.33075466667</v>
      </c>
      <c r="O176" s="577">
        <f t="shared" si="60"/>
        <v>3768.36004533333</v>
      </c>
      <c r="P176" s="578"/>
      <c r="Q176" s="579">
        <f t="shared" si="63"/>
        <v>35574.3889546667</v>
      </c>
    </row>
    <row r="177" ht="20.1" customHeight="1" spans="1:17">
      <c r="A177" s="27">
        <v>44</v>
      </c>
      <c r="B177" s="11" t="s">
        <v>378</v>
      </c>
      <c r="C177" s="12" t="s">
        <v>514</v>
      </c>
      <c r="D177" s="15" t="s">
        <v>669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6">
        <v>4227.52372266667</v>
      </c>
      <c r="O177" s="577">
        <f t="shared" si="60"/>
        <v>3624.89547733333</v>
      </c>
      <c r="P177" s="578"/>
      <c r="Q177" s="579">
        <f t="shared" si="63"/>
        <v>34736.0925226667</v>
      </c>
    </row>
    <row r="178" ht="20.1" customHeight="1" spans="1:17">
      <c r="A178" s="27">
        <v>45</v>
      </c>
      <c r="B178" s="11" t="s">
        <v>379</v>
      </c>
      <c r="C178" s="12" t="s">
        <v>514</v>
      </c>
      <c r="D178" s="15" t="s">
        <v>669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6">
        <v>3963.52372266667</v>
      </c>
      <c r="O178" s="577">
        <f t="shared" si="60"/>
        <v>3528.89547733333</v>
      </c>
      <c r="P178" s="578"/>
      <c r="Q178" s="579">
        <f t="shared" si="63"/>
        <v>34832.0925226667</v>
      </c>
    </row>
    <row r="179" ht="20.1" customHeight="1" spans="1:17">
      <c r="A179" s="27">
        <v>46</v>
      </c>
      <c r="B179" s="11" t="s">
        <v>380</v>
      </c>
      <c r="C179" s="12" t="s">
        <v>514</v>
      </c>
      <c r="D179" s="15" t="s">
        <v>669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6">
        <v>4227.52372266667</v>
      </c>
      <c r="O179" s="577">
        <f t="shared" si="60"/>
        <v>3624.89547733333</v>
      </c>
      <c r="P179" s="578"/>
      <c r="Q179" s="579">
        <f t="shared" si="63"/>
        <v>34736.0925226667</v>
      </c>
    </row>
    <row r="180" ht="20.1" customHeight="1" spans="1:17">
      <c r="A180" s="27">
        <v>47</v>
      </c>
      <c r="B180" s="11" t="s">
        <v>381</v>
      </c>
      <c r="C180" s="12" t="s">
        <v>514</v>
      </c>
      <c r="D180" s="15" t="s">
        <v>669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6">
        <v>3963.52372266667</v>
      </c>
      <c r="O180" s="577">
        <f t="shared" si="60"/>
        <v>3528.89547733333</v>
      </c>
      <c r="P180" s="578"/>
      <c r="Q180" s="579">
        <f t="shared" si="63"/>
        <v>34832.0925226667</v>
      </c>
    </row>
    <row r="181" ht="20.1" customHeight="1" spans="1:17">
      <c r="A181" s="27">
        <v>48</v>
      </c>
      <c r="B181" s="11" t="s">
        <v>382</v>
      </c>
      <c r="C181" s="12" t="s">
        <v>514</v>
      </c>
      <c r="D181" s="15" t="s">
        <v>669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6">
        <v>4227.52372266667</v>
      </c>
      <c r="O181" s="577">
        <f t="shared" si="60"/>
        <v>3624.89547733333</v>
      </c>
      <c r="P181" s="578"/>
      <c r="Q181" s="579">
        <f t="shared" si="63"/>
        <v>34736.0925226667</v>
      </c>
    </row>
    <row r="182" ht="20.1" customHeight="1" spans="1:17">
      <c r="A182" s="27">
        <v>49</v>
      </c>
      <c r="B182" s="18" t="s">
        <v>383</v>
      </c>
      <c r="C182" s="12" t="s">
        <v>514</v>
      </c>
      <c r="D182" s="15" t="s">
        <v>669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6">
        <v>3963.52372266667</v>
      </c>
      <c r="O182" s="577">
        <f t="shared" si="60"/>
        <v>3528.89547733333</v>
      </c>
      <c r="P182" s="578"/>
      <c r="Q182" s="579">
        <f t="shared" si="63"/>
        <v>34832.0925226667</v>
      </c>
    </row>
    <row r="183" ht="20.1" customHeight="1" spans="1:17">
      <c r="A183" s="27">
        <v>50</v>
      </c>
      <c r="B183" s="18" t="s">
        <v>385</v>
      </c>
      <c r="C183" s="12" t="s">
        <v>514</v>
      </c>
      <c r="D183" s="15" t="s">
        <v>669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6">
        <v>4227.52372266667</v>
      </c>
      <c r="O183" s="577">
        <f t="shared" si="60"/>
        <v>3624.89547733333</v>
      </c>
      <c r="P183" s="578"/>
      <c r="Q183" s="579">
        <f t="shared" si="63"/>
        <v>34736.0925226667</v>
      </c>
    </row>
    <row r="184" ht="20.1" customHeight="1" spans="1:17">
      <c r="A184" s="27">
        <v>51</v>
      </c>
      <c r="B184" s="11" t="s">
        <v>668</v>
      </c>
      <c r="C184" s="12" t="s">
        <v>387</v>
      </c>
      <c r="D184" s="15" t="s">
        <v>669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6">
        <v>4089.71669066667</v>
      </c>
      <c r="O184" s="577">
        <f t="shared" si="60"/>
        <v>3762.70250933333</v>
      </c>
      <c r="P184" s="578"/>
      <c r="Q184" s="579">
        <f t="shared" si="63"/>
        <v>36164.2744906667</v>
      </c>
    </row>
    <row r="185" ht="20.1" customHeight="1" spans="1:17">
      <c r="A185" s="27">
        <v>52</v>
      </c>
      <c r="B185" s="11" t="s">
        <v>386</v>
      </c>
      <c r="C185" s="12" t="s">
        <v>387</v>
      </c>
      <c r="D185" s="15" t="s">
        <v>669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6">
        <v>4227.52372266667</v>
      </c>
      <c r="O185" s="577">
        <f t="shared" si="60"/>
        <v>3624.89547733333</v>
      </c>
      <c r="P185" s="578"/>
      <c r="Q185" s="579">
        <f t="shared" si="63"/>
        <v>34736.0925226667</v>
      </c>
    </row>
    <row r="186" ht="20.1" customHeight="1" spans="1:17">
      <c r="A186" s="27">
        <v>53</v>
      </c>
      <c r="B186" s="18" t="s">
        <v>358</v>
      </c>
      <c r="C186" s="12" t="s">
        <v>390</v>
      </c>
      <c r="D186" s="15" t="s">
        <v>391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6">
        <v>4089.71669066667</v>
      </c>
      <c r="O186" s="577">
        <f t="shared" si="60"/>
        <v>3481.43090933333</v>
      </c>
      <c r="P186" s="578"/>
      <c r="Q186" s="579">
        <f t="shared" si="63"/>
        <v>33897.7960906667</v>
      </c>
    </row>
    <row r="187" ht="20.1" customHeight="1" spans="1:17">
      <c r="A187" s="27">
        <v>54</v>
      </c>
      <c r="B187" s="18" t="s">
        <v>392</v>
      </c>
      <c r="C187" s="12" t="s">
        <v>514</v>
      </c>
      <c r="D187" s="15" t="s">
        <v>398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6">
        <v>3210.15440486667</v>
      </c>
      <c r="O187" s="577">
        <f t="shared" si="60"/>
        <v>2864.17719513333</v>
      </c>
      <c r="P187" s="578"/>
      <c r="Q187" s="579">
        <f t="shared" si="63"/>
        <v>31386.7424465334</v>
      </c>
    </row>
    <row r="188" ht="20.1" customHeight="1" spans="1:17">
      <c r="A188" s="27">
        <v>55</v>
      </c>
      <c r="B188" s="18" t="s">
        <v>396</v>
      </c>
      <c r="C188" s="12" t="s">
        <v>397</v>
      </c>
      <c r="D188" s="15" t="s">
        <v>940</v>
      </c>
      <c r="E188" s="85">
        <v>76540.75</v>
      </c>
      <c r="F188" s="122"/>
      <c r="G188" s="4"/>
      <c r="H188" s="122">
        <v>15000</v>
      </c>
      <c r="I188" s="122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6">
        <v>2708.91364066667</v>
      </c>
      <c r="O188" s="577">
        <f t="shared" si="60"/>
        <v>2521.18515933333</v>
      </c>
      <c r="P188" s="578"/>
      <c r="Q188" s="579">
        <f t="shared" si="63"/>
        <v>30039.4855906667</v>
      </c>
    </row>
    <row r="189" ht="20.1" customHeight="1" spans="1:17">
      <c r="A189" s="27">
        <v>56</v>
      </c>
      <c r="B189" s="18" t="s">
        <v>399</v>
      </c>
      <c r="C189" s="12" t="s">
        <v>397</v>
      </c>
      <c r="D189" s="15" t="s">
        <v>940</v>
      </c>
      <c r="E189" s="85">
        <v>76540.75</v>
      </c>
      <c r="F189" s="122"/>
      <c r="G189" s="4"/>
      <c r="H189" s="122">
        <v>15000</v>
      </c>
      <c r="I189" s="122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6">
        <v>2708.91364066667</v>
      </c>
      <c r="O189" s="577">
        <f t="shared" si="60"/>
        <v>2521.18515933333</v>
      </c>
      <c r="P189" s="578"/>
      <c r="Q189" s="579">
        <f t="shared" si="63"/>
        <v>30039.4855906667</v>
      </c>
    </row>
    <row r="190" ht="20.1" customHeight="1" spans="1:17">
      <c r="A190" s="27">
        <v>57</v>
      </c>
      <c r="B190" s="18" t="s">
        <v>400</v>
      </c>
      <c r="C190" s="12" t="s">
        <v>397</v>
      </c>
      <c r="D190" s="15" t="s">
        <v>940</v>
      </c>
      <c r="E190" s="85">
        <v>76540.75</v>
      </c>
      <c r="F190" s="122"/>
      <c r="G190" s="4"/>
      <c r="H190" s="122">
        <v>15000</v>
      </c>
      <c r="I190" s="122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6">
        <v>2708.91364066667</v>
      </c>
      <c r="O190" s="577">
        <f t="shared" si="60"/>
        <v>2521.18515933333</v>
      </c>
      <c r="P190" s="578"/>
      <c r="Q190" s="579">
        <f t="shared" si="63"/>
        <v>30039.4855906667</v>
      </c>
    </row>
    <row r="191" ht="20.1" customHeight="1" spans="1:17">
      <c r="A191" s="27">
        <v>58</v>
      </c>
      <c r="B191" s="18" t="s">
        <v>401</v>
      </c>
      <c r="C191" s="12" t="s">
        <v>402</v>
      </c>
      <c r="D191" s="15" t="s">
        <v>393</v>
      </c>
      <c r="E191" s="85">
        <v>86502.5</v>
      </c>
      <c r="F191" s="122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6">
        <v>3511.79662266667</v>
      </c>
      <c r="O191" s="577">
        <f t="shared" si="60"/>
        <v>3178.07937733333</v>
      </c>
      <c r="P191" s="578"/>
      <c r="Q191" s="579">
        <f t="shared" si="63"/>
        <v>33220.6711226667</v>
      </c>
    </row>
    <row r="192" ht="20.1" customHeight="1" spans="1:17">
      <c r="A192" s="27">
        <v>59</v>
      </c>
      <c r="B192" s="18" t="s">
        <v>404</v>
      </c>
      <c r="C192" s="12" t="s">
        <v>402</v>
      </c>
      <c r="D192" s="15" t="s">
        <v>393</v>
      </c>
      <c r="E192" s="85">
        <v>86502.5</v>
      </c>
      <c r="F192" s="122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6">
        <v>3511.79662266667</v>
      </c>
      <c r="O192" s="577">
        <f t="shared" si="60"/>
        <v>3178.07937733333</v>
      </c>
      <c r="P192" s="578"/>
      <c r="Q192" s="579">
        <f t="shared" si="63"/>
        <v>33220.6711226667</v>
      </c>
    </row>
    <row r="193" ht="20.1" customHeight="1" spans="1:17">
      <c r="A193" s="27"/>
      <c r="B193" s="8" t="s">
        <v>120</v>
      </c>
      <c r="C193" s="28" t="s">
        <v>941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8">
        <v>1265795.4594602</v>
      </c>
      <c r="O193" s="588">
        <f t="shared" si="68"/>
        <v>855252.415301134</v>
      </c>
      <c r="P193" s="589"/>
      <c r="Q193" s="590">
        <f>SUM(Q134:Q192)</f>
        <v>5348132.78784053</v>
      </c>
    </row>
    <row r="194" ht="30.75" customHeight="1" spans="1:17">
      <c r="A194" s="4"/>
      <c r="B194" s="30" t="s">
        <v>406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1:17">
      <c r="B195" s="33"/>
      <c r="D195" s="34"/>
      <c r="E195" s="34"/>
      <c r="F195" s="34"/>
      <c r="G195" s="228"/>
      <c r="H195" s="228"/>
      <c r="I195" s="228"/>
      <c r="J195" s="228"/>
      <c r="K195" s="228" t="s">
        <v>1149</v>
      </c>
      <c r="L195" s="228"/>
      <c r="M195" s="228"/>
      <c r="N195" s="228"/>
      <c r="O195" s="228"/>
      <c r="P195" s="228"/>
      <c r="Q195" s="35"/>
    </row>
    <row r="196" ht="36.75" customHeight="1" spans="1:17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:17">
      <c r="J197" s="35"/>
      <c r="K197" s="35"/>
      <c r="M197" s="35"/>
    </row>
    <row r="198" ht="20.1" customHeight="1" spans="1:17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31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9"/>
    </row>
    <row r="2" ht="13" hidden="1" spans="1:31">
      <c r="A2" s="540" t="s">
        <v>462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39"/>
    </row>
    <row r="3" ht="13.75" hidden="1" spans="1:31">
      <c r="A3" s="541" t="s">
        <v>463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9"/>
    </row>
    <row r="4" ht="83.25" customHeight="1" spans="1:31">
      <c r="A4" s="542" t="s">
        <v>464</v>
      </c>
      <c r="B4" s="543" t="s">
        <v>465</v>
      </c>
      <c r="C4" s="544" t="s">
        <v>684</v>
      </c>
      <c r="D4" s="543" t="s">
        <v>466</v>
      </c>
      <c r="E4" s="544" t="s">
        <v>467</v>
      </c>
      <c r="F4" s="544" t="s">
        <v>469</v>
      </c>
      <c r="G4" s="544" t="s">
        <v>470</v>
      </c>
      <c r="H4" s="544" t="s">
        <v>471</v>
      </c>
      <c r="I4" s="544" t="s">
        <v>685</v>
      </c>
      <c r="J4" s="544"/>
      <c r="K4" s="544"/>
      <c r="L4" s="544"/>
      <c r="M4" s="544" t="s">
        <v>686</v>
      </c>
      <c r="N4" s="544" t="s">
        <v>472</v>
      </c>
      <c r="O4" s="544" t="s">
        <v>473</v>
      </c>
      <c r="P4" s="544" t="s">
        <v>687</v>
      </c>
      <c r="Q4" s="544" t="s">
        <v>688</v>
      </c>
      <c r="R4" s="544" t="s">
        <v>689</v>
      </c>
      <c r="S4" s="544" t="s">
        <v>690</v>
      </c>
      <c r="T4" s="544" t="s">
        <v>691</v>
      </c>
      <c r="U4" s="544" t="s">
        <v>692</v>
      </c>
      <c r="V4" s="544" t="s">
        <v>474</v>
      </c>
      <c r="W4" s="544"/>
      <c r="X4" s="544" t="s">
        <v>475</v>
      </c>
      <c r="Y4" s="544" t="s">
        <v>693</v>
      </c>
      <c r="Z4" s="544" t="s">
        <v>694</v>
      </c>
      <c r="AA4" s="545"/>
      <c r="AB4" s="545" t="s">
        <v>883</v>
      </c>
    </row>
    <row r="5" ht="17.5" spans="1:31">
      <c r="A5" s="546">
        <v>1</v>
      </c>
      <c r="B5" s="8" t="s">
        <v>23</v>
      </c>
      <c r="C5" s="547"/>
      <c r="D5" s="548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50"/>
      <c r="X5" s="549"/>
      <c r="Y5" s="549"/>
      <c r="Z5" s="549"/>
      <c r="AA5" s="213"/>
      <c r="AB5" s="213"/>
      <c r="AC5" s="213"/>
      <c r="AD5" s="213"/>
      <c r="AE5" s="213"/>
    </row>
    <row r="6" ht="18" spans="1:31">
      <c r="A6" s="546">
        <v>3</v>
      </c>
      <c r="B6" s="11" t="s">
        <v>24</v>
      </c>
      <c r="C6" s="468">
        <v>1158849.84</v>
      </c>
      <c r="D6" s="469">
        <v>12</v>
      </c>
      <c r="E6" s="470">
        <f>C6*D6</f>
        <v>13906198.08</v>
      </c>
      <c r="F6" s="470"/>
      <c r="G6" s="470"/>
      <c r="H6" s="470"/>
      <c r="I6" s="470">
        <f t="shared" ref="I6:I75" si="0">E6-F6-G6-H6</f>
        <v>13906198.08</v>
      </c>
      <c r="J6" s="470">
        <v>200000</v>
      </c>
      <c r="K6" s="470">
        <v>0.2</v>
      </c>
      <c r="L6" s="470">
        <f t="shared" ref="L6:L75" si="1">I6*K6</f>
        <v>2781239.616</v>
      </c>
      <c r="M6" s="470">
        <f t="shared" ref="M6:M75" si="2">J6+L6</f>
        <v>2981239.616</v>
      </c>
      <c r="N6" s="470">
        <f t="shared" ref="N6:N75" si="3">F6+G6+H6+M6</f>
        <v>2981239.616</v>
      </c>
      <c r="O6" s="470">
        <f t="shared" ref="O6:O75" si="4">E6-N6</f>
        <v>10924958.464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1853990.03136</v>
      </c>
      <c r="V6" s="470">
        <f t="shared" ref="V6:V75" si="11">P6+Q6+R6+S6+T6+U6</f>
        <v>2413990.03136</v>
      </c>
      <c r="W6" s="471">
        <v>12</v>
      </c>
      <c r="X6" s="470">
        <f t="shared" ref="X6:X75" si="12">V6/W6</f>
        <v>201165.835946667</v>
      </c>
      <c r="Y6" s="470"/>
      <c r="Z6" s="470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6">
        <v>4</v>
      </c>
      <c r="B7" s="11" t="s">
        <v>27</v>
      </c>
      <c r="C7" s="468">
        <v>541465.02475</v>
      </c>
      <c r="D7" s="469">
        <v>12</v>
      </c>
      <c r="E7" s="470">
        <f t="shared" ref="E7:E32" si="14">C7*D7</f>
        <v>6497580.297</v>
      </c>
      <c r="F7" s="470"/>
      <c r="G7" s="470"/>
      <c r="H7" s="470"/>
      <c r="I7" s="470">
        <f t="shared" si="0"/>
        <v>6497580.297</v>
      </c>
      <c r="J7" s="470">
        <v>200000</v>
      </c>
      <c r="K7" s="470">
        <v>0.2</v>
      </c>
      <c r="L7" s="470">
        <f t="shared" si="1"/>
        <v>1299516.0594</v>
      </c>
      <c r="M7" s="470">
        <f t="shared" si="2"/>
        <v>1499516.0594</v>
      </c>
      <c r="N7" s="470">
        <f t="shared" si="3"/>
        <v>1499516.0594</v>
      </c>
      <c r="O7" s="470">
        <f t="shared" si="4"/>
        <v>4998064.2376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431535.417024</v>
      </c>
      <c r="V7" s="470">
        <f t="shared" si="11"/>
        <v>991535.417024</v>
      </c>
      <c r="W7" s="471">
        <v>12</v>
      </c>
      <c r="X7" s="470">
        <f t="shared" si="12"/>
        <v>82627.9514186667</v>
      </c>
      <c r="Y7" s="470"/>
      <c r="Z7" s="470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6">
        <v>5</v>
      </c>
      <c r="B8" s="14" t="s">
        <v>30</v>
      </c>
      <c r="C8" s="468">
        <v>741465.02475</v>
      </c>
      <c r="D8" s="469">
        <v>12</v>
      </c>
      <c r="E8" s="470">
        <f t="shared" si="14"/>
        <v>8897580.297</v>
      </c>
      <c r="F8" s="470"/>
      <c r="G8" s="470"/>
      <c r="H8" s="470"/>
      <c r="I8" s="470">
        <f t="shared" si="0"/>
        <v>8897580.297</v>
      </c>
      <c r="J8" s="470">
        <v>200000</v>
      </c>
      <c r="K8" s="470">
        <v>0.2</v>
      </c>
      <c r="L8" s="470">
        <f t="shared" si="1"/>
        <v>1779516.0594</v>
      </c>
      <c r="M8" s="470">
        <f t="shared" si="2"/>
        <v>1979516.0594</v>
      </c>
      <c r="N8" s="470">
        <f t="shared" si="3"/>
        <v>1979516.0594</v>
      </c>
      <c r="O8" s="470">
        <f t="shared" si="4"/>
        <v>6918064.2376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892335.417024</v>
      </c>
      <c r="V8" s="470">
        <f t="shared" si="11"/>
        <v>1452335.417024</v>
      </c>
      <c r="W8" s="471">
        <v>12</v>
      </c>
      <c r="X8" s="470">
        <f t="shared" si="12"/>
        <v>121027.951418667</v>
      </c>
      <c r="Y8" s="470"/>
      <c r="Z8" s="470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6">
        <v>6</v>
      </c>
      <c r="B9" s="11" t="s">
        <v>32</v>
      </c>
      <c r="C9" s="468">
        <v>631465.02475</v>
      </c>
      <c r="D9" s="469">
        <v>12</v>
      </c>
      <c r="E9" s="470">
        <f t="shared" si="14"/>
        <v>7577580.297</v>
      </c>
      <c r="F9" s="470">
        <f>'[6]JANUARY 2024'!$V$10*12</f>
        <v>12795.951</v>
      </c>
      <c r="G9" s="470"/>
      <c r="H9" s="470"/>
      <c r="I9" s="470">
        <f t="shared" si="0"/>
        <v>7564784.346</v>
      </c>
      <c r="J9" s="470">
        <v>200000</v>
      </c>
      <c r="K9" s="470">
        <v>0.2</v>
      </c>
      <c r="L9" s="470">
        <f t="shared" si="1"/>
        <v>1512956.8692</v>
      </c>
      <c r="M9" s="470">
        <f t="shared" si="2"/>
        <v>1712956.8692</v>
      </c>
      <c r="N9" s="470">
        <f t="shared" si="3"/>
        <v>1725752.8202</v>
      </c>
      <c r="O9" s="470">
        <f t="shared" si="4"/>
        <v>5851827.4768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636438.594432</v>
      </c>
      <c r="V9" s="470">
        <f t="shared" si="11"/>
        <v>1196438.594432</v>
      </c>
      <c r="W9" s="471">
        <v>12</v>
      </c>
      <c r="X9" s="470">
        <f t="shared" si="12"/>
        <v>99703.2162026667</v>
      </c>
      <c r="Y9" s="470"/>
      <c r="Z9" s="470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6">
        <v>7</v>
      </c>
      <c r="B10" s="14" t="s">
        <v>300</v>
      </c>
      <c r="C10" s="468">
        <v>691465.02475</v>
      </c>
      <c r="D10" s="469">
        <v>12</v>
      </c>
      <c r="E10" s="470">
        <f t="shared" si="14"/>
        <v>8297580.297</v>
      </c>
      <c r="F10" s="470">
        <f>'[6]JANUARY 2024'!$V$10*12</f>
        <v>12795.951</v>
      </c>
      <c r="G10" s="470"/>
      <c r="H10" s="470"/>
      <c r="I10" s="470">
        <f t="shared" si="0"/>
        <v>8284784.346</v>
      </c>
      <c r="J10" s="470">
        <v>200000</v>
      </c>
      <c r="K10" s="470">
        <v>0.2</v>
      </c>
      <c r="L10" s="470">
        <f t="shared" si="1"/>
        <v>1656956.8692</v>
      </c>
      <c r="M10" s="470">
        <f t="shared" si="2"/>
        <v>1856956.8692</v>
      </c>
      <c r="N10" s="470">
        <f t="shared" si="3"/>
        <v>1869752.8202</v>
      </c>
      <c r="O10" s="470">
        <f t="shared" si="4"/>
        <v>6427827.4768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774678.594432</v>
      </c>
      <c r="V10" s="470">
        <f t="shared" si="11"/>
        <v>1334678.594432</v>
      </c>
      <c r="W10" s="471">
        <v>12</v>
      </c>
      <c r="X10" s="470">
        <f t="shared" si="12"/>
        <v>111223.216202667</v>
      </c>
      <c r="Y10" s="470"/>
      <c r="Z10" s="470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6">
        <v>8</v>
      </c>
      <c r="B11" s="18" t="s">
        <v>908</v>
      </c>
      <c r="C11" s="468">
        <v>641465.02475</v>
      </c>
      <c r="D11" s="469">
        <v>12</v>
      </c>
      <c r="E11" s="470">
        <f t="shared" si="14"/>
        <v>7697580.297</v>
      </c>
      <c r="F11" s="470"/>
      <c r="G11" s="470"/>
      <c r="H11" s="470"/>
      <c r="I11" s="470">
        <f t="shared" si="0"/>
        <v>7697580.297</v>
      </c>
      <c r="J11" s="470">
        <v>200000</v>
      </c>
      <c r="K11" s="470">
        <v>0.2</v>
      </c>
      <c r="L11" s="470">
        <f t="shared" si="1"/>
        <v>1539516.0594</v>
      </c>
      <c r="M11" s="470">
        <f t="shared" si="2"/>
        <v>1739516.0594</v>
      </c>
      <c r="N11" s="470">
        <f t="shared" si="3"/>
        <v>1739516.0594</v>
      </c>
      <c r="O11" s="470">
        <f t="shared" si="4"/>
        <v>5958064.2376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661935.417024</v>
      </c>
      <c r="V11" s="470">
        <f t="shared" si="11"/>
        <v>1221935.417024</v>
      </c>
      <c r="W11" s="471">
        <v>12</v>
      </c>
      <c r="X11" s="470">
        <f t="shared" si="12"/>
        <v>101827.951418667</v>
      </c>
      <c r="Y11" s="470"/>
      <c r="Z11" s="470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6">
        <v>9</v>
      </c>
      <c r="B12" s="11" t="s">
        <v>34</v>
      </c>
      <c r="C12" s="468">
        <v>497553.5025</v>
      </c>
      <c r="D12" s="469">
        <v>12</v>
      </c>
      <c r="E12" s="470">
        <f t="shared" si="14"/>
        <v>5970642.03</v>
      </c>
      <c r="F12" s="470">
        <f>'[6]JANUARY 2024'!$V$13*12</f>
        <v>10052.25</v>
      </c>
      <c r="G12" s="470"/>
      <c r="H12" s="470"/>
      <c r="I12" s="470">
        <f t="shared" si="0"/>
        <v>5960589.78</v>
      </c>
      <c r="J12" s="470">
        <v>200000</v>
      </c>
      <c r="K12" s="470">
        <v>0.2</v>
      </c>
      <c r="L12" s="470">
        <f t="shared" si="1"/>
        <v>1192117.956</v>
      </c>
      <c r="M12" s="470">
        <f t="shared" si="2"/>
        <v>1392117.956</v>
      </c>
      <c r="N12" s="470">
        <f t="shared" si="3"/>
        <v>1402170.206</v>
      </c>
      <c r="O12" s="470">
        <f t="shared" si="4"/>
        <v>4568471.824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328433.23776</v>
      </c>
      <c r="V12" s="470">
        <f t="shared" si="11"/>
        <v>888433.23776</v>
      </c>
      <c r="W12" s="471">
        <v>12</v>
      </c>
      <c r="X12" s="470">
        <f t="shared" si="12"/>
        <v>74036.1031466667</v>
      </c>
      <c r="Y12" s="470"/>
      <c r="Z12" s="470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6">
        <v>10</v>
      </c>
      <c r="B13" s="11" t="s">
        <v>37</v>
      </c>
      <c r="C13" s="468">
        <v>604729.222</v>
      </c>
      <c r="D13" s="469">
        <v>12</v>
      </c>
      <c r="E13" s="470">
        <f t="shared" si="14"/>
        <v>7256750.664</v>
      </c>
      <c r="F13" s="470">
        <f>'[6]JANUARY 2024'!$V$14*12</f>
        <v>9305.952</v>
      </c>
      <c r="G13" s="470"/>
      <c r="H13" s="470"/>
      <c r="I13" s="470">
        <f t="shared" si="0"/>
        <v>7247444.712</v>
      </c>
      <c r="J13" s="470">
        <v>200000</v>
      </c>
      <c r="K13" s="470">
        <v>0.2</v>
      </c>
      <c r="L13" s="470">
        <f t="shared" si="1"/>
        <v>1449488.9424</v>
      </c>
      <c r="M13" s="470">
        <f t="shared" si="2"/>
        <v>1649488.9424</v>
      </c>
      <c r="N13" s="470">
        <f t="shared" si="3"/>
        <v>1658794.8944</v>
      </c>
      <c r="O13" s="470">
        <f t="shared" si="4"/>
        <v>5597955.7696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575509.384704</v>
      </c>
      <c r="V13" s="470">
        <f t="shared" si="11"/>
        <v>1135509.384704</v>
      </c>
      <c r="W13" s="471">
        <v>12</v>
      </c>
      <c r="X13" s="470">
        <f t="shared" si="12"/>
        <v>94625.7820586666</v>
      </c>
      <c r="Y13" s="470"/>
      <c r="Z13" s="470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6">
        <v>11</v>
      </c>
      <c r="B14" s="11" t="s">
        <v>40</v>
      </c>
      <c r="C14" s="468">
        <v>343333.03525</v>
      </c>
      <c r="D14" s="469">
        <v>12</v>
      </c>
      <c r="E14" s="470">
        <f t="shared" si="14"/>
        <v>4119996.423</v>
      </c>
      <c r="F14" s="470"/>
      <c r="G14" s="470"/>
      <c r="H14" s="470"/>
      <c r="I14" s="470">
        <f t="shared" si="0"/>
        <v>4119996.423</v>
      </c>
      <c r="J14" s="470">
        <v>200000</v>
      </c>
      <c r="K14" s="470">
        <v>0.2</v>
      </c>
      <c r="L14" s="470">
        <f t="shared" si="1"/>
        <v>823999.2846</v>
      </c>
      <c r="M14" s="470">
        <f t="shared" si="2"/>
        <v>1023999.2846</v>
      </c>
      <c r="N14" s="470">
        <f t="shared" si="3"/>
        <v>1023999.2846</v>
      </c>
      <c r="O14" s="470">
        <f t="shared" si="4"/>
        <v>3095997.1384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314159.399064</v>
      </c>
      <c r="U14" s="470"/>
      <c r="V14" s="470">
        <f t="shared" si="11"/>
        <v>538159.399064</v>
      </c>
      <c r="W14" s="471">
        <v>12</v>
      </c>
      <c r="X14" s="470">
        <f t="shared" si="12"/>
        <v>44846.6165886667</v>
      </c>
      <c r="Y14" s="470"/>
      <c r="Z14" s="470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6">
        <v>12</v>
      </c>
      <c r="B15" s="14" t="s">
        <v>43</v>
      </c>
      <c r="C15" s="468">
        <v>463333.03525</v>
      </c>
      <c r="D15" s="469">
        <v>12</v>
      </c>
      <c r="E15" s="470">
        <f t="shared" si="14"/>
        <v>5559996.423</v>
      </c>
      <c r="F15" s="470"/>
      <c r="G15" s="470"/>
      <c r="H15" s="470"/>
      <c r="I15" s="470">
        <f t="shared" si="0"/>
        <v>5559996.423</v>
      </c>
      <c r="J15" s="470">
        <v>200000</v>
      </c>
      <c r="K15" s="470">
        <v>0.2</v>
      </c>
      <c r="L15" s="470">
        <f t="shared" si="1"/>
        <v>1111999.2846</v>
      </c>
      <c r="M15" s="470">
        <f t="shared" si="2"/>
        <v>1311999.2846</v>
      </c>
      <c r="N15" s="470">
        <f t="shared" si="3"/>
        <v>1311999.2846</v>
      </c>
      <c r="O15" s="470">
        <f t="shared" si="4"/>
        <v>4247997.1384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251519.313216</v>
      </c>
      <c r="V15" s="470">
        <f t="shared" si="11"/>
        <v>811519.313216</v>
      </c>
      <c r="W15" s="471">
        <v>12</v>
      </c>
      <c r="X15" s="470">
        <f t="shared" si="12"/>
        <v>67626.6094346667</v>
      </c>
      <c r="Y15" s="470"/>
      <c r="Z15" s="551">
        <f t="shared" si="13"/>
        <v>67626.6094346667</v>
      </c>
      <c r="AA15" s="552">
        <v>46666.6666666667</v>
      </c>
      <c r="AB15" s="552">
        <f t="shared" si="15"/>
        <v>20959.942768</v>
      </c>
      <c r="AC15" s="213"/>
      <c r="AD15" s="213"/>
      <c r="AE15" s="213"/>
    </row>
    <row r="16" ht="18" spans="1:31">
      <c r="A16" s="546">
        <v>13</v>
      </c>
      <c r="B16" s="11" t="s">
        <v>45</v>
      </c>
      <c r="C16" s="468">
        <v>547211.3675</v>
      </c>
      <c r="D16" s="469">
        <v>12</v>
      </c>
      <c r="E16" s="470">
        <f t="shared" si="14"/>
        <v>6566536.41</v>
      </c>
      <c r="F16" s="470"/>
      <c r="G16" s="470"/>
      <c r="H16" s="470"/>
      <c r="I16" s="470">
        <f t="shared" si="0"/>
        <v>6566536.41</v>
      </c>
      <c r="J16" s="470">
        <v>200000</v>
      </c>
      <c r="K16" s="470">
        <v>0.2</v>
      </c>
      <c r="L16" s="470">
        <f t="shared" si="1"/>
        <v>1313307.282</v>
      </c>
      <c r="M16" s="470">
        <f t="shared" si="2"/>
        <v>1513307.282</v>
      </c>
      <c r="N16" s="470">
        <f t="shared" si="3"/>
        <v>1513307.282</v>
      </c>
      <c r="O16" s="470">
        <f t="shared" si="4"/>
        <v>5053229.128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444774.99072</v>
      </c>
      <c r="V16" s="470">
        <f t="shared" si="11"/>
        <v>1004774.99072</v>
      </c>
      <c r="W16" s="471">
        <v>12</v>
      </c>
      <c r="X16" s="470">
        <f t="shared" si="12"/>
        <v>83731.2492266667</v>
      </c>
      <c r="Y16" s="470"/>
      <c r="Z16" s="551">
        <f t="shared" si="13"/>
        <v>83731.2492266667</v>
      </c>
      <c r="AA16" s="552">
        <v>46666.6666666667</v>
      </c>
      <c r="AB16" s="552">
        <f t="shared" si="15"/>
        <v>37064.58256</v>
      </c>
      <c r="AC16" s="213"/>
      <c r="AD16" s="213"/>
      <c r="AE16" s="213"/>
    </row>
    <row r="17" ht="18" spans="1:31">
      <c r="A17" s="546">
        <v>14</v>
      </c>
      <c r="B17" s="11" t="s">
        <v>48</v>
      </c>
      <c r="C17" s="468">
        <v>326663.0775</v>
      </c>
      <c r="D17" s="469">
        <v>12</v>
      </c>
      <c r="E17" s="470">
        <f t="shared" si="14"/>
        <v>3919956.93</v>
      </c>
      <c r="F17" s="470"/>
      <c r="G17" s="470"/>
      <c r="H17" s="470"/>
      <c r="I17" s="470">
        <f t="shared" si="0"/>
        <v>3919956.93</v>
      </c>
      <c r="J17" s="470">
        <v>200000</v>
      </c>
      <c r="K17" s="470">
        <v>0.2</v>
      </c>
      <c r="L17" s="470">
        <f t="shared" si="1"/>
        <v>783991.386</v>
      </c>
      <c r="M17" s="470">
        <f t="shared" si="2"/>
        <v>983991.386</v>
      </c>
      <c r="N17" s="470">
        <f t="shared" si="3"/>
        <v>983991.386</v>
      </c>
      <c r="O17" s="470">
        <f t="shared" si="4"/>
        <v>2935965.544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280552.76424</v>
      </c>
      <c r="U17" s="470"/>
      <c r="V17" s="470">
        <f t="shared" si="11"/>
        <v>504552.76424</v>
      </c>
      <c r="W17" s="471">
        <v>12</v>
      </c>
      <c r="X17" s="470">
        <f t="shared" si="12"/>
        <v>42046.0636866667</v>
      </c>
      <c r="Y17" s="470"/>
      <c r="Z17" s="470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6">
        <v>15</v>
      </c>
      <c r="B18" s="11" t="s">
        <v>51</v>
      </c>
      <c r="C18" s="468">
        <v>369177.65375</v>
      </c>
      <c r="D18" s="469">
        <v>12</v>
      </c>
      <c r="E18" s="470">
        <f t="shared" si="14"/>
        <v>4430131.845</v>
      </c>
      <c r="F18" s="470"/>
      <c r="G18" s="470"/>
      <c r="H18" s="470"/>
      <c r="I18" s="470">
        <f t="shared" si="0"/>
        <v>4430131.845</v>
      </c>
      <c r="J18" s="470">
        <v>200000</v>
      </c>
      <c r="K18" s="470">
        <v>0.2</v>
      </c>
      <c r="L18" s="470">
        <f t="shared" si="1"/>
        <v>886026.369</v>
      </c>
      <c r="M18" s="470">
        <f t="shared" si="2"/>
        <v>1086026.369</v>
      </c>
      <c r="N18" s="470">
        <f t="shared" si="3"/>
        <v>1086026.369</v>
      </c>
      <c r="O18" s="470">
        <f t="shared" si="4"/>
        <v>3344105.476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34585.3142399999</v>
      </c>
      <c r="V18" s="470">
        <f t="shared" si="11"/>
        <v>594585.31424</v>
      </c>
      <c r="W18" s="471">
        <v>12</v>
      </c>
      <c r="X18" s="470">
        <f t="shared" si="12"/>
        <v>49548.7761866667</v>
      </c>
      <c r="Y18" s="470"/>
      <c r="Z18" s="551">
        <f t="shared" si="13"/>
        <v>49548.7761866667</v>
      </c>
      <c r="AA18" s="552">
        <v>46666.6666666667</v>
      </c>
      <c r="AB18" s="552">
        <f t="shared" si="15"/>
        <v>2882.10951999996</v>
      </c>
      <c r="AC18" s="213"/>
      <c r="AD18" s="213"/>
      <c r="AE18" s="213"/>
    </row>
    <row r="19" ht="18" spans="1:31">
      <c r="A19" s="546">
        <v>16</v>
      </c>
      <c r="B19" s="18" t="s">
        <v>54</v>
      </c>
      <c r="C19" s="468">
        <v>462001.0605</v>
      </c>
      <c r="D19" s="469">
        <v>12</v>
      </c>
      <c r="E19" s="470">
        <f t="shared" si="14"/>
        <v>5544012.726</v>
      </c>
      <c r="F19" s="470"/>
      <c r="G19" s="470"/>
      <c r="H19" s="470"/>
      <c r="I19" s="470">
        <f t="shared" si="0"/>
        <v>5544012.726</v>
      </c>
      <c r="J19" s="470">
        <v>200000</v>
      </c>
      <c r="K19" s="470">
        <v>0.2</v>
      </c>
      <c r="L19" s="470">
        <f t="shared" si="1"/>
        <v>1108802.5452</v>
      </c>
      <c r="M19" s="470">
        <f t="shared" si="2"/>
        <v>1308802.5452</v>
      </c>
      <c r="N19" s="470">
        <f t="shared" si="3"/>
        <v>1308802.5452</v>
      </c>
      <c r="O19" s="470">
        <f t="shared" si="4"/>
        <v>4235210.1808</v>
      </c>
      <c r="P19" s="470">
        <f t="shared" si="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248450.443392</v>
      </c>
      <c r="V19" s="470">
        <f t="shared" si="11"/>
        <v>808450.443392</v>
      </c>
      <c r="W19" s="471">
        <v>12</v>
      </c>
      <c r="X19" s="470">
        <f t="shared" si="12"/>
        <v>67370.8702826667</v>
      </c>
      <c r="Y19" s="470"/>
      <c r="Z19" s="551">
        <f t="shared" si="13"/>
        <v>67370.8702826667</v>
      </c>
      <c r="AA19" s="552">
        <v>46666.6666666667</v>
      </c>
      <c r="AB19" s="552">
        <f t="shared" si="15"/>
        <v>20704.203616</v>
      </c>
      <c r="AC19" s="213"/>
      <c r="AD19" s="213"/>
      <c r="AE19" s="213"/>
    </row>
    <row r="20" ht="18" spans="1:31">
      <c r="A20" s="546">
        <v>17</v>
      </c>
      <c r="B20" s="11" t="s">
        <v>65</v>
      </c>
      <c r="C20" s="468">
        <v>384536.9985</v>
      </c>
      <c r="D20" s="469">
        <v>12</v>
      </c>
      <c r="E20" s="470">
        <f t="shared" si="14"/>
        <v>4614443.982</v>
      </c>
      <c r="F20" s="470"/>
      <c r="G20" s="470"/>
      <c r="H20" s="470"/>
      <c r="I20" s="470">
        <f t="shared" si="0"/>
        <v>4614443.982</v>
      </c>
      <c r="J20" s="470">
        <v>200000</v>
      </c>
      <c r="K20" s="470">
        <v>0.2</v>
      </c>
      <c r="L20" s="470">
        <f t="shared" si="1"/>
        <v>922888.7964</v>
      </c>
      <c r="M20" s="470">
        <f t="shared" si="2"/>
        <v>1122888.7964</v>
      </c>
      <c r="N20" s="470">
        <f t="shared" si="3"/>
        <v>1122888.7964</v>
      </c>
      <c r="O20" s="470">
        <f t="shared" si="4"/>
        <v>3491555.1856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69973.244544</v>
      </c>
      <c r="V20" s="470">
        <f t="shared" si="11"/>
        <v>629973.244544</v>
      </c>
      <c r="W20" s="471">
        <v>12</v>
      </c>
      <c r="X20" s="470">
        <f t="shared" si="12"/>
        <v>52497.7703786667</v>
      </c>
      <c r="Y20" s="470"/>
      <c r="Z20" s="470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6">
        <v>18</v>
      </c>
      <c r="B21" s="14" t="s">
        <v>68</v>
      </c>
      <c r="C21" s="468">
        <v>400372.075</v>
      </c>
      <c r="D21" s="469">
        <v>12</v>
      </c>
      <c r="E21" s="470">
        <f t="shared" si="14"/>
        <v>4804464.9</v>
      </c>
      <c r="F21" s="470"/>
      <c r="G21" s="470"/>
      <c r="H21" s="470"/>
      <c r="I21" s="470">
        <f t="shared" si="0"/>
        <v>4804464.9</v>
      </c>
      <c r="J21" s="470">
        <v>200000</v>
      </c>
      <c r="K21" s="470">
        <v>0.2</v>
      </c>
      <c r="L21" s="470">
        <f t="shared" si="1"/>
        <v>960892.98</v>
      </c>
      <c r="M21" s="470">
        <f t="shared" si="2"/>
        <v>1160892.98</v>
      </c>
      <c r="N21" s="470">
        <f t="shared" si="3"/>
        <v>1160892.98</v>
      </c>
      <c r="O21" s="470">
        <f t="shared" si="4"/>
        <v>3643571.92</v>
      </c>
      <c r="P21" s="470">
        <f t="shared" si="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106457.2608</v>
      </c>
      <c r="V21" s="470">
        <f t="shared" si="11"/>
        <v>666457.2608</v>
      </c>
      <c r="W21" s="471">
        <v>12</v>
      </c>
      <c r="X21" s="470">
        <f t="shared" si="12"/>
        <v>55538.1050666667</v>
      </c>
      <c r="Y21" s="470"/>
      <c r="Z21" s="551">
        <f t="shared" si="13"/>
        <v>55538.1050666667</v>
      </c>
      <c r="AA21" s="552">
        <v>46666.6666666667</v>
      </c>
      <c r="AB21" s="552">
        <f t="shared" si="15"/>
        <v>8871.43839999997</v>
      </c>
      <c r="AC21" s="213"/>
      <c r="AD21" s="213"/>
      <c r="AE21" s="213"/>
    </row>
    <row r="22" ht="18" spans="1:31">
      <c r="A22" s="546">
        <v>19</v>
      </c>
      <c r="B22" s="11" t="s">
        <v>71</v>
      </c>
      <c r="C22" s="468">
        <f>1015372.075-700000</f>
        <v>315372.075</v>
      </c>
      <c r="D22" s="469">
        <v>12</v>
      </c>
      <c r="E22" s="470">
        <f t="shared" si="14"/>
        <v>3784464.9</v>
      </c>
      <c r="F22" s="470"/>
      <c r="G22" s="470"/>
      <c r="H22" s="470"/>
      <c r="I22" s="470">
        <f t="shared" si="0"/>
        <v>3784464.9</v>
      </c>
      <c r="J22" s="470">
        <v>200000</v>
      </c>
      <c r="K22" s="470">
        <v>0.2</v>
      </c>
      <c r="L22" s="470">
        <f t="shared" si="1"/>
        <v>756892.98</v>
      </c>
      <c r="M22" s="470">
        <f t="shared" si="2"/>
        <v>956892.98</v>
      </c>
      <c r="N22" s="470">
        <f t="shared" si="3"/>
        <v>956892.98</v>
      </c>
      <c r="O22" s="470">
        <f t="shared" si="4"/>
        <v>2827571.92</v>
      </c>
      <c r="P22" s="470">
        <f t="shared" si="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257790.1032</v>
      </c>
      <c r="U22" s="470"/>
      <c r="V22" s="470">
        <f t="shared" si="11"/>
        <v>481790.1032</v>
      </c>
      <c r="W22" s="471">
        <v>12</v>
      </c>
      <c r="X22" s="470">
        <f t="shared" si="12"/>
        <v>40149.1752666667</v>
      </c>
      <c r="Y22" s="470"/>
      <c r="Z22" s="553">
        <f t="shared" si="13"/>
        <v>40149.1752666667</v>
      </c>
      <c r="AA22" s="554">
        <v>46666.6666666667</v>
      </c>
      <c r="AB22" s="554">
        <f t="shared" si="15"/>
        <v>-6517.49140000004</v>
      </c>
      <c r="AC22" s="213" t="s">
        <v>1150</v>
      </c>
      <c r="AD22" s="213"/>
      <c r="AE22" s="213"/>
    </row>
    <row r="23" ht="18" spans="1:31">
      <c r="A23" s="546">
        <v>20</v>
      </c>
      <c r="B23" s="14" t="s">
        <v>73</v>
      </c>
      <c r="C23" s="468">
        <v>328602.07775</v>
      </c>
      <c r="D23" s="469">
        <v>12</v>
      </c>
      <c r="E23" s="470">
        <f t="shared" si="14"/>
        <v>3943224.933</v>
      </c>
      <c r="F23" s="470"/>
      <c r="G23" s="470"/>
      <c r="H23" s="470"/>
      <c r="I23" s="470">
        <f t="shared" si="0"/>
        <v>3943224.933</v>
      </c>
      <c r="J23" s="470">
        <v>200000</v>
      </c>
      <c r="K23" s="470">
        <v>0.2</v>
      </c>
      <c r="L23" s="470">
        <f t="shared" si="1"/>
        <v>788644.9866</v>
      </c>
      <c r="M23" s="470">
        <f t="shared" si="2"/>
        <v>988644.9866</v>
      </c>
      <c r="N23" s="470">
        <f t="shared" si="3"/>
        <v>988644.9866</v>
      </c>
      <c r="O23" s="470">
        <f t="shared" si="4"/>
        <v>2954579.9464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284461.788744</v>
      </c>
      <c r="U23" s="470"/>
      <c r="V23" s="470">
        <f t="shared" si="11"/>
        <v>508461.788744</v>
      </c>
      <c r="W23" s="471">
        <v>12</v>
      </c>
      <c r="X23" s="470">
        <f t="shared" si="12"/>
        <v>42371.8157286667</v>
      </c>
      <c r="Y23" s="470"/>
      <c r="Z23" s="470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55">
        <v>21</v>
      </c>
      <c r="B24" s="4" t="s">
        <v>478</v>
      </c>
      <c r="C24" s="468">
        <v>213508.01</v>
      </c>
      <c r="D24" s="469">
        <v>12</v>
      </c>
      <c r="E24" s="470">
        <f t="shared" si="14"/>
        <v>2562096.12</v>
      </c>
      <c r="F24" s="470"/>
      <c r="G24" s="470"/>
      <c r="H24" s="470"/>
      <c r="I24" s="470">
        <f t="shared" si="0"/>
        <v>2562096.12</v>
      </c>
      <c r="J24" s="470">
        <v>200000</v>
      </c>
      <c r="K24" s="470">
        <v>0.2</v>
      </c>
      <c r="L24" s="470">
        <f t="shared" si="1"/>
        <v>512419.224</v>
      </c>
      <c r="M24" s="470">
        <f t="shared" si="2"/>
        <v>712419.224</v>
      </c>
      <c r="N24" s="470">
        <f t="shared" si="3"/>
        <v>712419.224</v>
      </c>
      <c r="O24" s="470">
        <f t="shared" si="4"/>
        <v>1849676.896</v>
      </c>
      <c r="P24" s="470">
        <f t="shared" si="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52432.14816</v>
      </c>
      <c r="U24" s="470"/>
      <c r="V24" s="470">
        <f t="shared" si="11"/>
        <v>276432.14816</v>
      </c>
      <c r="W24" s="471">
        <v>12</v>
      </c>
      <c r="X24" s="470">
        <f t="shared" si="12"/>
        <v>23036.0123466667</v>
      </c>
      <c r="Y24" s="470"/>
      <c r="Z24" s="470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6">
        <v>22</v>
      </c>
      <c r="B25" s="18" t="s">
        <v>79</v>
      </c>
      <c r="C25" s="468">
        <v>213508.01</v>
      </c>
      <c r="D25" s="469">
        <v>12</v>
      </c>
      <c r="E25" s="470">
        <f t="shared" si="14"/>
        <v>2562096.12</v>
      </c>
      <c r="F25" s="470"/>
      <c r="G25" s="470"/>
      <c r="H25" s="470"/>
      <c r="I25" s="470">
        <f t="shared" si="0"/>
        <v>2562096.12</v>
      </c>
      <c r="J25" s="470">
        <v>200000</v>
      </c>
      <c r="K25" s="470">
        <v>0.2</v>
      </c>
      <c r="L25" s="470">
        <f t="shared" si="1"/>
        <v>512419.224</v>
      </c>
      <c r="M25" s="470">
        <f t="shared" si="2"/>
        <v>712419.224</v>
      </c>
      <c r="N25" s="470">
        <f t="shared" si="3"/>
        <v>712419.224</v>
      </c>
      <c r="O25" s="470">
        <f t="shared" si="4"/>
        <v>1849676.896</v>
      </c>
      <c r="P25" s="470">
        <f t="shared" si="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52432.14816</v>
      </c>
      <c r="U25" s="470"/>
      <c r="V25" s="470">
        <f t="shared" si="11"/>
        <v>276432.14816</v>
      </c>
      <c r="W25" s="471">
        <v>12</v>
      </c>
      <c r="X25" s="470">
        <f t="shared" si="12"/>
        <v>23036.0123466667</v>
      </c>
      <c r="Y25" s="470"/>
      <c r="Z25" s="470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6">
        <v>23</v>
      </c>
      <c r="B26" s="11" t="s">
        <v>82</v>
      </c>
      <c r="C26" s="468">
        <v>253508.01</v>
      </c>
      <c r="D26" s="469">
        <v>12</v>
      </c>
      <c r="E26" s="470">
        <f t="shared" si="14"/>
        <v>3042096.12</v>
      </c>
      <c r="F26" s="470"/>
      <c r="G26" s="470"/>
      <c r="H26" s="470"/>
      <c r="I26" s="470">
        <f t="shared" si="0"/>
        <v>3042096.12</v>
      </c>
      <c r="J26" s="470">
        <v>200000</v>
      </c>
      <c r="K26" s="470">
        <v>0.2</v>
      </c>
      <c r="L26" s="470">
        <f t="shared" si="1"/>
        <v>608419.224</v>
      </c>
      <c r="M26" s="470">
        <f t="shared" si="2"/>
        <v>808419.224</v>
      </c>
      <c r="N26" s="470">
        <f t="shared" si="3"/>
        <v>808419.224</v>
      </c>
      <c r="O26" s="470">
        <f t="shared" si="4"/>
        <v>2233676.896</v>
      </c>
      <c r="P26" s="470">
        <f t="shared" si="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133072.14816</v>
      </c>
      <c r="U26" s="470"/>
      <c r="V26" s="470">
        <f t="shared" si="11"/>
        <v>357072.14816</v>
      </c>
      <c r="W26" s="471">
        <v>12</v>
      </c>
      <c r="X26" s="470">
        <f t="shared" si="12"/>
        <v>29756.0123466667</v>
      </c>
      <c r="Y26" s="470"/>
      <c r="Z26" s="470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6">
        <v>24</v>
      </c>
      <c r="B27" s="18" t="s">
        <v>84</v>
      </c>
      <c r="C27" s="468">
        <v>209356.04725</v>
      </c>
      <c r="D27" s="469">
        <v>12</v>
      </c>
      <c r="E27" s="470">
        <f t="shared" si="14"/>
        <v>2512272.567</v>
      </c>
      <c r="F27" s="470"/>
      <c r="G27" s="470"/>
      <c r="H27" s="470"/>
      <c r="I27" s="470">
        <f t="shared" ref="I27" si="16">E27-F27-G27-H27</f>
        <v>2512272.567</v>
      </c>
      <c r="J27" s="470">
        <v>200000</v>
      </c>
      <c r="K27" s="470">
        <v>0.2</v>
      </c>
      <c r="L27" s="470">
        <f t="shared" ref="L27" si="17">I27*K27</f>
        <v>502454.5134</v>
      </c>
      <c r="M27" s="470">
        <f t="shared" ref="M27" si="18">J27+L27</f>
        <v>702454.5134</v>
      </c>
      <c r="N27" s="470">
        <f t="shared" ref="N27" si="19">F27+G27+H27+M27</f>
        <v>702454.5134</v>
      </c>
      <c r="O27" s="470">
        <f t="shared" ref="O27" si="20">E27-N27</f>
        <v>1809818.0536</v>
      </c>
      <c r="P27" s="470">
        <f t="shared" ref="P27" si="21">IF(O27&lt;300000,0.07*O27,21000)</f>
        <v>21000</v>
      </c>
      <c r="Q27" s="470">
        <f t="shared" ref="Q27" si="22">IF((O27-300000)&lt;0,0,IF((O27-300000)&lt;300000,0.11*(O27-300000),33000))</f>
        <v>33000</v>
      </c>
      <c r="R27" s="470">
        <f t="shared" ref="R27" si="23">IF((O27-600000)&lt;0,0,IF((O27-600000)&lt;500000,0.15*(O27-600000),75000))</f>
        <v>75000</v>
      </c>
      <c r="S27" s="470">
        <f t="shared" ref="S27" si="24">IF((O27-1100000)&lt;0,0,IF((O27-1100000)&lt;500000,0.19*(O27-1100000),95000))</f>
        <v>95000</v>
      </c>
      <c r="T27" s="470">
        <f t="shared" ref="T27" si="25">IF((O27-1600000)&lt;0,0,IF((O27-1600000)&lt;1600000,0.21*(O27-1600000),336000))</f>
        <v>44061.7912559999</v>
      </c>
      <c r="U27" s="470"/>
      <c r="V27" s="470">
        <f t="shared" ref="V27" si="26">P27+Q27+R27+S27+T27+U27</f>
        <v>268061.791256</v>
      </c>
      <c r="W27" s="471">
        <v>12</v>
      </c>
      <c r="X27" s="470">
        <f t="shared" ref="X27" si="27">V27/W27</f>
        <v>22338.4826046667</v>
      </c>
      <c r="Y27" s="470"/>
      <c r="Z27" s="470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6">
        <v>25</v>
      </c>
      <c r="B28" s="18" t="s">
        <v>87</v>
      </c>
      <c r="C28" s="468">
        <v>205204.0845</v>
      </c>
      <c r="D28" s="469">
        <v>12</v>
      </c>
      <c r="E28" s="470">
        <f t="shared" si="14"/>
        <v>2462449.014</v>
      </c>
      <c r="F28" s="470"/>
      <c r="G28" s="470"/>
      <c r="H28" s="470"/>
      <c r="I28" s="470">
        <f t="shared" si="0"/>
        <v>2462449.014</v>
      </c>
      <c r="J28" s="470">
        <v>200000</v>
      </c>
      <c r="K28" s="470">
        <v>0.2</v>
      </c>
      <c r="L28" s="470">
        <f t="shared" si="1"/>
        <v>492489.8028</v>
      </c>
      <c r="M28" s="470">
        <f t="shared" si="2"/>
        <v>692489.8028</v>
      </c>
      <c r="N28" s="470">
        <f t="shared" si="3"/>
        <v>692489.8028</v>
      </c>
      <c r="O28" s="470">
        <f t="shared" si="4"/>
        <v>1769959.2112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35691.434352</v>
      </c>
      <c r="U28" s="470"/>
      <c r="V28" s="470">
        <f t="shared" si="11"/>
        <v>259691.434352</v>
      </c>
      <c r="W28" s="471">
        <v>12</v>
      </c>
      <c r="X28" s="470">
        <f t="shared" si="12"/>
        <v>21640.9528626667</v>
      </c>
      <c r="Y28" s="470"/>
      <c r="Z28" s="470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55">
        <v>26</v>
      </c>
      <c r="B29" s="18" t="s">
        <v>89</v>
      </c>
      <c r="C29" s="468">
        <v>205204.0845</v>
      </c>
      <c r="D29" s="469">
        <v>12</v>
      </c>
      <c r="E29" s="470">
        <f t="shared" si="14"/>
        <v>2462449.014</v>
      </c>
      <c r="F29" s="470"/>
      <c r="G29" s="470"/>
      <c r="H29" s="470"/>
      <c r="I29" s="470">
        <f t="shared" si="0"/>
        <v>2462449.014</v>
      </c>
      <c r="J29" s="470">
        <v>200000</v>
      </c>
      <c r="K29" s="470">
        <v>0.2</v>
      </c>
      <c r="L29" s="470">
        <f t="shared" si="1"/>
        <v>492489.8028</v>
      </c>
      <c r="M29" s="470">
        <f t="shared" si="2"/>
        <v>692489.8028</v>
      </c>
      <c r="N29" s="470">
        <f t="shared" si="3"/>
        <v>692489.8028</v>
      </c>
      <c r="O29" s="470">
        <f t="shared" si="4"/>
        <v>1769959.2112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35691.434352</v>
      </c>
      <c r="U29" s="470"/>
      <c r="V29" s="470">
        <f t="shared" si="11"/>
        <v>259691.434352</v>
      </c>
      <c r="W29" s="471">
        <v>12</v>
      </c>
      <c r="X29" s="470">
        <f t="shared" si="12"/>
        <v>21640.9528626667</v>
      </c>
      <c r="Y29" s="470"/>
      <c r="Z29" s="470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55">
        <v>27</v>
      </c>
      <c r="B30" s="18" t="s">
        <v>91</v>
      </c>
      <c r="C30" s="468">
        <v>209356.04725</v>
      </c>
      <c r="D30" s="469">
        <v>12</v>
      </c>
      <c r="E30" s="470">
        <f t="shared" si="14"/>
        <v>2512272.567</v>
      </c>
      <c r="F30" s="470"/>
      <c r="G30" s="470"/>
      <c r="H30" s="470"/>
      <c r="I30" s="470">
        <f t="shared" si="0"/>
        <v>2512272.567</v>
      </c>
      <c r="J30" s="470">
        <v>200000</v>
      </c>
      <c r="K30" s="470">
        <v>0.2</v>
      </c>
      <c r="L30" s="470">
        <f t="shared" si="1"/>
        <v>502454.5134</v>
      </c>
      <c r="M30" s="470">
        <f t="shared" si="2"/>
        <v>702454.5134</v>
      </c>
      <c r="N30" s="470">
        <f t="shared" si="3"/>
        <v>702454.5134</v>
      </c>
      <c r="O30" s="470">
        <f t="shared" si="4"/>
        <v>1809818.0536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44061.7912559999</v>
      </c>
      <c r="U30" s="470"/>
      <c r="V30" s="470">
        <f t="shared" si="11"/>
        <v>268061.791256</v>
      </c>
      <c r="W30" s="471">
        <v>12</v>
      </c>
      <c r="X30" s="470">
        <f t="shared" si="12"/>
        <v>22338.4826046667</v>
      </c>
      <c r="Y30" s="470"/>
      <c r="Z30" s="470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6">
        <v>28</v>
      </c>
      <c r="B31" s="18" t="s">
        <v>95</v>
      </c>
      <c r="C31" s="468">
        <v>180304.068</v>
      </c>
      <c r="D31" s="469">
        <v>12</v>
      </c>
      <c r="E31" s="470">
        <f t="shared" si="14"/>
        <v>2163648.816</v>
      </c>
      <c r="F31" s="470"/>
      <c r="G31" s="470"/>
      <c r="H31" s="470"/>
      <c r="I31" s="470">
        <f t="shared" si="0"/>
        <v>2163648.816</v>
      </c>
      <c r="J31" s="470">
        <v>200000</v>
      </c>
      <c r="K31" s="470">
        <v>0.2</v>
      </c>
      <c r="L31" s="470">
        <f t="shared" si="1"/>
        <v>432729.7632</v>
      </c>
      <c r="M31" s="470">
        <f t="shared" si="2"/>
        <v>632729.7632</v>
      </c>
      <c r="N31" s="470">
        <f t="shared" si="3"/>
        <v>632729.7632</v>
      </c>
      <c r="O31" s="470">
        <f t="shared" si="4"/>
        <v>1530919.0528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81874.620032</v>
      </c>
      <c r="T31" s="470">
        <f t="shared" si="9"/>
        <v>0</v>
      </c>
      <c r="U31" s="470"/>
      <c r="V31" s="470">
        <f t="shared" si="11"/>
        <v>210874.620032</v>
      </c>
      <c r="W31" s="471">
        <v>12</v>
      </c>
      <c r="X31" s="470">
        <f t="shared" si="12"/>
        <v>17572.8850026667</v>
      </c>
      <c r="Y31" s="470"/>
      <c r="Z31" s="470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6">
        <v>29</v>
      </c>
      <c r="B32" s="18" t="s">
        <v>103</v>
      </c>
      <c r="C32" s="468">
        <v>173329.0495</v>
      </c>
      <c r="D32" s="469">
        <v>12</v>
      </c>
      <c r="E32" s="470">
        <f t="shared" si="14"/>
        <v>2079948.594</v>
      </c>
      <c r="F32" s="470"/>
      <c r="G32" s="470"/>
      <c r="H32" s="470"/>
      <c r="I32" s="470">
        <f t="shared" si="0"/>
        <v>2079948.594</v>
      </c>
      <c r="J32" s="470">
        <v>200000</v>
      </c>
      <c r="K32" s="470">
        <v>0.2</v>
      </c>
      <c r="L32" s="470">
        <f t="shared" si="1"/>
        <v>415989.7188</v>
      </c>
      <c r="M32" s="470">
        <f t="shared" si="2"/>
        <v>615989.7188</v>
      </c>
      <c r="N32" s="470">
        <f t="shared" si="3"/>
        <v>615989.7188</v>
      </c>
      <c r="O32" s="470">
        <f t="shared" si="4"/>
        <v>1463958.8752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69152.186288</v>
      </c>
      <c r="T32" s="470">
        <f t="shared" si="9"/>
        <v>0</v>
      </c>
      <c r="U32" s="470"/>
      <c r="V32" s="470">
        <f t="shared" si="11"/>
        <v>198152.186288</v>
      </c>
      <c r="W32" s="471">
        <v>12</v>
      </c>
      <c r="X32" s="470">
        <f t="shared" si="12"/>
        <v>16512.6821906667</v>
      </c>
      <c r="Y32" s="470"/>
      <c r="Z32" s="470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6">
        <v>31</v>
      </c>
      <c r="B33" s="22"/>
      <c r="C33" s="470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6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213"/>
      <c r="AB34" s="213"/>
      <c r="AC34" s="213"/>
      <c r="AD34" s="213"/>
      <c r="AE34" s="213"/>
    </row>
    <row r="35" ht="18" spans="1:31">
      <c r="A35" s="546"/>
      <c r="B35" s="18" t="s">
        <v>122</v>
      </c>
      <c r="C35" s="477">
        <v>950209.0635</v>
      </c>
      <c r="D35" s="470">
        <v>12</v>
      </c>
      <c r="E35" s="470">
        <f>C35*D35</f>
        <v>11402508.762</v>
      </c>
      <c r="F35" s="470"/>
      <c r="G35" s="470">
        <f>SUM(G5:G34)</f>
        <v>0</v>
      </c>
      <c r="H35" s="470"/>
      <c r="I35" s="470">
        <f>E35-F35-G35-H35</f>
        <v>11402508.762</v>
      </c>
      <c r="J35" s="470">
        <v>200000</v>
      </c>
      <c r="K35" s="470">
        <v>0.2</v>
      </c>
      <c r="L35" s="470">
        <f>I35*K35</f>
        <v>2280501.7524</v>
      </c>
      <c r="M35" s="470">
        <f>J35+L35</f>
        <v>2480501.7524</v>
      </c>
      <c r="N35" s="470">
        <f>F35+G35+H35+M35</f>
        <v>2480501.7524</v>
      </c>
      <c r="O35" s="470">
        <f>E35-N35</f>
        <v>8922007.0096</v>
      </c>
      <c r="P35" s="470">
        <f t="shared" si="5"/>
        <v>21000</v>
      </c>
      <c r="Q35" s="470">
        <f t="shared" ref="Q35:Q37" si="29">IF((O35-300000)&lt;0,0,IF((O35-300000)&lt;300000,0.11*(O35-300000),33000))</f>
        <v>33000</v>
      </c>
      <c r="R35" s="470">
        <f t="shared" ref="R35:R37" si="30">IF((O35-600000)&lt;0,0,IF((O35-600000)&lt;500000,0.15*(O35-600000),75000))</f>
        <v>75000</v>
      </c>
      <c r="S35" s="470">
        <f t="shared" ref="S35:S37" si="31">IF((O35-1100000)&lt;0,0,IF((O35-1100000)&lt;500000,0.19*(O35-1100000),95000))</f>
        <v>95000</v>
      </c>
      <c r="T35" s="470">
        <f t="shared" ref="T35:T37" si="32">IF((O35-1600000)&lt;0,0,IF((O35-1600000)&lt;1600000,0.21*(O35-1600000),336000))</f>
        <v>336000</v>
      </c>
      <c r="U35" s="470">
        <f t="shared" si="10"/>
        <v>1373281.682304</v>
      </c>
      <c r="V35" s="470">
        <f>P35+Q35+R35+S35+T35+U35</f>
        <v>1933281.682304</v>
      </c>
      <c r="W35" s="470">
        <v>12</v>
      </c>
      <c r="X35" s="470">
        <f>V35/W35</f>
        <v>161106.806858667</v>
      </c>
      <c r="Y35" s="470"/>
      <c r="Z35" s="470">
        <f>X35</f>
        <v>161106.806858667</v>
      </c>
      <c r="AA35" s="549">
        <v>161106.806858667</v>
      </c>
      <c r="AB35" s="549">
        <f>Z35-AA35</f>
        <v>-3.20142135024071e-10</v>
      </c>
      <c r="AC35" s="213"/>
      <c r="AD35" s="213"/>
      <c r="AE35" s="213"/>
    </row>
    <row r="36" ht="18" spans="1:31">
      <c r="A36" s="546"/>
      <c r="B36" s="18" t="s">
        <v>127</v>
      </c>
      <c r="C36" s="470">
        <v>176816.1</v>
      </c>
      <c r="D36" s="469">
        <v>12</v>
      </c>
      <c r="E36" s="470">
        <f t="shared" ref="E36:E37" si="33">C36*D36</f>
        <v>2121793.2</v>
      </c>
      <c r="F36" s="470"/>
      <c r="G36" s="470">
        <f>SUM(G6:G35)</f>
        <v>0</v>
      </c>
      <c r="H36" s="470"/>
      <c r="I36" s="470">
        <f>E36-F36-G36-H36</f>
        <v>2121793.2</v>
      </c>
      <c r="J36" s="470">
        <v>200000</v>
      </c>
      <c r="K36" s="470">
        <v>0.2</v>
      </c>
      <c r="L36" s="470">
        <f>I36*K36</f>
        <v>424358.64</v>
      </c>
      <c r="M36" s="470">
        <f>J36+L36</f>
        <v>624358.64</v>
      </c>
      <c r="N36" s="470">
        <f>F36+G36+H36+M36</f>
        <v>624358.64</v>
      </c>
      <c r="O36" s="470">
        <f>E36-N36</f>
        <v>1497434.56</v>
      </c>
      <c r="P36" s="470">
        <f t="shared" si="5"/>
        <v>21000</v>
      </c>
      <c r="Q36" s="470">
        <f t="shared" si="29"/>
        <v>33000</v>
      </c>
      <c r="R36" s="470">
        <f t="shared" si="30"/>
        <v>75000</v>
      </c>
      <c r="S36" s="470">
        <f t="shared" si="31"/>
        <v>75512.5664</v>
      </c>
      <c r="T36" s="470">
        <f t="shared" si="32"/>
        <v>0</v>
      </c>
      <c r="U36" s="470"/>
      <c r="V36" s="470">
        <f>P36+Q36+R36+S36+T36+U36</f>
        <v>204512.5664</v>
      </c>
      <c r="W36" s="470">
        <v>12</v>
      </c>
      <c r="X36" s="470">
        <f>V36/W36</f>
        <v>17042.7138666667</v>
      </c>
      <c r="Y36" s="470"/>
      <c r="Z36" s="470">
        <f>X36</f>
        <v>17042.7138666667</v>
      </c>
      <c r="AA36" s="213">
        <v>17042.7138666667</v>
      </c>
      <c r="AB36" s="549">
        <f t="shared" ref="AB36:AB37" si="34">Z36-AA36</f>
        <v>-3.27418092638254e-11</v>
      </c>
      <c r="AC36" s="213"/>
      <c r="AD36" s="213"/>
      <c r="AE36" s="213"/>
    </row>
    <row r="37" ht="18" spans="1:31">
      <c r="A37" s="546">
        <v>33</v>
      </c>
      <c r="B37" s="11" t="s">
        <v>129</v>
      </c>
      <c r="C37" s="468">
        <v>233169.1175</v>
      </c>
      <c r="D37" s="469">
        <v>12</v>
      </c>
      <c r="E37" s="470">
        <f t="shared" si="33"/>
        <v>2798029.41</v>
      </c>
      <c r="F37" s="470"/>
      <c r="G37" s="470">
        <f>SUM(G7:G36)</f>
        <v>0</v>
      </c>
      <c r="H37" s="470"/>
      <c r="I37" s="470">
        <f>E37-F37-G37-H37</f>
        <v>2798029.41</v>
      </c>
      <c r="J37" s="470">
        <v>200000</v>
      </c>
      <c r="K37" s="470">
        <v>0.2</v>
      </c>
      <c r="L37" s="470">
        <f>I37*K37</f>
        <v>559605.882</v>
      </c>
      <c r="M37" s="470">
        <f>J37+L37</f>
        <v>759605.882</v>
      </c>
      <c r="N37" s="470">
        <f>F37+G37+H37+M37</f>
        <v>759605.882</v>
      </c>
      <c r="O37" s="470">
        <f>E37-N37</f>
        <v>2038423.528</v>
      </c>
      <c r="P37" s="470">
        <f t="shared" si="5"/>
        <v>21000</v>
      </c>
      <c r="Q37" s="470">
        <f t="shared" si="29"/>
        <v>33000</v>
      </c>
      <c r="R37" s="470">
        <f t="shared" si="30"/>
        <v>75000</v>
      </c>
      <c r="S37" s="470">
        <f t="shared" si="31"/>
        <v>95000</v>
      </c>
      <c r="T37" s="470">
        <f t="shared" si="32"/>
        <v>92068.94088</v>
      </c>
      <c r="U37" s="470"/>
      <c r="V37" s="470">
        <f>P37+Q37+R37+S37+T37+U37</f>
        <v>316068.94088</v>
      </c>
      <c r="W37" s="470">
        <v>12</v>
      </c>
      <c r="X37" s="470">
        <f>V37/W37</f>
        <v>26339.0784066667</v>
      </c>
      <c r="Y37" s="470"/>
      <c r="Z37" s="470">
        <f>X37</f>
        <v>26339.0784066667</v>
      </c>
      <c r="AA37" s="213">
        <v>26339.0784066667</v>
      </c>
      <c r="AB37" s="549">
        <f t="shared" si="34"/>
        <v>-3.27418092638254e-11</v>
      </c>
      <c r="AC37" s="213"/>
      <c r="AD37" s="213"/>
      <c r="AE37" s="213"/>
    </row>
    <row r="38" ht="18" spans="1:31">
      <c r="A38" s="546"/>
      <c r="B38" s="14"/>
      <c r="C38" s="470"/>
      <c r="D38" s="469"/>
      <c r="E38" s="470"/>
      <c r="F38" s="476"/>
      <c r="G38" s="476"/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213"/>
      <c r="AB38" s="213"/>
      <c r="AC38" s="213"/>
      <c r="AD38" s="213"/>
      <c r="AE38" s="213"/>
    </row>
    <row r="39" ht="17.5" spans="1:31">
      <c r="A39" s="546"/>
      <c r="B39" s="23" t="s">
        <v>137</v>
      </c>
      <c r="C39" s="470"/>
      <c r="D39" s="469"/>
      <c r="E39" s="470"/>
      <c r="F39" s="476"/>
      <c r="G39" s="476"/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213"/>
      <c r="AB39" s="213"/>
      <c r="AC39" s="213"/>
      <c r="AD39" s="213"/>
      <c r="AE39" s="213"/>
    </row>
    <row r="40" ht="36" spans="1:31">
      <c r="A40" s="546">
        <v>35</v>
      </c>
      <c r="B40" s="11" t="s">
        <v>912</v>
      </c>
      <c r="C40" s="468">
        <v>1050209.0635</v>
      </c>
      <c r="D40" s="469">
        <v>12</v>
      </c>
      <c r="E40" s="470">
        <f>C40*D40</f>
        <v>12602508.762</v>
      </c>
      <c r="F40" s="470"/>
      <c r="G40" s="470"/>
      <c r="H40" s="470"/>
      <c r="I40" s="470">
        <f>E40-F40-G40-H40</f>
        <v>12602508.762</v>
      </c>
      <c r="J40" s="470">
        <v>200000</v>
      </c>
      <c r="K40" s="470">
        <v>0.2</v>
      </c>
      <c r="L40" s="470">
        <f>I40*K40</f>
        <v>2520501.7524</v>
      </c>
      <c r="M40" s="470">
        <f>J40+L40</f>
        <v>2720501.7524</v>
      </c>
      <c r="N40" s="470">
        <f>F40+G40+H40+M40</f>
        <v>2720501.7524</v>
      </c>
      <c r="O40" s="470">
        <f>E40-N40</f>
        <v>9882007.0096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1603681.682304</v>
      </c>
      <c r="V40" s="470">
        <f>P40+Q40+R40+S40+T40+U40</f>
        <v>2163681.682304</v>
      </c>
      <c r="W40" s="471">
        <v>12</v>
      </c>
      <c r="X40" s="470">
        <f>V40/W40</f>
        <v>180306.806858667</v>
      </c>
      <c r="Y40" s="470"/>
      <c r="Z40" s="470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6">
        <v>36</v>
      </c>
      <c r="B41" s="11" t="s">
        <v>914</v>
      </c>
      <c r="C41" s="470">
        <v>527553.5025</v>
      </c>
      <c r="D41" s="469">
        <v>12</v>
      </c>
      <c r="E41" s="470">
        <f t="shared" ref="E41:E50" si="35">C41*D41</f>
        <v>6330642.03</v>
      </c>
      <c r="F41" s="476"/>
      <c r="G41" s="476"/>
      <c r="H41" s="476"/>
      <c r="I41" s="470">
        <f t="shared" si="0"/>
        <v>6330642.03</v>
      </c>
      <c r="J41" s="470">
        <v>200000</v>
      </c>
      <c r="K41" s="470">
        <v>0.2</v>
      </c>
      <c r="L41" s="470">
        <f t="shared" si="1"/>
        <v>1266128.406</v>
      </c>
      <c r="M41" s="470">
        <f t="shared" si="2"/>
        <v>1466128.406</v>
      </c>
      <c r="N41" s="470">
        <f t="shared" si="3"/>
        <v>1466128.406</v>
      </c>
      <c r="O41" s="470">
        <f t="shared" si="4"/>
        <v>4864513.624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399483.26976</v>
      </c>
      <c r="V41" s="470">
        <f t="shared" si="11"/>
        <v>959483.26976</v>
      </c>
      <c r="W41" s="471">
        <v>12</v>
      </c>
      <c r="X41" s="470">
        <f t="shared" si="12"/>
        <v>79956.9391466667</v>
      </c>
      <c r="Y41" s="476"/>
      <c r="Z41" s="470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6">
        <v>37</v>
      </c>
      <c r="B42" s="11" t="s">
        <v>138</v>
      </c>
      <c r="C42" s="470">
        <v>617743.99575</v>
      </c>
      <c r="D42" s="469">
        <v>12</v>
      </c>
      <c r="E42" s="470">
        <f t="shared" si="35"/>
        <v>7412927.949</v>
      </c>
      <c r="F42" s="476"/>
      <c r="G42" s="476"/>
      <c r="H42" s="476"/>
      <c r="I42" s="470">
        <f t="shared" si="0"/>
        <v>7412927.949</v>
      </c>
      <c r="J42" s="470">
        <v>200000</v>
      </c>
      <c r="K42" s="470">
        <v>0.2</v>
      </c>
      <c r="L42" s="470">
        <f t="shared" si="1"/>
        <v>1482585.5898</v>
      </c>
      <c r="M42" s="470">
        <f t="shared" si="2"/>
        <v>1682585.5898</v>
      </c>
      <c r="N42" s="470">
        <f t="shared" si="3"/>
        <v>1682585.5898</v>
      </c>
      <c r="O42" s="470">
        <f t="shared" si="4"/>
        <v>5730342.3592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607282.166208</v>
      </c>
      <c r="V42" s="470">
        <f t="shared" si="11"/>
        <v>1167282.166208</v>
      </c>
      <c r="W42" s="471">
        <v>12</v>
      </c>
      <c r="X42" s="470">
        <f t="shared" si="12"/>
        <v>97273.5138506667</v>
      </c>
      <c r="Y42" s="476"/>
      <c r="Z42" s="470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6">
        <v>38</v>
      </c>
      <c r="B43" s="11" t="s">
        <v>141</v>
      </c>
      <c r="C43" s="470">
        <v>527553.5025</v>
      </c>
      <c r="D43" s="469">
        <v>12</v>
      </c>
      <c r="E43" s="470">
        <f t="shared" si="35"/>
        <v>6330642.03</v>
      </c>
      <c r="F43" s="476"/>
      <c r="G43" s="476"/>
      <c r="H43" s="476"/>
      <c r="I43" s="470">
        <f t="shared" si="0"/>
        <v>6330642.03</v>
      </c>
      <c r="J43" s="470">
        <v>200000</v>
      </c>
      <c r="K43" s="470">
        <v>0.2</v>
      </c>
      <c r="L43" s="470">
        <f t="shared" si="1"/>
        <v>1266128.406</v>
      </c>
      <c r="M43" s="470">
        <f t="shared" si="2"/>
        <v>1466128.406</v>
      </c>
      <c r="N43" s="470">
        <f t="shared" si="3"/>
        <v>1466128.406</v>
      </c>
      <c r="O43" s="470">
        <f t="shared" si="4"/>
        <v>4864513.624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399483.26976</v>
      </c>
      <c r="V43" s="470">
        <f t="shared" si="11"/>
        <v>959483.26976</v>
      </c>
      <c r="W43" s="471">
        <v>12</v>
      </c>
      <c r="X43" s="470">
        <f t="shared" si="12"/>
        <v>79956.9391466667</v>
      </c>
      <c r="Y43" s="476"/>
      <c r="Z43" s="470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6">
        <v>39</v>
      </c>
      <c r="B44" s="11" t="s">
        <v>144</v>
      </c>
      <c r="C44" s="470">
        <v>527553.5025</v>
      </c>
      <c r="D44" s="469">
        <v>12</v>
      </c>
      <c r="E44" s="470">
        <f t="shared" si="35"/>
        <v>6330642.03</v>
      </c>
      <c r="F44" s="476">
        <f>'[6]JANUARY 2024'!$V$47*12</f>
        <v>10052.25</v>
      </c>
      <c r="G44" s="476"/>
      <c r="H44" s="476"/>
      <c r="I44" s="470">
        <f t="shared" si="0"/>
        <v>6320589.78</v>
      </c>
      <c r="J44" s="470">
        <v>200000</v>
      </c>
      <c r="K44" s="470">
        <v>0.2</v>
      </c>
      <c r="L44" s="470">
        <f t="shared" si="1"/>
        <v>1264117.956</v>
      </c>
      <c r="M44" s="470">
        <f t="shared" si="2"/>
        <v>1464117.956</v>
      </c>
      <c r="N44" s="470">
        <f t="shared" si="3"/>
        <v>1474170.206</v>
      </c>
      <c r="O44" s="470">
        <f t="shared" si="4"/>
        <v>4856471.824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397553.23776</v>
      </c>
      <c r="V44" s="470">
        <f t="shared" si="11"/>
        <v>957553.23776</v>
      </c>
      <c r="W44" s="471">
        <v>12</v>
      </c>
      <c r="X44" s="470">
        <f t="shared" si="12"/>
        <v>79796.1031466666</v>
      </c>
      <c r="Y44" s="476"/>
      <c r="Z44" s="470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6">
        <v>40</v>
      </c>
      <c r="B45" s="11" t="s">
        <v>146</v>
      </c>
      <c r="C45" s="470">
        <v>504720.047</v>
      </c>
      <c r="D45" s="469">
        <v>12</v>
      </c>
      <c r="E45" s="470">
        <f t="shared" si="35"/>
        <v>6056640.564</v>
      </c>
      <c r="F45" s="470"/>
      <c r="G45" s="476"/>
      <c r="H45" s="476"/>
      <c r="I45" s="470">
        <f t="shared" si="0"/>
        <v>6056640.564</v>
      </c>
      <c r="J45" s="470">
        <v>200000</v>
      </c>
      <c r="K45" s="470">
        <v>0.2</v>
      </c>
      <c r="L45" s="470">
        <f t="shared" si="1"/>
        <v>1211328.1128</v>
      </c>
      <c r="M45" s="470">
        <f t="shared" si="2"/>
        <v>1411328.1128</v>
      </c>
      <c r="N45" s="470">
        <f t="shared" si="3"/>
        <v>1411328.1128</v>
      </c>
      <c r="O45" s="470">
        <f t="shared" si="4"/>
        <v>4645312.4512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346874.988288</v>
      </c>
      <c r="V45" s="470">
        <f t="shared" si="11"/>
        <v>906874.988288</v>
      </c>
      <c r="W45" s="471">
        <v>12</v>
      </c>
      <c r="X45" s="470">
        <f t="shared" si="12"/>
        <v>75572.9156906667</v>
      </c>
      <c r="Y45" s="476"/>
      <c r="Z45" s="470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6">
        <v>41</v>
      </c>
      <c r="B46" s="14" t="s">
        <v>147</v>
      </c>
      <c r="C46" s="470">
        <v>413333.03525</v>
      </c>
      <c r="D46" s="469">
        <v>12</v>
      </c>
      <c r="E46" s="470">
        <f t="shared" si="35"/>
        <v>4959996.423</v>
      </c>
      <c r="F46" s="470"/>
      <c r="G46" s="476"/>
      <c r="H46" s="476"/>
      <c r="I46" s="470">
        <f t="shared" si="0"/>
        <v>4959996.423</v>
      </c>
      <c r="J46" s="470">
        <v>200000</v>
      </c>
      <c r="K46" s="470">
        <v>0.2</v>
      </c>
      <c r="L46" s="470">
        <f t="shared" si="1"/>
        <v>991999.2846</v>
      </c>
      <c r="M46" s="470">
        <f t="shared" si="2"/>
        <v>1191999.2846</v>
      </c>
      <c r="N46" s="470">
        <f t="shared" si="3"/>
        <v>1191999.2846</v>
      </c>
      <c r="O46" s="470">
        <f t="shared" si="4"/>
        <v>3767997.1384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136319.313216</v>
      </c>
      <c r="V46" s="470">
        <f t="shared" si="11"/>
        <v>696319.313216</v>
      </c>
      <c r="W46" s="471">
        <v>12</v>
      </c>
      <c r="X46" s="470">
        <f t="shared" si="12"/>
        <v>58026.6094346667</v>
      </c>
      <c r="Y46" s="476"/>
      <c r="Z46" s="470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6">
        <v>42</v>
      </c>
      <c r="B47" s="11" t="s">
        <v>151</v>
      </c>
      <c r="C47" s="470">
        <v>273169.1175</v>
      </c>
      <c r="D47" s="469">
        <v>12</v>
      </c>
      <c r="E47" s="470">
        <f t="shared" si="35"/>
        <v>3278029.41</v>
      </c>
      <c r="F47" s="470"/>
      <c r="G47" s="476"/>
      <c r="H47" s="476"/>
      <c r="I47" s="470">
        <f t="shared" si="0"/>
        <v>3278029.41</v>
      </c>
      <c r="J47" s="470">
        <v>200000</v>
      </c>
      <c r="K47" s="470">
        <v>0.2</v>
      </c>
      <c r="L47" s="470">
        <f t="shared" si="1"/>
        <v>655605.882</v>
      </c>
      <c r="M47" s="470">
        <f t="shared" si="2"/>
        <v>855605.882</v>
      </c>
      <c r="N47" s="470">
        <f t="shared" si="3"/>
        <v>855605.882</v>
      </c>
      <c r="O47" s="470">
        <f t="shared" si="4"/>
        <v>2422423.528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172708.94088</v>
      </c>
      <c r="U47" s="470"/>
      <c r="V47" s="470">
        <f t="shared" si="11"/>
        <v>396708.94088</v>
      </c>
      <c r="W47" s="471">
        <v>12</v>
      </c>
      <c r="X47" s="470">
        <f t="shared" si="12"/>
        <v>33059.0784066667</v>
      </c>
      <c r="Y47" s="476"/>
      <c r="Z47" s="470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55">
        <v>43</v>
      </c>
      <c r="B48" s="11" t="s">
        <v>155</v>
      </c>
      <c r="C48" s="470">
        <v>249356.04725</v>
      </c>
      <c r="D48" s="469">
        <v>12</v>
      </c>
      <c r="E48" s="470">
        <f t="shared" si="35"/>
        <v>2992272.567</v>
      </c>
      <c r="F48" s="470"/>
      <c r="G48" s="476"/>
      <c r="H48" s="476"/>
      <c r="I48" s="470">
        <f t="shared" si="0"/>
        <v>2992272.567</v>
      </c>
      <c r="J48" s="470">
        <v>200000</v>
      </c>
      <c r="K48" s="470">
        <v>0.2</v>
      </c>
      <c r="L48" s="470">
        <f t="shared" si="1"/>
        <v>598454.5134</v>
      </c>
      <c r="M48" s="470">
        <f t="shared" si="2"/>
        <v>798454.5134</v>
      </c>
      <c r="N48" s="470">
        <f t="shared" si="3"/>
        <v>798454.5134</v>
      </c>
      <c r="O48" s="470">
        <f t="shared" si="4"/>
        <v>2193818.0536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124701.791256</v>
      </c>
      <c r="U48" s="470"/>
      <c r="V48" s="470">
        <f t="shared" si="11"/>
        <v>348701.791256</v>
      </c>
      <c r="W48" s="471">
        <v>12</v>
      </c>
      <c r="X48" s="470">
        <f t="shared" si="12"/>
        <v>29058.4826046667</v>
      </c>
      <c r="Y48" s="476"/>
      <c r="Z48" s="470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6">
        <v>44</v>
      </c>
      <c r="B49" s="11" t="s">
        <v>915</v>
      </c>
      <c r="C49" s="470">
        <v>249356.04725</v>
      </c>
      <c r="D49" s="469">
        <v>12</v>
      </c>
      <c r="E49" s="470">
        <f t="shared" si="35"/>
        <v>2992272.567</v>
      </c>
      <c r="F49" s="470"/>
      <c r="G49" s="476"/>
      <c r="H49" s="476"/>
      <c r="I49" s="470">
        <f t="shared" si="0"/>
        <v>2992272.567</v>
      </c>
      <c r="J49" s="470">
        <v>200000</v>
      </c>
      <c r="K49" s="470">
        <v>0.2</v>
      </c>
      <c r="L49" s="470">
        <f t="shared" si="1"/>
        <v>598454.5134</v>
      </c>
      <c r="M49" s="470">
        <f t="shared" si="2"/>
        <v>798454.5134</v>
      </c>
      <c r="N49" s="470">
        <f t="shared" si="3"/>
        <v>798454.5134</v>
      </c>
      <c r="O49" s="470">
        <f t="shared" si="4"/>
        <v>2193818.0536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124701.791256</v>
      </c>
      <c r="U49" s="470"/>
      <c r="V49" s="470">
        <f t="shared" si="11"/>
        <v>348701.791256</v>
      </c>
      <c r="W49" s="471">
        <v>12</v>
      </c>
      <c r="X49" s="470">
        <v>28360.9528626667</v>
      </c>
      <c r="Y49" s="476"/>
      <c r="Z49" s="470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6">
        <v>45</v>
      </c>
      <c r="B50" s="11" t="s">
        <v>157</v>
      </c>
      <c r="C50" s="470">
        <v>249356.04725</v>
      </c>
      <c r="D50" s="469">
        <v>12</v>
      </c>
      <c r="E50" s="470">
        <f t="shared" si="35"/>
        <v>2992272.567</v>
      </c>
      <c r="F50" s="470"/>
      <c r="G50" s="476"/>
      <c r="H50" s="476"/>
      <c r="I50" s="470">
        <f t="shared" si="0"/>
        <v>2992272.567</v>
      </c>
      <c r="J50" s="470">
        <v>200000</v>
      </c>
      <c r="K50" s="470">
        <v>0.2</v>
      </c>
      <c r="L50" s="470">
        <f t="shared" si="1"/>
        <v>598454.5134</v>
      </c>
      <c r="M50" s="470">
        <f t="shared" si="2"/>
        <v>798454.5134</v>
      </c>
      <c r="N50" s="470">
        <f t="shared" si="3"/>
        <v>798454.5134</v>
      </c>
      <c r="O50" s="470">
        <f t="shared" si="4"/>
        <v>2193818.0536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124701.791256</v>
      </c>
      <c r="U50" s="470"/>
      <c r="V50" s="470">
        <f t="shared" si="11"/>
        <v>348701.791256</v>
      </c>
      <c r="W50" s="471">
        <v>12</v>
      </c>
      <c r="X50" s="470">
        <f t="shared" si="12"/>
        <v>29058.4826046667</v>
      </c>
      <c r="Y50" s="476"/>
      <c r="Z50" s="470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6"/>
      <c r="B51" s="22"/>
      <c r="C51" s="470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213"/>
      <c r="AB51" s="213"/>
      <c r="AC51" s="213"/>
      <c r="AD51" s="213"/>
      <c r="AE51" s="213"/>
    </row>
    <row r="52" ht="17.5" spans="1:31">
      <c r="A52" s="546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213"/>
      <c r="AB52" s="213"/>
      <c r="AC52" s="213"/>
      <c r="AD52" s="213"/>
      <c r="AE52" s="213"/>
    </row>
    <row r="53" ht="18" spans="1:31">
      <c r="A53" s="546">
        <v>47</v>
      </c>
      <c r="B53" s="11" t="s">
        <v>916</v>
      </c>
      <c r="C53" s="470">
        <v>1050209.0635</v>
      </c>
      <c r="D53" s="469">
        <v>12</v>
      </c>
      <c r="E53" s="470">
        <f>C53*D53</f>
        <v>12602508.762</v>
      </c>
      <c r="F53" s="470"/>
      <c r="G53" s="476"/>
      <c r="H53" s="476"/>
      <c r="I53" s="470">
        <f t="shared" si="0"/>
        <v>12602508.762</v>
      </c>
      <c r="J53" s="470">
        <v>200000</v>
      </c>
      <c r="K53" s="470">
        <v>0.2</v>
      </c>
      <c r="L53" s="470">
        <f t="shared" si="1"/>
        <v>2520501.7524</v>
      </c>
      <c r="M53" s="470">
        <f t="shared" si="2"/>
        <v>2720501.7524</v>
      </c>
      <c r="N53" s="470">
        <f t="shared" si="3"/>
        <v>2720501.7524</v>
      </c>
      <c r="O53" s="470">
        <f t="shared" si="4"/>
        <v>9882007.0096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1603681.682304</v>
      </c>
      <c r="V53" s="470">
        <f t="shared" si="11"/>
        <v>2163681.682304</v>
      </c>
      <c r="W53" s="471">
        <v>12</v>
      </c>
      <c r="X53" s="470">
        <f t="shared" si="12"/>
        <v>180306.806858667</v>
      </c>
      <c r="Y53" s="476"/>
      <c r="Z53" s="470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6">
        <v>48</v>
      </c>
      <c r="B54" s="11" t="s">
        <v>162</v>
      </c>
      <c r="C54" s="470">
        <v>447553.5025</v>
      </c>
      <c r="D54" s="469">
        <v>12</v>
      </c>
      <c r="E54" s="470">
        <f>C54*D54</f>
        <v>5370642.03</v>
      </c>
      <c r="F54" s="470"/>
      <c r="G54" s="476"/>
      <c r="H54" s="476"/>
      <c r="I54" s="470">
        <f t="shared" si="0"/>
        <v>5370642.03</v>
      </c>
      <c r="J54" s="470">
        <v>200000</v>
      </c>
      <c r="K54" s="470">
        <v>0.2</v>
      </c>
      <c r="L54" s="470">
        <f t="shared" si="1"/>
        <v>1074128.406</v>
      </c>
      <c r="M54" s="470">
        <f t="shared" si="2"/>
        <v>1274128.406</v>
      </c>
      <c r="N54" s="470">
        <f t="shared" si="3"/>
        <v>1274128.406</v>
      </c>
      <c r="O54" s="470">
        <f t="shared" si="4"/>
        <v>4096513.624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215163.26976</v>
      </c>
      <c r="V54" s="470">
        <f t="shared" si="11"/>
        <v>775163.26976</v>
      </c>
      <c r="W54" s="471">
        <v>12</v>
      </c>
      <c r="X54" s="470">
        <f t="shared" si="12"/>
        <v>64596.9391466667</v>
      </c>
      <c r="Y54" s="476"/>
      <c r="Z54" s="470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6"/>
      <c r="B55" s="20"/>
      <c r="C55" s="470"/>
      <c r="D55" s="469"/>
      <c r="E55" s="470"/>
      <c r="F55" s="470"/>
      <c r="G55" s="476"/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213"/>
      <c r="AB55" s="213"/>
      <c r="AC55" s="213"/>
      <c r="AD55" s="213"/>
      <c r="AE55" s="213"/>
    </row>
    <row r="56" ht="35" spans="1:31">
      <c r="A56" s="546">
        <v>49</v>
      </c>
      <c r="B56" s="20" t="s">
        <v>164</v>
      </c>
      <c r="C56" s="470"/>
      <c r="D56" s="469"/>
      <c r="E56" s="470"/>
      <c r="F56" s="470"/>
      <c r="G56" s="476"/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213"/>
      <c r="AB56" s="213"/>
      <c r="AC56" s="213"/>
      <c r="AD56" s="213"/>
      <c r="AE56" s="213"/>
    </row>
    <row r="57" ht="18" spans="1:31">
      <c r="A57" s="546">
        <v>50</v>
      </c>
      <c r="B57" s="11" t="s">
        <v>917</v>
      </c>
      <c r="C57" s="470">
        <v>1050209.0635</v>
      </c>
      <c r="D57" s="469">
        <v>12</v>
      </c>
      <c r="E57" s="470">
        <f>C57*D57</f>
        <v>12602508.762</v>
      </c>
      <c r="F57" s="470"/>
      <c r="G57" s="476"/>
      <c r="H57" s="476"/>
      <c r="I57" s="470">
        <f t="shared" si="0"/>
        <v>12602508.762</v>
      </c>
      <c r="J57" s="470">
        <v>200000</v>
      </c>
      <c r="K57" s="470">
        <v>0.2</v>
      </c>
      <c r="L57" s="470">
        <f t="shared" si="1"/>
        <v>2520501.7524</v>
      </c>
      <c r="M57" s="470">
        <f t="shared" si="2"/>
        <v>2720501.7524</v>
      </c>
      <c r="N57" s="470">
        <f t="shared" si="3"/>
        <v>2720501.7524</v>
      </c>
      <c r="O57" s="470">
        <f t="shared" si="4"/>
        <v>9882007.0096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1603681.682304</v>
      </c>
      <c r="V57" s="470">
        <f t="shared" si="11"/>
        <v>2163681.682304</v>
      </c>
      <c r="W57" s="471">
        <v>12</v>
      </c>
      <c r="X57" s="470">
        <f t="shared" si="12"/>
        <v>180306.806858667</v>
      </c>
      <c r="Y57" s="476"/>
      <c r="Z57" s="470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55">
        <v>51</v>
      </c>
      <c r="B58" s="351" t="s">
        <v>919</v>
      </c>
      <c r="C58" s="470">
        <v>516137.05</v>
      </c>
      <c r="D58" s="469">
        <v>12</v>
      </c>
      <c r="E58" s="470">
        <f t="shared" ref="E58:E66" si="37">C58*D58</f>
        <v>6193644.6</v>
      </c>
      <c r="F58" s="470"/>
      <c r="G58" s="476"/>
      <c r="H58" s="476"/>
      <c r="I58" s="470">
        <f t="shared" si="0"/>
        <v>6193644.6</v>
      </c>
      <c r="J58" s="470">
        <v>200000</v>
      </c>
      <c r="K58" s="470">
        <v>0.2</v>
      </c>
      <c r="L58" s="470">
        <f t="shared" si="1"/>
        <v>1238728.92</v>
      </c>
      <c r="M58" s="470">
        <f t="shared" si="2"/>
        <v>1438728.92</v>
      </c>
      <c r="N58" s="470">
        <f t="shared" si="3"/>
        <v>1438728.92</v>
      </c>
      <c r="O58" s="470">
        <f t="shared" si="4"/>
        <v>4754915.68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373179.7632</v>
      </c>
      <c r="V58" s="470">
        <f t="shared" si="11"/>
        <v>933179.7632</v>
      </c>
      <c r="W58" s="471">
        <v>12</v>
      </c>
      <c r="X58" s="470">
        <f t="shared" si="12"/>
        <v>77764.9802666667</v>
      </c>
      <c r="Y58" s="476"/>
      <c r="Z58" s="470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6">
        <v>52</v>
      </c>
      <c r="B59" s="11" t="s">
        <v>167</v>
      </c>
      <c r="C59" s="470">
        <v>397211.3675</v>
      </c>
      <c r="D59" s="469">
        <v>12</v>
      </c>
      <c r="E59" s="470">
        <f t="shared" si="37"/>
        <v>4766536.41</v>
      </c>
      <c r="F59" s="470"/>
      <c r="G59" s="476"/>
      <c r="H59" s="476"/>
      <c r="I59" s="470">
        <f t="shared" si="0"/>
        <v>4766536.41</v>
      </c>
      <c r="J59" s="470">
        <v>200000</v>
      </c>
      <c r="K59" s="470">
        <v>0.2</v>
      </c>
      <c r="L59" s="470">
        <f t="shared" si="1"/>
        <v>953307.282</v>
      </c>
      <c r="M59" s="470">
        <f t="shared" si="2"/>
        <v>1153307.282</v>
      </c>
      <c r="N59" s="470">
        <f t="shared" si="3"/>
        <v>1153307.282</v>
      </c>
      <c r="O59" s="470">
        <f t="shared" si="4"/>
        <v>3613229.128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99174.99072</v>
      </c>
      <c r="V59" s="470">
        <f t="shared" si="11"/>
        <v>659174.99072</v>
      </c>
      <c r="W59" s="471">
        <v>12</v>
      </c>
      <c r="X59" s="470">
        <f t="shared" si="12"/>
        <v>54931.2492266667</v>
      </c>
      <c r="Y59" s="476"/>
      <c r="Z59" s="470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6">
        <v>53</v>
      </c>
      <c r="B60" s="18" t="s">
        <v>921</v>
      </c>
      <c r="C60" s="470">
        <v>369177.65375</v>
      </c>
      <c r="D60" s="469">
        <v>12</v>
      </c>
      <c r="E60" s="470">
        <f t="shared" si="37"/>
        <v>4430131.845</v>
      </c>
      <c r="F60" s="470"/>
      <c r="G60" s="476"/>
      <c r="H60" s="476"/>
      <c r="I60" s="470">
        <f t="shared" si="0"/>
        <v>4430131.845</v>
      </c>
      <c r="J60" s="470">
        <v>200000</v>
      </c>
      <c r="K60" s="470">
        <v>0.2</v>
      </c>
      <c r="L60" s="470">
        <f t="shared" si="1"/>
        <v>886026.369</v>
      </c>
      <c r="M60" s="470">
        <f t="shared" si="2"/>
        <v>1086026.369</v>
      </c>
      <c r="N60" s="470">
        <f t="shared" si="3"/>
        <v>1086026.369</v>
      </c>
      <c r="O60" s="470">
        <f t="shared" si="4"/>
        <v>3344105.476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34585.3142399999</v>
      </c>
      <c r="V60" s="470">
        <f t="shared" si="11"/>
        <v>594585.31424</v>
      </c>
      <c r="W60" s="471">
        <v>12</v>
      </c>
      <c r="X60" s="470">
        <f t="shared" si="12"/>
        <v>49548.7761866667</v>
      </c>
      <c r="Y60" s="476"/>
      <c r="Z60" s="470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6">
        <v>54</v>
      </c>
      <c r="B61" s="14" t="s">
        <v>922</v>
      </c>
      <c r="C61" s="470">
        <v>421394.00675</v>
      </c>
      <c r="D61" s="469">
        <v>12</v>
      </c>
      <c r="E61" s="470">
        <f t="shared" si="37"/>
        <v>5056728.081</v>
      </c>
      <c r="F61" s="470"/>
      <c r="G61" s="476"/>
      <c r="H61" s="476"/>
      <c r="I61" s="470">
        <f t="shared" si="0"/>
        <v>5056728.081</v>
      </c>
      <c r="J61" s="470">
        <v>200000</v>
      </c>
      <c r="K61" s="470">
        <v>0.2</v>
      </c>
      <c r="L61" s="470">
        <f t="shared" si="1"/>
        <v>1011345.6162</v>
      </c>
      <c r="M61" s="470">
        <f t="shared" si="2"/>
        <v>1211345.6162</v>
      </c>
      <c r="N61" s="470">
        <f t="shared" si="3"/>
        <v>1211345.6162</v>
      </c>
      <c r="O61" s="470">
        <f t="shared" si="4"/>
        <v>3845382.4648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154891.791552</v>
      </c>
      <c r="V61" s="470">
        <f t="shared" si="11"/>
        <v>714891.791552</v>
      </c>
      <c r="W61" s="471">
        <v>12</v>
      </c>
      <c r="X61" s="470">
        <f t="shared" si="12"/>
        <v>59574.3159626667</v>
      </c>
      <c r="Y61" s="476"/>
      <c r="Z61" s="557">
        <f t="shared" si="13"/>
        <v>59574.3159626667</v>
      </c>
      <c r="AA61" s="552">
        <v>46666.6666666667</v>
      </c>
      <c r="AB61" s="552">
        <f t="shared" si="38"/>
        <v>12907.649296</v>
      </c>
      <c r="AC61" s="213"/>
      <c r="AD61" s="213"/>
      <c r="AE61" s="213"/>
    </row>
    <row r="62" ht="18" spans="1:31">
      <c r="A62" s="546">
        <v>55</v>
      </c>
      <c r="B62" s="11" t="s">
        <v>171</v>
      </c>
      <c r="C62" s="470">
        <v>322454.074</v>
      </c>
      <c r="D62" s="469">
        <v>12</v>
      </c>
      <c r="E62" s="470">
        <f t="shared" si="37"/>
        <v>3869448.888</v>
      </c>
      <c r="F62" s="470"/>
      <c r="G62" s="476"/>
      <c r="H62" s="476"/>
      <c r="I62" s="470">
        <f t="shared" si="0"/>
        <v>3869448.888</v>
      </c>
      <c r="J62" s="470">
        <v>200000</v>
      </c>
      <c r="K62" s="470">
        <v>0.2</v>
      </c>
      <c r="L62" s="470">
        <f t="shared" si="1"/>
        <v>773889.7776</v>
      </c>
      <c r="M62" s="470">
        <f t="shared" si="2"/>
        <v>973889.7776</v>
      </c>
      <c r="N62" s="470">
        <f t="shared" si="3"/>
        <v>973889.7776</v>
      </c>
      <c r="O62" s="470">
        <f t="shared" si="4"/>
        <v>2895559.1104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272067.413184</v>
      </c>
      <c r="U62" s="470"/>
      <c r="V62" s="470">
        <f t="shared" si="11"/>
        <v>496067.413184</v>
      </c>
      <c r="W62" s="471">
        <v>12</v>
      </c>
      <c r="X62" s="470">
        <f t="shared" si="12"/>
        <v>41338.9510986667</v>
      </c>
      <c r="Y62" s="476"/>
      <c r="Z62" s="470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6">
        <v>56</v>
      </c>
      <c r="B63" s="11" t="s">
        <v>172</v>
      </c>
      <c r="C63" s="470">
        <v>322454.074</v>
      </c>
      <c r="D63" s="469">
        <v>12</v>
      </c>
      <c r="E63" s="470">
        <f t="shared" si="37"/>
        <v>3869448.888</v>
      </c>
      <c r="F63" s="470"/>
      <c r="G63" s="476"/>
      <c r="H63" s="476"/>
      <c r="I63" s="470">
        <f t="shared" si="0"/>
        <v>3869448.888</v>
      </c>
      <c r="J63" s="470">
        <v>200000</v>
      </c>
      <c r="K63" s="470">
        <v>0.2</v>
      </c>
      <c r="L63" s="470">
        <f t="shared" si="1"/>
        <v>773889.7776</v>
      </c>
      <c r="M63" s="470">
        <f t="shared" si="2"/>
        <v>973889.7776</v>
      </c>
      <c r="N63" s="470">
        <f t="shared" si="3"/>
        <v>973889.7776</v>
      </c>
      <c r="O63" s="470">
        <f t="shared" si="4"/>
        <v>2895559.1104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272067.413184</v>
      </c>
      <c r="U63" s="470"/>
      <c r="V63" s="470">
        <f t="shared" si="11"/>
        <v>496067.413184</v>
      </c>
      <c r="W63" s="471">
        <v>12</v>
      </c>
      <c r="X63" s="470">
        <f t="shared" si="12"/>
        <v>41338.9510986667</v>
      </c>
      <c r="Y63" s="476"/>
      <c r="Z63" s="470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6">
        <v>57</v>
      </c>
      <c r="B64" s="11" t="s">
        <v>174</v>
      </c>
      <c r="C64" s="470">
        <v>322454.074</v>
      </c>
      <c r="D64" s="469">
        <v>12</v>
      </c>
      <c r="E64" s="470">
        <f t="shared" si="37"/>
        <v>3869448.888</v>
      </c>
      <c r="F64" s="470"/>
      <c r="G64" s="476"/>
      <c r="H64" s="476"/>
      <c r="I64" s="470">
        <f t="shared" si="0"/>
        <v>3869448.888</v>
      </c>
      <c r="J64" s="470">
        <v>200000</v>
      </c>
      <c r="K64" s="470">
        <v>0.2</v>
      </c>
      <c r="L64" s="470">
        <f t="shared" si="1"/>
        <v>773889.7776</v>
      </c>
      <c r="M64" s="470">
        <f t="shared" si="2"/>
        <v>973889.7776</v>
      </c>
      <c r="N64" s="470">
        <f t="shared" si="3"/>
        <v>973889.7776</v>
      </c>
      <c r="O64" s="470">
        <f t="shared" si="4"/>
        <v>2895559.1104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272067.413184</v>
      </c>
      <c r="U64" s="470"/>
      <c r="V64" s="470">
        <f t="shared" si="11"/>
        <v>496067.413184</v>
      </c>
      <c r="W64" s="471">
        <v>12</v>
      </c>
      <c r="X64" s="470">
        <f t="shared" si="12"/>
        <v>41338.9510986667</v>
      </c>
      <c r="Y64" s="476"/>
      <c r="Z64" s="470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6">
        <v>58</v>
      </c>
      <c r="B65" s="11" t="s">
        <v>175</v>
      </c>
      <c r="C65" s="470">
        <v>334536.9985</v>
      </c>
      <c r="D65" s="469">
        <v>12</v>
      </c>
      <c r="E65" s="470">
        <f t="shared" si="37"/>
        <v>4014443.982</v>
      </c>
      <c r="F65" s="470"/>
      <c r="G65" s="476"/>
      <c r="H65" s="476"/>
      <c r="I65" s="470">
        <f t="shared" si="0"/>
        <v>4014443.982</v>
      </c>
      <c r="J65" s="470">
        <v>200000</v>
      </c>
      <c r="K65" s="470">
        <v>0.2</v>
      </c>
      <c r="L65" s="470">
        <f t="shared" si="1"/>
        <v>802888.7964</v>
      </c>
      <c r="M65" s="470">
        <f t="shared" si="2"/>
        <v>1002888.7964</v>
      </c>
      <c r="N65" s="470">
        <f t="shared" si="3"/>
        <v>1002888.7964</v>
      </c>
      <c r="O65" s="470">
        <f t="shared" si="4"/>
        <v>3011555.1856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296426.588976</v>
      </c>
      <c r="U65" s="470"/>
      <c r="V65" s="470">
        <f t="shared" si="11"/>
        <v>520426.588976</v>
      </c>
      <c r="W65" s="471">
        <v>12</v>
      </c>
      <c r="X65" s="470">
        <f t="shared" si="12"/>
        <v>43368.8824146667</v>
      </c>
      <c r="Y65" s="476"/>
      <c r="Z65" s="470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6">
        <v>59</v>
      </c>
      <c r="B66" s="11" t="s">
        <v>179</v>
      </c>
      <c r="C66" s="470">
        <v>277734.047</v>
      </c>
      <c r="D66" s="469">
        <v>12</v>
      </c>
      <c r="E66" s="470">
        <f t="shared" si="37"/>
        <v>3332808.564</v>
      </c>
      <c r="F66" s="470"/>
      <c r="G66" s="476"/>
      <c r="H66" s="476"/>
      <c r="I66" s="470">
        <f t="shared" si="0"/>
        <v>3332808.564</v>
      </c>
      <c r="J66" s="470">
        <v>200000</v>
      </c>
      <c r="K66" s="470">
        <v>0.2</v>
      </c>
      <c r="L66" s="470">
        <f t="shared" si="1"/>
        <v>666561.7128</v>
      </c>
      <c r="M66" s="470">
        <f t="shared" si="2"/>
        <v>866561.7128</v>
      </c>
      <c r="N66" s="470">
        <f t="shared" si="3"/>
        <v>866561.7128</v>
      </c>
      <c r="O66" s="470">
        <f t="shared" si="4"/>
        <v>2466246.8512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181911.838752</v>
      </c>
      <c r="U66" s="470"/>
      <c r="V66" s="470">
        <f t="shared" si="11"/>
        <v>405911.838752</v>
      </c>
      <c r="W66" s="471">
        <v>12</v>
      </c>
      <c r="X66" s="470">
        <f t="shared" si="12"/>
        <v>33825.9865626667</v>
      </c>
      <c r="Y66" s="476"/>
      <c r="Z66" s="470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6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213"/>
      <c r="AB67" s="213"/>
      <c r="AC67" s="213"/>
      <c r="AD67" s="213"/>
      <c r="AE67" s="213"/>
    </row>
    <row r="68" ht="17.5" spans="1:31">
      <c r="A68" s="546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213"/>
      <c r="AB68" s="213"/>
      <c r="AC68" s="213"/>
      <c r="AD68" s="213"/>
      <c r="AE68" s="213"/>
    </row>
    <row r="69" ht="17.5" spans="1:31">
      <c r="A69" s="546"/>
      <c r="B69" s="20" t="s">
        <v>183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213"/>
      <c r="AB69" s="213"/>
      <c r="AC69" s="213"/>
      <c r="AD69" s="213"/>
      <c r="AE69" s="213"/>
    </row>
    <row r="70" ht="18" spans="1:31">
      <c r="A70" s="546"/>
      <c r="B70" s="11" t="s">
        <v>184</v>
      </c>
      <c r="C70" s="470">
        <v>1050209.0635</v>
      </c>
      <c r="D70" s="469">
        <v>12</v>
      </c>
      <c r="E70" s="470">
        <f>C70*D70</f>
        <v>12602508.762</v>
      </c>
      <c r="F70" s="470"/>
      <c r="G70" s="476"/>
      <c r="H70" s="476"/>
      <c r="I70" s="470">
        <f t="shared" ref="I70" si="39">E70-F70-G70-H70</f>
        <v>12602508.762</v>
      </c>
      <c r="J70" s="470">
        <v>200000</v>
      </c>
      <c r="K70" s="470">
        <v>0.2</v>
      </c>
      <c r="L70" s="470">
        <f t="shared" ref="L70" si="40">I70*K70</f>
        <v>2520501.7524</v>
      </c>
      <c r="M70" s="470">
        <f t="shared" ref="M70" si="41">J70+L70</f>
        <v>2720501.7524</v>
      </c>
      <c r="N70" s="470">
        <f t="shared" ref="N70" si="42">F70+G70+H70+M70</f>
        <v>2720501.7524</v>
      </c>
      <c r="O70" s="470">
        <f t="shared" ref="O70" si="43">E70-N70</f>
        <v>9882007.0096</v>
      </c>
      <c r="P70" s="470">
        <f t="shared" ref="P70" si="44">IF(O70&lt;300000,0.07*O70,21000)</f>
        <v>21000</v>
      </c>
      <c r="Q70" s="470">
        <f t="shared" ref="Q70" si="45">IF((O70-300000)&lt;0,0,IF((O70-300000)&lt;300000,0.11*(O70-300000),33000))</f>
        <v>33000</v>
      </c>
      <c r="R70" s="470">
        <f t="shared" ref="R70" si="46">IF((O70-600000)&lt;0,0,IF((O70-600000)&lt;500000,0.15*(O70-600000),75000))</f>
        <v>75000</v>
      </c>
      <c r="S70" s="470">
        <f t="shared" ref="S70" si="47">IF((O70-1100000)&lt;0,0,IF((O70-1100000)&lt;500000,0.19*(O70-1100000),95000))</f>
        <v>95000</v>
      </c>
      <c r="T70" s="470">
        <f t="shared" ref="T70" si="48">IF((O70-1600000)&lt;0,0,IF((O70-1600000)&lt;1600000,0.21*(O70-1600000),336000))</f>
        <v>336000</v>
      </c>
      <c r="U70" s="470">
        <f t="shared" ref="U70" si="49">24%*(O70-3200000)</f>
        <v>1603681.682304</v>
      </c>
      <c r="V70" s="470">
        <f t="shared" ref="V70" si="50">P70+Q70+R70+S70+T70+U70</f>
        <v>2163681.682304</v>
      </c>
      <c r="W70" s="471">
        <v>12</v>
      </c>
      <c r="X70" s="470">
        <f t="shared" ref="X70" si="51">V70/W70</f>
        <v>180306.806858667</v>
      </c>
      <c r="Y70" s="476"/>
      <c r="Z70" s="470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6">
        <v>62</v>
      </c>
      <c r="B71" s="14" t="s">
        <v>923</v>
      </c>
      <c r="C71" s="470">
        <v>516137.05</v>
      </c>
      <c r="D71" s="469">
        <v>12</v>
      </c>
      <c r="E71" s="470">
        <f t="shared" ref="E71:E76" si="53">C71*D71</f>
        <v>6193644.6</v>
      </c>
      <c r="F71" s="470"/>
      <c r="G71" s="476"/>
      <c r="H71" s="476"/>
      <c r="I71" s="470">
        <f t="shared" si="0"/>
        <v>6193644.6</v>
      </c>
      <c r="J71" s="470">
        <v>200000</v>
      </c>
      <c r="K71" s="470">
        <v>0.2</v>
      </c>
      <c r="L71" s="470">
        <f t="shared" si="1"/>
        <v>1238728.92</v>
      </c>
      <c r="M71" s="470">
        <f t="shared" si="2"/>
        <v>1438728.92</v>
      </c>
      <c r="N71" s="470">
        <f t="shared" si="3"/>
        <v>1438728.92</v>
      </c>
      <c r="O71" s="470">
        <f t="shared" si="4"/>
        <v>4754915.68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373179.7632</v>
      </c>
      <c r="V71" s="470">
        <f t="shared" si="11"/>
        <v>933179.7632</v>
      </c>
      <c r="W71" s="471">
        <v>12</v>
      </c>
      <c r="X71" s="470">
        <f t="shared" si="12"/>
        <v>77764.9802666667</v>
      </c>
      <c r="Y71" s="476"/>
      <c r="Z71" s="470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6">
        <v>63</v>
      </c>
      <c r="B72" s="18" t="s">
        <v>186</v>
      </c>
      <c r="C72" s="470">
        <v>447553.5025</v>
      </c>
      <c r="D72" s="469">
        <v>12</v>
      </c>
      <c r="E72" s="470">
        <f t="shared" si="53"/>
        <v>5370642.03</v>
      </c>
      <c r="F72" s="470"/>
      <c r="G72" s="476"/>
      <c r="H72" s="476"/>
      <c r="I72" s="470">
        <f t="shared" si="0"/>
        <v>5370642.03</v>
      </c>
      <c r="J72" s="470">
        <v>200000</v>
      </c>
      <c r="K72" s="470">
        <v>0.2</v>
      </c>
      <c r="L72" s="470">
        <f t="shared" si="1"/>
        <v>1074128.406</v>
      </c>
      <c r="M72" s="470">
        <f t="shared" si="2"/>
        <v>1274128.406</v>
      </c>
      <c r="N72" s="470">
        <f t="shared" si="3"/>
        <v>1274128.406</v>
      </c>
      <c r="O72" s="470">
        <f t="shared" si="4"/>
        <v>4096513.624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215163.26976</v>
      </c>
      <c r="V72" s="470">
        <f t="shared" si="11"/>
        <v>775163.26976</v>
      </c>
      <c r="W72" s="471">
        <v>12</v>
      </c>
      <c r="X72" s="470">
        <f t="shared" si="12"/>
        <v>64596.9391466667</v>
      </c>
      <c r="Y72" s="476"/>
      <c r="Z72" s="470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6">
        <v>64</v>
      </c>
      <c r="B73" s="11" t="s">
        <v>190</v>
      </c>
      <c r="C73" s="470">
        <v>405272.06375</v>
      </c>
      <c r="D73" s="469">
        <v>12</v>
      </c>
      <c r="E73" s="470">
        <f t="shared" si="53"/>
        <v>4863264.765</v>
      </c>
      <c r="F73" s="470">
        <f>'[6]JANUARY 2024'!$V$78*12</f>
        <v>8019.795</v>
      </c>
      <c r="G73" s="476"/>
      <c r="H73" s="476"/>
      <c r="I73" s="470">
        <f t="shared" si="0"/>
        <v>4855244.97</v>
      </c>
      <c r="J73" s="470">
        <v>200000</v>
      </c>
      <c r="K73" s="470">
        <v>0.2</v>
      </c>
      <c r="L73" s="470">
        <f t="shared" si="1"/>
        <v>971048.994</v>
      </c>
      <c r="M73" s="470">
        <f t="shared" si="2"/>
        <v>1171048.994</v>
      </c>
      <c r="N73" s="470">
        <f t="shared" si="3"/>
        <v>1179068.789</v>
      </c>
      <c r="O73" s="470">
        <f t="shared" si="4"/>
        <v>3684195.976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116207.03424</v>
      </c>
      <c r="V73" s="470">
        <f t="shared" si="11"/>
        <v>676207.03424</v>
      </c>
      <c r="W73" s="471">
        <v>12</v>
      </c>
      <c r="X73" s="470">
        <f t="shared" si="12"/>
        <v>56350.5861866667</v>
      </c>
      <c r="Y73" s="476"/>
      <c r="Z73" s="470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55">
        <v>65</v>
      </c>
      <c r="B74" s="11" t="s">
        <v>197</v>
      </c>
      <c r="C74" s="470">
        <v>273169.1175</v>
      </c>
      <c r="D74" s="469">
        <v>12</v>
      </c>
      <c r="E74" s="470">
        <f t="shared" si="53"/>
        <v>3278029.41</v>
      </c>
      <c r="F74" s="470"/>
      <c r="G74" s="476"/>
      <c r="H74" s="476"/>
      <c r="I74" s="470">
        <f t="shared" si="0"/>
        <v>3278029.41</v>
      </c>
      <c r="J74" s="470">
        <v>200000</v>
      </c>
      <c r="K74" s="470">
        <v>0.2</v>
      </c>
      <c r="L74" s="470">
        <f t="shared" si="1"/>
        <v>655605.882</v>
      </c>
      <c r="M74" s="470">
        <f t="shared" si="2"/>
        <v>855605.882</v>
      </c>
      <c r="N74" s="470">
        <f t="shared" si="3"/>
        <v>855605.882</v>
      </c>
      <c r="O74" s="470">
        <f t="shared" si="4"/>
        <v>2422423.528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172708.94088</v>
      </c>
      <c r="U74" s="470"/>
      <c r="V74" s="470">
        <f t="shared" si="11"/>
        <v>396708.94088</v>
      </c>
      <c r="W74" s="471">
        <v>12</v>
      </c>
      <c r="X74" s="470">
        <f t="shared" si="12"/>
        <v>33059.0784066667</v>
      </c>
      <c r="Y74" s="476"/>
      <c r="Z74" s="551">
        <f t="shared" si="13"/>
        <v>33059.0784066667</v>
      </c>
      <c r="AA74" s="552">
        <v>17507.5489666667</v>
      </c>
      <c r="AB74" s="552">
        <f t="shared" si="54"/>
        <v>15551.52944</v>
      </c>
      <c r="AC74" s="556"/>
      <c r="AD74" s="556"/>
      <c r="AE74" s="556"/>
    </row>
    <row r="75" ht="18" spans="1:31">
      <c r="A75" s="546"/>
      <c r="B75" s="11" t="s">
        <v>201</v>
      </c>
      <c r="C75" s="470">
        <v>249356.04725</v>
      </c>
      <c r="D75" s="469">
        <v>12</v>
      </c>
      <c r="E75" s="470">
        <f t="shared" si="53"/>
        <v>2992272.567</v>
      </c>
      <c r="F75" s="470"/>
      <c r="G75" s="476"/>
      <c r="H75" s="476"/>
      <c r="I75" s="470">
        <f t="shared" si="0"/>
        <v>2992272.567</v>
      </c>
      <c r="J75" s="470">
        <v>200000</v>
      </c>
      <c r="K75" s="470">
        <v>0.2</v>
      </c>
      <c r="L75" s="470">
        <f t="shared" si="1"/>
        <v>598454.5134</v>
      </c>
      <c r="M75" s="470">
        <f t="shared" si="2"/>
        <v>798454.5134</v>
      </c>
      <c r="N75" s="470">
        <f t="shared" si="3"/>
        <v>798454.5134</v>
      </c>
      <c r="O75" s="470">
        <f t="shared" si="4"/>
        <v>2193818.0536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124701.791256</v>
      </c>
      <c r="U75" s="470"/>
      <c r="V75" s="470">
        <f t="shared" si="11"/>
        <v>348701.791256</v>
      </c>
      <c r="W75" s="471">
        <v>12</v>
      </c>
      <c r="X75" s="470">
        <f t="shared" si="12"/>
        <v>29058.4826046667</v>
      </c>
      <c r="Y75" s="476"/>
      <c r="Z75" s="470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6"/>
      <c r="B76" s="11" t="s">
        <v>203</v>
      </c>
      <c r="C76" s="470">
        <v>223717.2845</v>
      </c>
      <c r="D76" s="469">
        <v>12</v>
      </c>
      <c r="E76" s="470">
        <f t="shared" si="53"/>
        <v>2684607.414</v>
      </c>
      <c r="F76" s="470"/>
      <c r="G76" s="476"/>
      <c r="H76" s="476"/>
      <c r="I76" s="470">
        <f t="shared" ref="I76" si="55">E76-F76-G76-H76</f>
        <v>2684607.414</v>
      </c>
      <c r="J76" s="470">
        <v>200000</v>
      </c>
      <c r="K76" s="470">
        <v>0.2</v>
      </c>
      <c r="L76" s="470">
        <f t="shared" ref="L76" si="56">I76*K76</f>
        <v>536921.4828</v>
      </c>
      <c r="M76" s="470">
        <f t="shared" ref="M76" si="57">J76+L76</f>
        <v>736921.4828</v>
      </c>
      <c r="N76" s="470">
        <f t="shared" ref="N76" si="58">F76+G76+H76+M76</f>
        <v>736921.4828</v>
      </c>
      <c r="O76" s="470">
        <f t="shared" ref="O76" si="59">E76-N76</f>
        <v>1947685.9312</v>
      </c>
      <c r="P76" s="470">
        <f t="shared" ref="P76" si="60">IF(O76&lt;300000,0.07*O76,21000)</f>
        <v>21000</v>
      </c>
      <c r="Q76" s="470">
        <f t="shared" ref="Q76" si="61">IF((O76-300000)&lt;0,0,IF((O76-300000)&lt;300000,0.11*(O76-300000),33000))</f>
        <v>33000</v>
      </c>
      <c r="R76" s="470">
        <f t="shared" ref="R76" si="62">IF((O76-600000)&lt;0,0,IF((O76-600000)&lt;500000,0.15*(O76-600000),75000))</f>
        <v>75000</v>
      </c>
      <c r="S76" s="470">
        <f t="shared" ref="S76" si="63">IF((O76-1100000)&lt;0,0,IF((O76-1100000)&lt;500000,0.19*(O76-1100000),95000))</f>
        <v>95000</v>
      </c>
      <c r="T76" s="470">
        <f t="shared" ref="T76" si="64">IF((O76-1600000)&lt;0,0,IF((O76-1600000)&lt;1600000,0.21*(O76-1600000),336000))</f>
        <v>73014.045552</v>
      </c>
      <c r="U76" s="470">
        <v>0</v>
      </c>
      <c r="V76" s="470">
        <f t="shared" ref="V76" si="65">P76+Q76+R76+S76+T76+U76</f>
        <v>297014.045552</v>
      </c>
      <c r="W76" s="471">
        <v>12</v>
      </c>
      <c r="X76" s="470">
        <f t="shared" ref="X76" si="66">V76/W76</f>
        <v>24751.1704626667</v>
      </c>
      <c r="Y76" s="476"/>
      <c r="Z76" s="470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6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6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213"/>
      <c r="AB78" s="213"/>
      <c r="AC78" s="213"/>
      <c r="AD78" s="213"/>
      <c r="AE78" s="213"/>
    </row>
    <row r="79" ht="35" spans="1:31">
      <c r="A79" s="546">
        <v>67</v>
      </c>
      <c r="B79" s="20" t="s">
        <v>205</v>
      </c>
      <c r="C79" s="470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1010</v>
      </c>
      <c r="AC79" s="213"/>
      <c r="AD79" s="213"/>
      <c r="AE79" s="213"/>
    </row>
    <row r="80" ht="18" spans="1:31">
      <c r="A80" s="546">
        <v>68</v>
      </c>
      <c r="B80" s="11" t="s">
        <v>208</v>
      </c>
      <c r="C80" s="470">
        <v>627553.5025</v>
      </c>
      <c r="D80" s="469">
        <v>12</v>
      </c>
      <c r="E80" s="470">
        <f>C80*D80</f>
        <v>7530642.03</v>
      </c>
      <c r="F80" s="470"/>
      <c r="G80" s="476"/>
      <c r="H80" s="476"/>
      <c r="I80" s="470">
        <f t="shared" ref="I80:I89" si="68">E80-F80-G80-H80</f>
        <v>7530642.03</v>
      </c>
      <c r="J80" s="470">
        <v>200000</v>
      </c>
      <c r="K80" s="470">
        <v>0.2</v>
      </c>
      <c r="L80" s="470">
        <f t="shared" ref="L80:L89" si="69">I80*K80</f>
        <v>1506128.406</v>
      </c>
      <c r="M80" s="470">
        <f t="shared" ref="M80:M89" si="70">J80+L80</f>
        <v>1706128.406</v>
      </c>
      <c r="N80" s="470">
        <f t="shared" ref="N80:N89" si="71">F80+G80+H80+M80</f>
        <v>1706128.406</v>
      </c>
      <c r="O80" s="470">
        <f t="shared" ref="O80:O89" si="72">E80-N80</f>
        <v>5824513.624</v>
      </c>
      <c r="P80" s="470">
        <f t="shared" ref="P80:P89" si="73">IF(O80&lt;300000,0.07*O80,21000)</f>
        <v>21000</v>
      </c>
      <c r="Q80" s="470">
        <f t="shared" ref="Q80:Q89" si="74">IF((O80-300000)&lt;0,0,IF((O80-300000)&lt;300000,0.11*(O80-300000),33000))</f>
        <v>33000</v>
      </c>
      <c r="R80" s="470">
        <f t="shared" ref="R80:R89" si="75">IF((O80-600000)&lt;0,0,IF((O80-600000)&lt;500000,0.15*(O80-600000),75000))</f>
        <v>75000</v>
      </c>
      <c r="S80" s="470">
        <f t="shared" ref="S80:S89" si="76">IF((O80-1100000)&lt;0,0,IF((O80-1100000)&lt;500000,0.19*(O80-1100000),95000))</f>
        <v>95000</v>
      </c>
      <c r="T80" s="470">
        <f t="shared" ref="T80:T89" si="77">IF((O80-1600000)&lt;0,0,IF((O80-1600000)&lt;1600000,0.21*(O80-1600000),336000))</f>
        <v>336000</v>
      </c>
      <c r="U80" s="470">
        <f t="shared" ref="U80:U85" si="78">24%*(O80-3200000)</f>
        <v>629883.26976</v>
      </c>
      <c r="V80" s="470">
        <f t="shared" ref="V80:V89" si="79">P80+Q80+R80+S80+T80+U80</f>
        <v>1189883.26976</v>
      </c>
      <c r="W80" s="471">
        <v>12</v>
      </c>
      <c r="X80" s="470">
        <f t="shared" ref="X80:X89" si="80">V80/W80</f>
        <v>99156.9391466667</v>
      </c>
      <c r="Y80" s="476"/>
      <c r="Z80" s="470">
        <f t="shared" ref="Z80:Z89" si="81">X80</f>
        <v>99156.9391466667</v>
      </c>
      <c r="AA80" s="549">
        <v>99156.9391466667</v>
      </c>
      <c r="AB80" s="554">
        <f>Z80-AA80</f>
        <v>0</v>
      </c>
      <c r="AC80" s="213" t="s">
        <v>208</v>
      </c>
      <c r="AD80" s="213"/>
      <c r="AE80" s="213"/>
    </row>
    <row r="81" s="537" customFormat="1" ht="18" spans="1:31">
      <c r="A81" s="555">
        <v>69</v>
      </c>
      <c r="B81" s="11" t="s">
        <v>206</v>
      </c>
      <c r="C81" s="470">
        <v>527553.5025</v>
      </c>
      <c r="D81" s="469">
        <v>12</v>
      </c>
      <c r="E81" s="470">
        <f t="shared" ref="E81:E87" si="82">C81*D81</f>
        <v>6330642.03</v>
      </c>
      <c r="F81" s="470">
        <f>'[6]JANUARY 2024'!$V$86*12</f>
        <v>10052.25</v>
      </c>
      <c r="G81" s="476"/>
      <c r="H81" s="476"/>
      <c r="I81" s="470">
        <f t="shared" si="68"/>
        <v>6320589.78</v>
      </c>
      <c r="J81" s="470">
        <v>200000</v>
      </c>
      <c r="K81" s="470">
        <v>0.2</v>
      </c>
      <c r="L81" s="470">
        <f t="shared" si="69"/>
        <v>1264117.956</v>
      </c>
      <c r="M81" s="470">
        <f t="shared" si="70"/>
        <v>1464117.956</v>
      </c>
      <c r="N81" s="470">
        <f t="shared" si="71"/>
        <v>1474170.206</v>
      </c>
      <c r="O81" s="470">
        <f t="shared" si="72"/>
        <v>4856471.824</v>
      </c>
      <c r="P81" s="470">
        <f t="shared" si="73"/>
        <v>21000</v>
      </c>
      <c r="Q81" s="470">
        <f t="shared" si="74"/>
        <v>33000</v>
      </c>
      <c r="R81" s="470">
        <f t="shared" si="75"/>
        <v>75000</v>
      </c>
      <c r="S81" s="470">
        <f t="shared" si="76"/>
        <v>95000</v>
      </c>
      <c r="T81" s="470">
        <f t="shared" si="77"/>
        <v>336000</v>
      </c>
      <c r="U81" s="470">
        <f t="shared" si="78"/>
        <v>397553.23776</v>
      </c>
      <c r="V81" s="470">
        <f t="shared" si="79"/>
        <v>957553.23776</v>
      </c>
      <c r="W81" s="471">
        <v>12</v>
      </c>
      <c r="X81" s="470">
        <f t="shared" si="80"/>
        <v>79796.1031466666</v>
      </c>
      <c r="Y81" s="476"/>
      <c r="Z81" s="470">
        <f t="shared" si="81"/>
        <v>79796.1031466666</v>
      </c>
      <c r="AA81" s="549">
        <v>98996.1031466667</v>
      </c>
      <c r="AB81" s="554">
        <f t="shared" ref="AB81:AB87" si="83">Z81-AA81</f>
        <v>-19200.0000000001</v>
      </c>
      <c r="AC81" s="556" t="s">
        <v>206</v>
      </c>
      <c r="AD81" s="556"/>
      <c r="AE81" s="556"/>
    </row>
    <row r="82" s="537" customFormat="1" ht="36" spans="1:31">
      <c r="A82" s="555">
        <v>70</v>
      </c>
      <c r="B82" s="11" t="s">
        <v>479</v>
      </c>
      <c r="C82" s="470">
        <v>504729.222</v>
      </c>
      <c r="D82" s="469">
        <v>12</v>
      </c>
      <c r="E82" s="470">
        <f t="shared" si="82"/>
        <v>6056750.664</v>
      </c>
      <c r="F82" s="470"/>
      <c r="G82" s="476"/>
      <c r="H82" s="476"/>
      <c r="I82" s="470">
        <f t="shared" si="68"/>
        <v>6056750.664</v>
      </c>
      <c r="J82" s="470">
        <v>200000</v>
      </c>
      <c r="K82" s="470">
        <v>0.2</v>
      </c>
      <c r="L82" s="470">
        <f t="shared" si="69"/>
        <v>1211350.1328</v>
      </c>
      <c r="M82" s="470">
        <f t="shared" si="70"/>
        <v>1411350.1328</v>
      </c>
      <c r="N82" s="470">
        <f t="shared" si="71"/>
        <v>1411350.1328</v>
      </c>
      <c r="O82" s="470">
        <f t="shared" si="72"/>
        <v>4645400.5312</v>
      </c>
      <c r="P82" s="470">
        <f t="shared" si="73"/>
        <v>21000</v>
      </c>
      <c r="Q82" s="470">
        <f t="shared" si="74"/>
        <v>33000</v>
      </c>
      <c r="R82" s="470">
        <f t="shared" si="75"/>
        <v>75000</v>
      </c>
      <c r="S82" s="470">
        <f t="shared" si="76"/>
        <v>95000</v>
      </c>
      <c r="T82" s="470">
        <f t="shared" si="77"/>
        <v>336000</v>
      </c>
      <c r="U82" s="470">
        <f t="shared" si="78"/>
        <v>346896.127488</v>
      </c>
      <c r="V82" s="470">
        <f t="shared" si="79"/>
        <v>906896.127488</v>
      </c>
      <c r="W82" s="471">
        <v>12</v>
      </c>
      <c r="X82" s="470">
        <f t="shared" si="80"/>
        <v>75574.6772906667</v>
      </c>
      <c r="Y82" s="476"/>
      <c r="Z82" s="470">
        <f t="shared" si="81"/>
        <v>75574.6772906667</v>
      </c>
      <c r="AA82" s="559">
        <v>79956.9391466667</v>
      </c>
      <c r="AB82" s="554">
        <f t="shared" si="83"/>
        <v>-4382.26185600003</v>
      </c>
      <c r="AC82" s="556" t="s">
        <v>479</v>
      </c>
      <c r="AD82" s="556"/>
      <c r="AE82" s="556"/>
    </row>
    <row r="83" ht="18" spans="1:31">
      <c r="A83" s="546">
        <v>71</v>
      </c>
      <c r="B83" s="11" t="s">
        <v>211</v>
      </c>
      <c r="C83" s="470">
        <v>376663.0775</v>
      </c>
      <c r="D83" s="469">
        <v>12</v>
      </c>
      <c r="E83" s="470">
        <f t="shared" si="82"/>
        <v>4519956.93</v>
      </c>
      <c r="F83" s="470"/>
      <c r="G83" s="476"/>
      <c r="H83" s="476"/>
      <c r="I83" s="470">
        <f t="shared" si="68"/>
        <v>4519956.93</v>
      </c>
      <c r="J83" s="470">
        <v>200000</v>
      </c>
      <c r="K83" s="470">
        <v>0.2</v>
      </c>
      <c r="L83" s="470">
        <f t="shared" si="69"/>
        <v>903991.386</v>
      </c>
      <c r="M83" s="470">
        <f t="shared" si="70"/>
        <v>1103991.386</v>
      </c>
      <c r="N83" s="470">
        <f t="shared" si="71"/>
        <v>1103991.386</v>
      </c>
      <c r="O83" s="470">
        <f t="shared" si="72"/>
        <v>3415965.544</v>
      </c>
      <c r="P83" s="470">
        <f t="shared" si="73"/>
        <v>21000</v>
      </c>
      <c r="Q83" s="470">
        <f t="shared" si="74"/>
        <v>33000</v>
      </c>
      <c r="R83" s="470">
        <f t="shared" si="75"/>
        <v>75000</v>
      </c>
      <c r="S83" s="470">
        <f t="shared" si="76"/>
        <v>95000</v>
      </c>
      <c r="T83" s="470">
        <f t="shared" si="77"/>
        <v>336000</v>
      </c>
      <c r="U83" s="470">
        <f t="shared" si="78"/>
        <v>51831.7305599999</v>
      </c>
      <c r="V83" s="470">
        <f t="shared" si="79"/>
        <v>611831.73056</v>
      </c>
      <c r="W83" s="471">
        <v>12</v>
      </c>
      <c r="X83" s="470">
        <f t="shared" si="80"/>
        <v>50985.9775466667</v>
      </c>
      <c r="Y83" s="476"/>
      <c r="Z83" s="470">
        <f t="shared" si="81"/>
        <v>50985.9775466667</v>
      </c>
      <c r="AA83" s="559">
        <v>75574.6772906667</v>
      </c>
      <c r="AB83" s="554">
        <f t="shared" si="83"/>
        <v>-24588.699744</v>
      </c>
      <c r="AC83" s="213" t="s">
        <v>211</v>
      </c>
      <c r="AD83" s="213"/>
      <c r="AE83" s="213"/>
    </row>
    <row r="84" ht="18" spans="1:31">
      <c r="A84" s="546">
        <v>72</v>
      </c>
      <c r="B84" s="11" t="s">
        <v>212</v>
      </c>
      <c r="C84" s="470">
        <v>369177.65375</v>
      </c>
      <c r="D84" s="469">
        <v>12</v>
      </c>
      <c r="E84" s="470">
        <f t="shared" si="82"/>
        <v>4430131.845</v>
      </c>
      <c r="F84" s="470"/>
      <c r="G84" s="476"/>
      <c r="H84" s="476"/>
      <c r="I84" s="470">
        <f t="shared" si="68"/>
        <v>4430131.845</v>
      </c>
      <c r="J84" s="470">
        <v>200000</v>
      </c>
      <c r="K84" s="470">
        <v>0.2</v>
      </c>
      <c r="L84" s="470">
        <f t="shared" si="69"/>
        <v>886026.369</v>
      </c>
      <c r="M84" s="470">
        <f t="shared" si="70"/>
        <v>1086026.369</v>
      </c>
      <c r="N84" s="470">
        <f t="shared" si="71"/>
        <v>1086026.369</v>
      </c>
      <c r="O84" s="470">
        <f t="shared" si="72"/>
        <v>3344105.476</v>
      </c>
      <c r="P84" s="470">
        <f t="shared" si="73"/>
        <v>21000</v>
      </c>
      <c r="Q84" s="470">
        <f t="shared" si="74"/>
        <v>33000</v>
      </c>
      <c r="R84" s="470">
        <f t="shared" si="75"/>
        <v>75000</v>
      </c>
      <c r="S84" s="470">
        <f t="shared" si="76"/>
        <v>95000</v>
      </c>
      <c r="T84" s="470">
        <f t="shared" si="77"/>
        <v>336000</v>
      </c>
      <c r="U84" s="470">
        <f t="shared" si="78"/>
        <v>34585.3142399999</v>
      </c>
      <c r="V84" s="470">
        <f t="shared" si="79"/>
        <v>594585.31424</v>
      </c>
      <c r="W84" s="471">
        <v>12</v>
      </c>
      <c r="X84" s="470">
        <f t="shared" si="80"/>
        <v>49548.7761866667</v>
      </c>
      <c r="Y84" s="476"/>
      <c r="Z84" s="470">
        <f t="shared" si="81"/>
        <v>49548.7761866667</v>
      </c>
      <c r="AA84" s="549">
        <v>50985.9775466667</v>
      </c>
      <c r="AB84" s="554">
        <f t="shared" si="83"/>
        <v>-1437.20136000004</v>
      </c>
      <c r="AC84" s="213" t="s">
        <v>212</v>
      </c>
      <c r="AD84" s="213"/>
      <c r="AE84" s="213"/>
    </row>
    <row r="85" s="537" customFormat="1" ht="36" spans="1:31">
      <c r="A85" s="555">
        <v>73</v>
      </c>
      <c r="B85" s="11" t="s">
        <v>213</v>
      </c>
      <c r="C85" s="470">
        <v>389153.05675</v>
      </c>
      <c r="D85" s="469">
        <v>12</v>
      </c>
      <c r="E85" s="470">
        <f t="shared" si="82"/>
        <v>4669836.681</v>
      </c>
      <c r="F85" s="470"/>
      <c r="G85" s="476"/>
      <c r="H85" s="476"/>
      <c r="I85" s="470">
        <f t="shared" si="68"/>
        <v>4669836.681</v>
      </c>
      <c r="J85" s="470">
        <v>200000</v>
      </c>
      <c r="K85" s="470">
        <v>0.2</v>
      </c>
      <c r="L85" s="470">
        <f t="shared" si="69"/>
        <v>933967.3362</v>
      </c>
      <c r="M85" s="470">
        <f t="shared" si="70"/>
        <v>1133967.3362</v>
      </c>
      <c r="N85" s="470">
        <f t="shared" si="71"/>
        <v>1133967.3362</v>
      </c>
      <c r="O85" s="470">
        <f t="shared" si="72"/>
        <v>3535869.3448</v>
      </c>
      <c r="P85" s="470">
        <f t="shared" si="73"/>
        <v>21000</v>
      </c>
      <c r="Q85" s="470">
        <f t="shared" si="74"/>
        <v>33000</v>
      </c>
      <c r="R85" s="470">
        <f t="shared" si="75"/>
        <v>75000</v>
      </c>
      <c r="S85" s="470">
        <f t="shared" si="76"/>
        <v>95000</v>
      </c>
      <c r="T85" s="470">
        <f t="shared" si="77"/>
        <v>336000</v>
      </c>
      <c r="U85" s="470">
        <f t="shared" si="78"/>
        <v>80608.642752</v>
      </c>
      <c r="V85" s="470">
        <f t="shared" si="79"/>
        <v>640608.642752</v>
      </c>
      <c r="W85" s="471">
        <v>12</v>
      </c>
      <c r="X85" s="470">
        <f t="shared" si="80"/>
        <v>53384.0535626667</v>
      </c>
      <c r="Y85" s="476"/>
      <c r="Z85" s="551">
        <f t="shared" si="81"/>
        <v>53384.0535626667</v>
      </c>
      <c r="AA85" s="551">
        <v>49548.7761866667</v>
      </c>
      <c r="AB85" s="552">
        <f t="shared" si="83"/>
        <v>3835.27737599997</v>
      </c>
      <c r="AC85" s="556" t="s">
        <v>213</v>
      </c>
      <c r="AD85" s="556"/>
      <c r="AE85" s="556"/>
    </row>
    <row r="86" ht="18" spans="1:31">
      <c r="A86" s="546">
        <v>74</v>
      </c>
      <c r="B86" s="11" t="s">
        <v>215</v>
      </c>
      <c r="C86" s="470">
        <v>322454.074</v>
      </c>
      <c r="D86" s="469">
        <v>12</v>
      </c>
      <c r="E86" s="470">
        <f t="shared" si="82"/>
        <v>3869448.888</v>
      </c>
      <c r="F86" s="470"/>
      <c r="G86" s="476"/>
      <c r="H86" s="476"/>
      <c r="I86" s="470">
        <f t="shared" si="68"/>
        <v>3869448.888</v>
      </c>
      <c r="J86" s="470">
        <v>200000</v>
      </c>
      <c r="K86" s="470">
        <v>0.2</v>
      </c>
      <c r="L86" s="470">
        <f t="shared" si="69"/>
        <v>773889.7776</v>
      </c>
      <c r="M86" s="470">
        <f t="shared" si="70"/>
        <v>973889.7776</v>
      </c>
      <c r="N86" s="470">
        <f t="shared" si="71"/>
        <v>973889.7776</v>
      </c>
      <c r="O86" s="470">
        <f t="shared" si="72"/>
        <v>2895559.1104</v>
      </c>
      <c r="P86" s="470">
        <f t="shared" si="73"/>
        <v>21000</v>
      </c>
      <c r="Q86" s="470">
        <f t="shared" si="74"/>
        <v>33000</v>
      </c>
      <c r="R86" s="470">
        <f t="shared" si="75"/>
        <v>75000</v>
      </c>
      <c r="S86" s="470">
        <f t="shared" si="76"/>
        <v>95000</v>
      </c>
      <c r="T86" s="470">
        <f t="shared" si="77"/>
        <v>272067.413184</v>
      </c>
      <c r="U86" s="470"/>
      <c r="V86" s="470">
        <f t="shared" si="79"/>
        <v>496067.413184</v>
      </c>
      <c r="W86" s="471">
        <v>12</v>
      </c>
      <c r="X86" s="470">
        <f t="shared" si="80"/>
        <v>41338.9510986667</v>
      </c>
      <c r="Y86" s="476"/>
      <c r="Z86" s="470">
        <f t="shared" si="81"/>
        <v>41338.9510986667</v>
      </c>
      <c r="AA86" s="559">
        <v>53384.0535626667</v>
      </c>
      <c r="AB86" s="554">
        <f t="shared" si="83"/>
        <v>-12045.102464</v>
      </c>
      <c r="AC86" s="213" t="s">
        <v>215</v>
      </c>
      <c r="AD86" s="213"/>
      <c r="AE86" s="213"/>
    </row>
    <row r="87" ht="24" customHeight="1" spans="1:31">
      <c r="A87" s="546">
        <v>75</v>
      </c>
      <c r="B87" s="11" t="s">
        <v>216</v>
      </c>
      <c r="C87" s="470">
        <v>346713.03325</v>
      </c>
      <c r="D87" s="469">
        <v>12</v>
      </c>
      <c r="E87" s="470">
        <f t="shared" si="82"/>
        <v>4160556.399</v>
      </c>
      <c r="F87" s="470">
        <f>'[6]JANUARY 2024'!$V$92*12</f>
        <v>6922.497</v>
      </c>
      <c r="G87" s="476"/>
      <c r="H87" s="476"/>
      <c r="I87" s="470">
        <f t="shared" si="68"/>
        <v>4153633.902</v>
      </c>
      <c r="J87" s="470">
        <v>200000</v>
      </c>
      <c r="K87" s="470">
        <v>0.2</v>
      </c>
      <c r="L87" s="470">
        <f t="shared" si="69"/>
        <v>830726.7804</v>
      </c>
      <c r="M87" s="470">
        <f t="shared" si="70"/>
        <v>1030726.7804</v>
      </c>
      <c r="N87" s="470">
        <f t="shared" si="71"/>
        <v>1037649.2774</v>
      </c>
      <c r="O87" s="470">
        <f t="shared" si="72"/>
        <v>3122907.1216</v>
      </c>
      <c r="P87" s="470">
        <f t="shared" si="73"/>
        <v>21000</v>
      </c>
      <c r="Q87" s="470">
        <f t="shared" si="74"/>
        <v>33000</v>
      </c>
      <c r="R87" s="470">
        <f t="shared" si="75"/>
        <v>75000</v>
      </c>
      <c r="S87" s="470">
        <f t="shared" si="76"/>
        <v>95000</v>
      </c>
      <c r="T87" s="470">
        <f t="shared" si="77"/>
        <v>319810.495536</v>
      </c>
      <c r="U87" s="470"/>
      <c r="V87" s="470">
        <f t="shared" si="79"/>
        <v>543810.495536</v>
      </c>
      <c r="W87" s="471">
        <v>12</v>
      </c>
      <c r="X87" s="470">
        <f t="shared" si="80"/>
        <v>45317.5412946667</v>
      </c>
      <c r="Y87" s="476"/>
      <c r="Z87" s="551">
        <f t="shared" si="81"/>
        <v>45317.5412946667</v>
      </c>
      <c r="AA87" s="551">
        <v>41242.0361406667</v>
      </c>
      <c r="AB87" s="552">
        <f t="shared" si="83"/>
        <v>4075.50515399997</v>
      </c>
      <c r="AC87" s="213" t="s">
        <v>216</v>
      </c>
      <c r="AD87" s="213"/>
      <c r="AE87" s="213"/>
    </row>
    <row r="88" ht="18" spans="1:31">
      <c r="A88" s="546">
        <v>76</v>
      </c>
      <c r="B88" s="11" t="s">
        <v>220</v>
      </c>
      <c r="C88" s="470">
        <v>277734.047</v>
      </c>
      <c r="D88" s="469">
        <v>12</v>
      </c>
      <c r="E88" s="470">
        <f t="shared" ref="E88:E89" si="84">C88*D88</f>
        <v>3332808.564</v>
      </c>
      <c r="F88" s="470"/>
      <c r="G88" s="476"/>
      <c r="H88" s="476"/>
      <c r="I88" s="470">
        <f t="shared" si="68"/>
        <v>3332808.564</v>
      </c>
      <c r="J88" s="470">
        <v>200000</v>
      </c>
      <c r="K88" s="470">
        <v>0.2</v>
      </c>
      <c r="L88" s="470">
        <f t="shared" si="69"/>
        <v>666561.7128</v>
      </c>
      <c r="M88" s="470">
        <f t="shared" si="70"/>
        <v>866561.7128</v>
      </c>
      <c r="N88" s="470">
        <f t="shared" si="71"/>
        <v>866561.7128</v>
      </c>
      <c r="O88" s="470">
        <f t="shared" si="72"/>
        <v>2466246.8512</v>
      </c>
      <c r="P88" s="470">
        <f t="shared" si="73"/>
        <v>21000</v>
      </c>
      <c r="Q88" s="470">
        <f t="shared" si="74"/>
        <v>33000</v>
      </c>
      <c r="R88" s="470">
        <f t="shared" si="75"/>
        <v>75000</v>
      </c>
      <c r="S88" s="470">
        <f t="shared" si="76"/>
        <v>95000</v>
      </c>
      <c r="T88" s="470">
        <f t="shared" si="77"/>
        <v>181911.838752</v>
      </c>
      <c r="U88" s="470"/>
      <c r="V88" s="470">
        <f t="shared" si="79"/>
        <v>405911.838752</v>
      </c>
      <c r="W88" s="471">
        <v>12</v>
      </c>
      <c r="X88" s="470">
        <f t="shared" si="80"/>
        <v>33825.9865626667</v>
      </c>
      <c r="Y88" s="476"/>
      <c r="Z88" s="470">
        <f t="shared" si="81"/>
        <v>33825.9865626667</v>
      </c>
      <c r="AA88" s="549">
        <v>45414.4562526667</v>
      </c>
      <c r="AB88" s="554">
        <f t="shared" ref="AB88:AB89" si="85">Z88-AA88</f>
        <v>-11588.46969</v>
      </c>
      <c r="AC88" s="213" t="s">
        <v>220</v>
      </c>
      <c r="AD88" s="213"/>
      <c r="AE88" s="213"/>
    </row>
    <row r="89" ht="18" spans="1:31">
      <c r="A89" s="546"/>
      <c r="B89" s="11" t="s">
        <v>224</v>
      </c>
      <c r="C89" s="470">
        <v>254870.263445</v>
      </c>
      <c r="D89" s="469">
        <v>12</v>
      </c>
      <c r="E89" s="470">
        <f t="shared" si="84"/>
        <v>3058443.16134</v>
      </c>
      <c r="F89" s="470"/>
      <c r="G89" s="476"/>
      <c r="H89" s="476"/>
      <c r="I89" s="470">
        <f t="shared" si="68"/>
        <v>3058443.16134</v>
      </c>
      <c r="J89" s="470">
        <v>200000</v>
      </c>
      <c r="K89" s="470">
        <v>0.2</v>
      </c>
      <c r="L89" s="470">
        <f t="shared" si="69"/>
        <v>611688.632268</v>
      </c>
      <c r="M89" s="470">
        <f t="shared" si="70"/>
        <v>811688.632268</v>
      </c>
      <c r="N89" s="470">
        <f t="shared" si="71"/>
        <v>811688.632268</v>
      </c>
      <c r="O89" s="470">
        <f t="shared" si="72"/>
        <v>2246754.529072</v>
      </c>
      <c r="P89" s="470">
        <f t="shared" si="73"/>
        <v>21000</v>
      </c>
      <c r="Q89" s="470">
        <f t="shared" si="74"/>
        <v>33000</v>
      </c>
      <c r="R89" s="470">
        <f t="shared" si="75"/>
        <v>75000</v>
      </c>
      <c r="S89" s="470">
        <f t="shared" si="76"/>
        <v>95000</v>
      </c>
      <c r="T89" s="470">
        <f t="shared" si="77"/>
        <v>135818.45110512</v>
      </c>
      <c r="U89" s="470"/>
      <c r="V89" s="470">
        <f t="shared" si="79"/>
        <v>359818.45110512</v>
      </c>
      <c r="W89" s="471">
        <v>12</v>
      </c>
      <c r="X89" s="470">
        <f t="shared" si="80"/>
        <v>29984.8709254267</v>
      </c>
      <c r="Y89" s="476"/>
      <c r="Z89" s="470">
        <f t="shared" si="81"/>
        <v>29984.8709254267</v>
      </c>
      <c r="AA89" s="549">
        <v>33825.9865626667</v>
      </c>
      <c r="AB89" s="554">
        <f t="shared" si="85"/>
        <v>-3841.11563724003</v>
      </c>
      <c r="AC89" s="213" t="s">
        <v>224</v>
      </c>
      <c r="AD89" s="213"/>
      <c r="AE89" s="213"/>
    </row>
    <row r="90" ht="17.5" spans="1:31">
      <c r="A90" s="546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6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213"/>
      <c r="AB91" s="213"/>
      <c r="AC91" s="213"/>
      <c r="AD91" s="213"/>
      <c r="AE91" s="213"/>
    </row>
    <row r="92" ht="17.5" spans="1:31">
      <c r="A92" s="546">
        <v>78</v>
      </c>
      <c r="B92" s="20" t="s">
        <v>226</v>
      </c>
      <c r="C92" s="470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55">
        <v>79</v>
      </c>
      <c r="B93" s="14" t="s">
        <v>227</v>
      </c>
      <c r="C93" s="470">
        <v>541465.02475</v>
      </c>
      <c r="D93" s="469">
        <v>12</v>
      </c>
      <c r="E93" s="470">
        <f>C93*D93</f>
        <v>6497580.297</v>
      </c>
      <c r="F93" s="470">
        <f>'[6]JANUARY 2024'!$V$98*12</f>
        <v>12795.951</v>
      </c>
      <c r="G93" s="476"/>
      <c r="H93" s="476"/>
      <c r="I93" s="470">
        <f>E93-F93-G93-H93</f>
        <v>6484784.346</v>
      </c>
      <c r="J93" s="470">
        <v>200000</v>
      </c>
      <c r="K93" s="470">
        <v>0.2</v>
      </c>
      <c r="L93" s="470">
        <f>I93*K93</f>
        <v>1296956.8692</v>
      </c>
      <c r="M93" s="470">
        <f>J93+L93</f>
        <v>1496956.8692</v>
      </c>
      <c r="N93" s="470">
        <f>F93+G93+H93+M93</f>
        <v>1509752.8202</v>
      </c>
      <c r="O93" s="470">
        <f>E93-N93</f>
        <v>4987827.4768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429078.594432</v>
      </c>
      <c r="V93" s="470">
        <f>P93+Q93+R93+S93+T93+U93</f>
        <v>989078.594432</v>
      </c>
      <c r="W93" s="471">
        <v>12</v>
      </c>
      <c r="X93" s="470">
        <f>V93/W93</f>
        <v>82423.2162026667</v>
      </c>
      <c r="Y93" s="476"/>
      <c r="Z93" s="470">
        <f>X93</f>
        <v>82423.2162026667</v>
      </c>
      <c r="AA93" s="213">
        <v>82423.2162026667</v>
      </c>
      <c r="AB93" s="554">
        <f>Z93-AA93</f>
        <v>0</v>
      </c>
      <c r="AC93" s="556" t="s">
        <v>227</v>
      </c>
      <c r="AD93" s="556"/>
      <c r="AE93" s="556"/>
    </row>
    <row r="94" ht="18" spans="1:31">
      <c r="A94" s="546">
        <v>80</v>
      </c>
      <c r="B94" s="11" t="s">
        <v>229</v>
      </c>
      <c r="C94" s="470">
        <v>335272.06375</v>
      </c>
      <c r="D94" s="469">
        <v>12</v>
      </c>
      <c r="E94" s="470">
        <f t="shared" ref="E94:E96" si="86">C94*D94</f>
        <v>4023264.765</v>
      </c>
      <c r="F94" s="470"/>
      <c r="G94" s="476"/>
      <c r="H94" s="476"/>
      <c r="I94" s="470">
        <f>E94-F94-G94-H94</f>
        <v>4023264.765</v>
      </c>
      <c r="J94" s="470">
        <v>200000</v>
      </c>
      <c r="K94" s="470">
        <v>0.2</v>
      </c>
      <c r="L94" s="470">
        <f>I94*K94</f>
        <v>804652.953</v>
      </c>
      <c r="M94" s="470">
        <f>J94+L94</f>
        <v>1004652.953</v>
      </c>
      <c r="N94" s="470">
        <f>F94+G94+H94+M94</f>
        <v>1004652.953</v>
      </c>
      <c r="O94" s="470">
        <f>E94-N94</f>
        <v>3018611.812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297908.48052</v>
      </c>
      <c r="U94" s="470"/>
      <c r="V94" s="470">
        <f>P94+Q94+R94+S94+T94+U94</f>
        <v>521908.48052</v>
      </c>
      <c r="W94" s="471">
        <v>12</v>
      </c>
      <c r="X94" s="470">
        <f>V94/W94</f>
        <v>43492.3733766667</v>
      </c>
      <c r="Y94" s="476"/>
      <c r="Z94" s="470">
        <f>X94</f>
        <v>43492.3733766667</v>
      </c>
      <c r="AA94" s="556">
        <v>82627.9514186667</v>
      </c>
      <c r="AB94" s="554">
        <f t="shared" ref="AB94:AB96" si="87">Z94-AA94</f>
        <v>-39135.578042</v>
      </c>
      <c r="AC94" s="213" t="s">
        <v>229</v>
      </c>
      <c r="AD94" s="213"/>
      <c r="AE94" s="213"/>
    </row>
    <row r="95" ht="18" spans="1:31">
      <c r="A95" s="546">
        <v>81</v>
      </c>
      <c r="B95" s="11" t="s">
        <v>235</v>
      </c>
      <c r="C95" s="470">
        <v>284536.9985</v>
      </c>
      <c r="D95" s="469">
        <v>12</v>
      </c>
      <c r="E95" s="470">
        <f t="shared" si="86"/>
        <v>3414443.982</v>
      </c>
      <c r="F95" s="470"/>
      <c r="G95" s="476"/>
      <c r="H95" s="476"/>
      <c r="I95" s="470">
        <f>E95-F95-G95-H95</f>
        <v>3414443.982</v>
      </c>
      <c r="J95" s="470">
        <v>200000</v>
      </c>
      <c r="K95" s="470">
        <v>0.2</v>
      </c>
      <c r="L95" s="470">
        <f>I95*K95</f>
        <v>682888.7964</v>
      </c>
      <c r="M95" s="470">
        <f>J95+L95</f>
        <v>882888.7964</v>
      </c>
      <c r="N95" s="470">
        <f>F95+G95+H95+M95</f>
        <v>882888.7964</v>
      </c>
      <c r="O95" s="470">
        <f>E95-N95</f>
        <v>2531555.1856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195626.588976</v>
      </c>
      <c r="U95" s="470"/>
      <c r="V95" s="470">
        <f>P95+Q95+R95+S95+T95+U95</f>
        <v>419626.588976</v>
      </c>
      <c r="W95" s="471">
        <v>12</v>
      </c>
      <c r="X95" s="470">
        <f>V95/W95</f>
        <v>34968.8824146667</v>
      </c>
      <c r="Y95" s="476"/>
      <c r="Z95" s="470">
        <f>X95</f>
        <v>34968.8824146667</v>
      </c>
      <c r="AA95" s="213">
        <v>43492.3733766667</v>
      </c>
      <c r="AB95" s="554">
        <f t="shared" si="87"/>
        <v>-8523.49096200003</v>
      </c>
      <c r="AC95" s="213" t="s">
        <v>235</v>
      </c>
      <c r="AD95" s="213"/>
      <c r="AE95" s="213"/>
    </row>
    <row r="96" ht="18" spans="1:31">
      <c r="A96" s="546"/>
      <c r="B96" s="11" t="s">
        <v>236</v>
      </c>
      <c r="C96" s="470">
        <v>237734.047</v>
      </c>
      <c r="D96" s="469">
        <v>12</v>
      </c>
      <c r="E96" s="470">
        <f t="shared" si="86"/>
        <v>2852808.564</v>
      </c>
      <c r="F96" s="470"/>
      <c r="G96" s="476"/>
      <c r="H96" s="476"/>
      <c r="I96" s="470">
        <f>E96-F96-G96-H96</f>
        <v>2852808.564</v>
      </c>
      <c r="J96" s="470">
        <v>200000</v>
      </c>
      <c r="K96" s="470">
        <v>0.2</v>
      </c>
      <c r="L96" s="470">
        <f>I96*K96</f>
        <v>570561.7128</v>
      </c>
      <c r="M96" s="470">
        <f>J96+L96</f>
        <v>770561.7128</v>
      </c>
      <c r="N96" s="470">
        <f>F96+G96+H96+M96</f>
        <v>770561.7128</v>
      </c>
      <c r="O96" s="470">
        <f>E96-N96</f>
        <v>2082246.8512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101271.838752</v>
      </c>
      <c r="U96" s="470"/>
      <c r="V96" s="470">
        <f>P96+Q96+R96+S96+T96+U96</f>
        <v>325271.838752</v>
      </c>
      <c r="W96" s="471">
        <v>12</v>
      </c>
      <c r="X96" s="470">
        <f>V96/W96</f>
        <v>27105.9865626667</v>
      </c>
      <c r="Y96" s="476"/>
      <c r="Z96" s="470">
        <f>X96</f>
        <v>27105.9865626667</v>
      </c>
      <c r="AA96" s="213">
        <v>34968.8824146667</v>
      </c>
      <c r="AB96" s="554">
        <f t="shared" si="87"/>
        <v>-7862.89585200003</v>
      </c>
      <c r="AC96" s="213" t="s">
        <v>236</v>
      </c>
      <c r="AD96" s="213"/>
      <c r="AE96" s="213"/>
    </row>
    <row r="97" ht="17.5" spans="1:31">
      <c r="A97" s="546"/>
      <c r="B97" s="20" t="s">
        <v>120</v>
      </c>
      <c r="C97" s="470"/>
      <c r="D97" s="469"/>
      <c r="E97" s="470"/>
      <c r="F97" s="470"/>
      <c r="G97" s="476"/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6">
        <v>83</v>
      </c>
      <c r="B98" s="22"/>
      <c r="C98" s="470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6">
        <v>84</v>
      </c>
      <c r="B99" s="20" t="s">
        <v>239</v>
      </c>
      <c r="C99" s="470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883</v>
      </c>
      <c r="AC99" s="213"/>
      <c r="AD99" s="213"/>
      <c r="AE99" s="213"/>
    </row>
    <row r="100" ht="18" spans="1:31">
      <c r="A100" s="546">
        <v>85</v>
      </c>
      <c r="B100" s="11" t="s">
        <v>652</v>
      </c>
      <c r="C100" s="470">
        <v>1050209.0635</v>
      </c>
      <c r="D100" s="469">
        <v>12</v>
      </c>
      <c r="E100" s="470">
        <f>C100*D100</f>
        <v>12602508.762</v>
      </c>
      <c r="F100" s="470"/>
      <c r="G100" s="476"/>
      <c r="H100" s="476"/>
      <c r="I100" s="470">
        <f t="shared" ref="I100:I105" si="88">E100-F100-G100-H100</f>
        <v>12602508.762</v>
      </c>
      <c r="J100" s="470">
        <v>200000</v>
      </c>
      <c r="K100" s="470">
        <v>0.2</v>
      </c>
      <c r="L100" s="470">
        <f t="shared" ref="L100:L106" si="89">I100*K100</f>
        <v>2520501.7524</v>
      </c>
      <c r="M100" s="470">
        <f t="shared" ref="M100:M106" si="90">J100+L100</f>
        <v>2720501.7524</v>
      </c>
      <c r="N100" s="470">
        <f t="shared" ref="N100:N105" si="91">F100+G100+H100+M100</f>
        <v>2720501.7524</v>
      </c>
      <c r="O100" s="470">
        <f t="shared" ref="O100:O106" si="92">E100-N100</f>
        <v>9882007.0096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1603681.682304</v>
      </c>
      <c r="V100" s="470">
        <f t="shared" ref="V100:V106" si="98">P100+Q100+R100+S100+T100+U100</f>
        <v>2163681.682304</v>
      </c>
      <c r="W100" s="471">
        <v>12</v>
      </c>
      <c r="X100" s="470">
        <f t="shared" ref="X100:X106" si="99">V100/W100</f>
        <v>180306.806858667</v>
      </c>
      <c r="Y100" s="476"/>
      <c r="Z100" s="470">
        <f t="shared" ref="Z100:Z106" si="100">X100</f>
        <v>180306.806858667</v>
      </c>
      <c r="AA100" s="213">
        <v>180306.806858667</v>
      </c>
      <c r="AB100" s="554">
        <f>Z100-AA100</f>
        <v>-3.78349795937538e-10</v>
      </c>
      <c r="AC100" s="213" t="s">
        <v>652</v>
      </c>
      <c r="AD100" s="213"/>
      <c r="AE100" s="213"/>
    </row>
    <row r="101" ht="18" spans="1:31">
      <c r="A101" s="546">
        <v>86</v>
      </c>
      <c r="B101" s="11" t="s">
        <v>242</v>
      </c>
      <c r="C101" s="470">
        <v>631465.02475</v>
      </c>
      <c r="D101" s="469">
        <v>12</v>
      </c>
      <c r="E101" s="470">
        <f t="shared" ref="E101:E106" si="101">C101*D101</f>
        <v>7577580.297</v>
      </c>
      <c r="F101" s="470">
        <f>'[6]JANUARY 2024'!$V$106*12</f>
        <v>12795.951</v>
      </c>
      <c r="G101" s="476"/>
      <c r="H101" s="476"/>
      <c r="I101" s="470">
        <f t="shared" si="88"/>
        <v>7564784.346</v>
      </c>
      <c r="J101" s="470">
        <v>200000</v>
      </c>
      <c r="K101" s="470">
        <v>0.2</v>
      </c>
      <c r="L101" s="470">
        <f t="shared" si="89"/>
        <v>1512956.8692</v>
      </c>
      <c r="M101" s="470">
        <f t="shared" si="90"/>
        <v>1712956.8692</v>
      </c>
      <c r="N101" s="470">
        <f t="shared" si="91"/>
        <v>1725752.8202</v>
      </c>
      <c r="O101" s="470">
        <f t="shared" si="92"/>
        <v>5851827.4768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636438.594432</v>
      </c>
      <c r="V101" s="470">
        <f t="shared" si="98"/>
        <v>1196438.594432</v>
      </c>
      <c r="W101" s="471">
        <v>12</v>
      </c>
      <c r="X101" s="470">
        <f t="shared" si="99"/>
        <v>99703.2162026667</v>
      </c>
      <c r="Y101" s="476"/>
      <c r="Z101" s="470">
        <f t="shared" si="100"/>
        <v>99703.2162026667</v>
      </c>
      <c r="AA101" s="213">
        <v>99703.2162026667</v>
      </c>
      <c r="AB101" s="554">
        <f t="shared" ref="AB101:AB106" si="102">Z101-AA101</f>
        <v>0</v>
      </c>
      <c r="AC101" s="213" t="s">
        <v>242</v>
      </c>
      <c r="AD101" s="213"/>
      <c r="AE101" s="213"/>
    </row>
    <row r="102" ht="18" spans="1:31">
      <c r="A102" s="546">
        <v>87</v>
      </c>
      <c r="B102" s="11" t="s">
        <v>244</v>
      </c>
      <c r="C102" s="470">
        <v>418096.016025</v>
      </c>
      <c r="D102" s="469">
        <v>12</v>
      </c>
      <c r="E102" s="470">
        <f t="shared" si="101"/>
        <v>5017152.1923</v>
      </c>
      <c r="F102" s="470">
        <f>'[6]JANUARY 2024'!$V$107*12</f>
        <v>7901.79</v>
      </c>
      <c r="G102" s="476"/>
      <c r="H102" s="476"/>
      <c r="I102" s="470">
        <f t="shared" si="88"/>
        <v>5009250.4023</v>
      </c>
      <c r="J102" s="470">
        <v>200000</v>
      </c>
      <c r="K102" s="470">
        <v>0.2</v>
      </c>
      <c r="L102" s="470">
        <f t="shared" si="89"/>
        <v>1001850.08046</v>
      </c>
      <c r="M102" s="470">
        <f t="shared" si="90"/>
        <v>1201850.08046</v>
      </c>
      <c r="N102" s="470">
        <f t="shared" si="91"/>
        <v>1209751.87046</v>
      </c>
      <c r="O102" s="470">
        <f t="shared" si="92"/>
        <v>3807400.32184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145776.0772416</v>
      </c>
      <c r="V102" s="470">
        <f t="shared" si="98"/>
        <v>705776.0772416</v>
      </c>
      <c r="W102" s="471">
        <v>12</v>
      </c>
      <c r="X102" s="470">
        <f t="shared" si="99"/>
        <v>58814.6731034667</v>
      </c>
      <c r="Y102" s="476"/>
      <c r="Z102" s="470">
        <f t="shared" si="100"/>
        <v>58814.6731034667</v>
      </c>
      <c r="AA102" s="213">
        <v>180180.378218667</v>
      </c>
      <c r="AB102" s="554">
        <f t="shared" si="102"/>
        <v>-121365.7051152</v>
      </c>
      <c r="AC102" s="213" t="s">
        <v>244</v>
      </c>
      <c r="AD102" s="213"/>
      <c r="AE102" s="213"/>
    </row>
    <row r="103" ht="18" spans="1:31">
      <c r="A103" s="546">
        <v>88</v>
      </c>
      <c r="B103" s="11" t="s">
        <v>246</v>
      </c>
      <c r="C103" s="470">
        <v>416483.194155</v>
      </c>
      <c r="D103" s="469">
        <v>12</v>
      </c>
      <c r="E103" s="470">
        <f t="shared" si="101"/>
        <v>4997798.32986</v>
      </c>
      <c r="F103" s="470"/>
      <c r="G103" s="476"/>
      <c r="H103" s="476"/>
      <c r="I103" s="470">
        <f t="shared" si="88"/>
        <v>4997798.32986</v>
      </c>
      <c r="J103" s="470">
        <v>200000</v>
      </c>
      <c r="K103" s="470">
        <v>0.2</v>
      </c>
      <c r="L103" s="470">
        <f t="shared" si="89"/>
        <v>999559.665972</v>
      </c>
      <c r="M103" s="470">
        <f t="shared" si="90"/>
        <v>1199559.665972</v>
      </c>
      <c r="N103" s="470">
        <f t="shared" si="91"/>
        <v>1199559.665972</v>
      </c>
      <c r="O103" s="470">
        <f t="shared" si="92"/>
        <v>3798238.663888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143577.27933312</v>
      </c>
      <c r="V103" s="470">
        <f t="shared" si="98"/>
        <v>703577.27933312</v>
      </c>
      <c r="W103" s="471">
        <v>12</v>
      </c>
      <c r="X103" s="470">
        <f t="shared" si="99"/>
        <v>58631.4399444267</v>
      </c>
      <c r="Y103" s="476"/>
      <c r="Z103" s="470">
        <f t="shared" si="100"/>
        <v>58631.4399444267</v>
      </c>
      <c r="AA103" s="213">
        <v>99907.9514186667</v>
      </c>
      <c r="AB103" s="554">
        <f t="shared" si="102"/>
        <v>-41276.51147424</v>
      </c>
      <c r="AC103" s="213" t="s">
        <v>246</v>
      </c>
      <c r="AD103" s="213"/>
      <c r="AE103" s="213"/>
    </row>
    <row r="104" ht="18" spans="1:31">
      <c r="A104" s="546">
        <v>89</v>
      </c>
      <c r="B104" s="11" t="s">
        <v>249</v>
      </c>
      <c r="C104" s="470">
        <v>266099.21748</v>
      </c>
      <c r="D104" s="469">
        <v>12</v>
      </c>
      <c r="E104" s="470">
        <f t="shared" si="101"/>
        <v>3193190.60976</v>
      </c>
      <c r="F104" s="470"/>
      <c r="G104" s="476"/>
      <c r="H104" s="476"/>
      <c r="I104" s="470">
        <f t="shared" si="88"/>
        <v>3193190.60976</v>
      </c>
      <c r="J104" s="470">
        <v>200000</v>
      </c>
      <c r="K104" s="470">
        <v>0.2</v>
      </c>
      <c r="L104" s="470">
        <f t="shared" si="89"/>
        <v>638638.121952</v>
      </c>
      <c r="M104" s="470">
        <f t="shared" si="90"/>
        <v>838638.121952</v>
      </c>
      <c r="N104" s="470">
        <f t="shared" si="91"/>
        <v>838638.121952</v>
      </c>
      <c r="O104" s="470">
        <f t="shared" si="92"/>
        <v>2354552.487808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158456.02243968</v>
      </c>
      <c r="U104" s="470"/>
      <c r="V104" s="470">
        <f t="shared" si="98"/>
        <v>382456.02243968</v>
      </c>
      <c r="W104" s="471">
        <v>12</v>
      </c>
      <c r="X104" s="470">
        <f t="shared" si="99"/>
        <v>31871.3352033067</v>
      </c>
      <c r="Y104" s="476"/>
      <c r="Z104" s="470">
        <f t="shared" si="100"/>
        <v>31871.3352033067</v>
      </c>
      <c r="AA104" s="213">
        <v>58941.1017434667</v>
      </c>
      <c r="AB104" s="554">
        <f t="shared" si="102"/>
        <v>-27069.76654016</v>
      </c>
      <c r="AC104" s="213" t="s">
        <v>249</v>
      </c>
      <c r="AD104" s="213"/>
      <c r="AE104" s="213"/>
    </row>
    <row r="105" ht="36" spans="1:31">
      <c r="A105" s="546"/>
      <c r="B105" s="18" t="s">
        <v>252</v>
      </c>
      <c r="C105" s="470">
        <v>262229.041</v>
      </c>
      <c r="D105" s="469">
        <v>12</v>
      </c>
      <c r="E105" s="470">
        <f t="shared" si="101"/>
        <v>3146748.492</v>
      </c>
      <c r="F105" s="470"/>
      <c r="G105" s="476"/>
      <c r="H105" s="476"/>
      <c r="I105" s="470">
        <f t="shared" si="88"/>
        <v>3146748.492</v>
      </c>
      <c r="J105" s="470">
        <v>200000</v>
      </c>
      <c r="K105" s="470">
        <v>0.2</v>
      </c>
      <c r="L105" s="470">
        <f t="shared" si="89"/>
        <v>629349.6984</v>
      </c>
      <c r="M105" s="470">
        <f t="shared" si="90"/>
        <v>829349.6984</v>
      </c>
      <c r="N105" s="470">
        <f t="shared" si="91"/>
        <v>829349.6984</v>
      </c>
      <c r="O105" s="470">
        <f t="shared" si="92"/>
        <v>2317398.7936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150653.746656</v>
      </c>
      <c r="U105" s="470"/>
      <c r="V105" s="470">
        <f t="shared" si="98"/>
        <v>374653.746656</v>
      </c>
      <c r="W105" s="471">
        <v>12</v>
      </c>
      <c r="X105" s="470">
        <f t="shared" si="99"/>
        <v>31221.1455546667</v>
      </c>
      <c r="Y105" s="476"/>
      <c r="Z105" s="470">
        <f t="shared" si="100"/>
        <v>31221.1455546667</v>
      </c>
      <c r="AA105" s="213">
        <v>58631.4399444267</v>
      </c>
      <c r="AB105" s="554">
        <f t="shared" si="102"/>
        <v>-27410.29438976</v>
      </c>
      <c r="AC105" s="213" t="s">
        <v>252</v>
      </c>
      <c r="AD105" s="213"/>
      <c r="AE105" s="213"/>
    </row>
    <row r="106" ht="18" spans="1:31">
      <c r="A106" s="546"/>
      <c r="B106" s="18" t="s">
        <v>253</v>
      </c>
      <c r="C106" s="470">
        <v>254870.263445</v>
      </c>
      <c r="D106" s="469">
        <v>12</v>
      </c>
      <c r="E106" s="470">
        <f t="shared" si="101"/>
        <v>3058443.16134</v>
      </c>
      <c r="F106" s="296"/>
      <c r="G106" s="476"/>
      <c r="H106" s="476"/>
      <c r="I106" s="470">
        <f>E106-F107-G106-H106</f>
        <v>3058443.16134</v>
      </c>
      <c r="J106" s="470">
        <v>200000</v>
      </c>
      <c r="K106" s="470">
        <v>0.2</v>
      </c>
      <c r="L106" s="470">
        <f t="shared" si="89"/>
        <v>611688.632268</v>
      </c>
      <c r="M106" s="470">
        <f t="shared" si="90"/>
        <v>811688.632268</v>
      </c>
      <c r="N106" s="470">
        <f>F107+G106+H106+M106</f>
        <v>811688.632268</v>
      </c>
      <c r="O106" s="470">
        <f t="shared" si="92"/>
        <v>2246754.529072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135818.45110512</v>
      </c>
      <c r="U106" s="470"/>
      <c r="V106" s="470">
        <f t="shared" si="98"/>
        <v>359818.45110512</v>
      </c>
      <c r="W106" s="471">
        <v>12</v>
      </c>
      <c r="X106" s="470">
        <f t="shared" si="99"/>
        <v>29984.8709254267</v>
      </c>
      <c r="Y106" s="476"/>
      <c r="Z106" s="470">
        <f t="shared" si="100"/>
        <v>29984.8709254267</v>
      </c>
      <c r="AA106" s="213">
        <v>31871.3352033067</v>
      </c>
      <c r="AB106" s="554">
        <f t="shared" si="102"/>
        <v>-1886.46427788003</v>
      </c>
      <c r="AC106" s="213" t="s">
        <v>253</v>
      </c>
      <c r="AD106" s="213"/>
      <c r="AE106" s="213"/>
    </row>
    <row r="107" ht="17.5" spans="1:31">
      <c r="A107" s="546"/>
      <c r="B107" s="20" t="s">
        <v>120</v>
      </c>
      <c r="C107" s="470"/>
      <c r="D107" s="469"/>
      <c r="E107" s="470"/>
      <c r="F107" s="470"/>
      <c r="G107" s="476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6">
        <v>90</v>
      </c>
      <c r="B108" s="20"/>
      <c r="C108" s="470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70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6">
        <v>91</v>
      </c>
      <c r="B109" s="20" t="s">
        <v>257</v>
      </c>
      <c r="C109" s="470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70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6">
        <v>92</v>
      </c>
      <c r="B110" s="14" t="s">
        <v>165</v>
      </c>
      <c r="C110" s="470">
        <v>516137.05</v>
      </c>
      <c r="D110" s="469">
        <v>12</v>
      </c>
      <c r="E110" s="470">
        <f>C110*D110</f>
        <v>6193644.6</v>
      </c>
      <c r="F110" s="470">
        <f>'[6]JANUARY 2024'!$V$115*12</f>
        <v>9678.96</v>
      </c>
      <c r="G110" s="476"/>
      <c r="H110" s="476"/>
      <c r="I110" s="470">
        <f>E110-F110-G110-H110</f>
        <v>6183965.64</v>
      </c>
      <c r="J110" s="470">
        <v>200000</v>
      </c>
      <c r="K110" s="470">
        <v>0.2</v>
      </c>
      <c r="L110" s="470">
        <f>I110*K110</f>
        <v>1236793.128</v>
      </c>
      <c r="M110" s="470">
        <f>J110+L110</f>
        <v>1436793.128</v>
      </c>
      <c r="N110" s="470">
        <f>F110+G110+H110+M110</f>
        <v>1446472.088</v>
      </c>
      <c r="O110" s="470">
        <f>E110-N110</f>
        <v>4747172.512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31" si="103">0.24*(O110-3200000)</f>
        <v>371321.40288</v>
      </c>
      <c r="V110" s="470">
        <f>P110+Q110+R110+S110+T110+U110</f>
        <v>931321.40288</v>
      </c>
      <c r="W110" s="471">
        <v>12</v>
      </c>
      <c r="X110" s="470">
        <f>V110/W110</f>
        <v>77610.1169066667</v>
      </c>
      <c r="Y110" s="476"/>
      <c r="Z110" s="470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6">
        <v>93</v>
      </c>
      <c r="B111" s="11" t="s">
        <v>259</v>
      </c>
      <c r="C111" s="470">
        <v>334536.9985</v>
      </c>
      <c r="D111" s="469">
        <v>12</v>
      </c>
      <c r="E111" s="470">
        <f t="shared" ref="E111:E112" si="104">C111*D111</f>
        <v>4014443.982</v>
      </c>
      <c r="F111" s="470"/>
      <c r="G111" s="476"/>
      <c r="H111" s="476"/>
      <c r="I111" s="470">
        <f>E111-F111-G111-H111</f>
        <v>4014443.982</v>
      </c>
      <c r="J111" s="470">
        <v>200000</v>
      </c>
      <c r="K111" s="470">
        <v>0.2</v>
      </c>
      <c r="L111" s="470">
        <f>I111*K111</f>
        <v>802888.7964</v>
      </c>
      <c r="M111" s="470">
        <f>J111+L111</f>
        <v>1002888.7964</v>
      </c>
      <c r="N111" s="470">
        <f>F111+G111+H111+M111</f>
        <v>1002888.7964</v>
      </c>
      <c r="O111" s="470">
        <f>E111-N111</f>
        <v>3011555.1856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296426.588976</v>
      </c>
      <c r="U111" s="470"/>
      <c r="V111" s="470">
        <f>P111+Q111+R111+S111+T111+U111</f>
        <v>520426.588976</v>
      </c>
      <c r="W111" s="471">
        <v>12</v>
      </c>
      <c r="X111" s="470">
        <f>V111/W111</f>
        <v>43368.8824146667</v>
      </c>
      <c r="Y111" s="476"/>
      <c r="Z111" s="470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6">
        <v>94</v>
      </c>
      <c r="B112" s="11" t="s">
        <v>193</v>
      </c>
      <c r="C112" s="479">
        <v>286619.99875</v>
      </c>
      <c r="D112" s="469">
        <v>12</v>
      </c>
      <c r="E112" s="470">
        <f t="shared" si="104"/>
        <v>3439439.985</v>
      </c>
      <c r="F112" s="470">
        <f>'[6]JANUARY 2024'!$V$117*12</f>
        <v>6919.455</v>
      </c>
      <c r="G112" s="476"/>
      <c r="H112" s="476"/>
      <c r="I112" s="470">
        <f>E112-F112-G112-H112</f>
        <v>3432520.53</v>
      </c>
      <c r="J112" s="470">
        <v>200000</v>
      </c>
      <c r="K112" s="470">
        <v>0.2</v>
      </c>
      <c r="L112" s="470">
        <f>I112*K112</f>
        <v>686504.106</v>
      </c>
      <c r="M112" s="470">
        <f>J112+L112</f>
        <v>886504.106</v>
      </c>
      <c r="N112" s="470">
        <f>F112+G112+H112+M112</f>
        <v>893423.561</v>
      </c>
      <c r="O112" s="470">
        <f>E112-N112</f>
        <v>2546016.424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198663.44904</v>
      </c>
      <c r="U112" s="470"/>
      <c r="V112" s="470">
        <f>P112+Q112+R112+S112+T112+U112</f>
        <v>422663.44904</v>
      </c>
      <c r="W112" s="471">
        <v>12</v>
      </c>
      <c r="X112" s="470">
        <f>V112/W112</f>
        <v>35221.9540866667</v>
      </c>
      <c r="Y112" s="476"/>
      <c r="Z112" s="470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55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213"/>
      <c r="AC113" s="556"/>
      <c r="AD113" s="556"/>
      <c r="AE113" s="556"/>
    </row>
    <row r="114" s="537" customFormat="1" ht="17.5" spans="1:31">
      <c r="A114" s="555">
        <v>96</v>
      </c>
      <c r="B114" s="22"/>
      <c r="C114" s="470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70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6">
        <v>97</v>
      </c>
      <c r="B115" s="20" t="s">
        <v>278</v>
      </c>
      <c r="C115" s="470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70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6">
        <v>98</v>
      </c>
      <c r="B116" s="11" t="s">
        <v>279</v>
      </c>
      <c r="C116" s="470">
        <v>1050209.0635</v>
      </c>
      <c r="D116" s="469">
        <v>12</v>
      </c>
      <c r="E116" s="470">
        <f>C116*D116</f>
        <v>12602508.762</v>
      </c>
      <c r="F116" s="470">
        <f>2043.5005*12</f>
        <v>24522.006</v>
      </c>
      <c r="G116" s="476"/>
      <c r="H116" s="476"/>
      <c r="I116" s="470">
        <f>E116-F116-G116-H116</f>
        <v>12577986.756</v>
      </c>
      <c r="J116" s="470">
        <v>200000</v>
      </c>
      <c r="K116" s="470">
        <v>0.2</v>
      </c>
      <c r="L116" s="470">
        <f>I116*K116</f>
        <v>2515597.3512</v>
      </c>
      <c r="M116" s="470">
        <f>J116+L116</f>
        <v>2715597.3512</v>
      </c>
      <c r="N116" s="470">
        <f>F116+G116+H116+M116</f>
        <v>2740119.3572</v>
      </c>
      <c r="O116" s="470">
        <f>E116-N116</f>
        <v>9862389.4048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1598973.457152</v>
      </c>
      <c r="V116" s="470">
        <f>P116+Q116+R116+S116+T116+U116</f>
        <v>2158973.457152</v>
      </c>
      <c r="W116" s="471">
        <v>12</v>
      </c>
      <c r="X116" s="470">
        <f>V116/W116</f>
        <v>179914.454762667</v>
      </c>
      <c r="Y116" s="476"/>
      <c r="Z116" s="470">
        <f>X116</f>
        <v>179914.454762667</v>
      </c>
      <c r="AA116" s="473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6">
        <v>99</v>
      </c>
      <c r="B117" s="11" t="s">
        <v>281</v>
      </c>
      <c r="C117" s="470">
        <v>627743.99575</v>
      </c>
      <c r="D117" s="469">
        <v>12</v>
      </c>
      <c r="E117" s="470">
        <f t="shared" ref="E117:E125" si="106">C117*D117</f>
        <v>7532927.949</v>
      </c>
      <c r="F117" s="470">
        <f>1028.94225*12</f>
        <v>12347.307</v>
      </c>
      <c r="G117" s="476"/>
      <c r="H117" s="476"/>
      <c r="I117" s="470">
        <f>E117-F117-G117-H117</f>
        <v>7520580.642</v>
      </c>
      <c r="J117" s="470">
        <v>200000</v>
      </c>
      <c r="K117" s="470">
        <v>0.2</v>
      </c>
      <c r="L117" s="470">
        <f>I117*K117</f>
        <v>1504116.1284</v>
      </c>
      <c r="M117" s="470">
        <f>J117+L117</f>
        <v>1704116.1284</v>
      </c>
      <c r="N117" s="470">
        <f>F117+G117+H117+M117</f>
        <v>1716463.4354</v>
      </c>
      <c r="O117" s="470">
        <f>E117-N117</f>
        <v>5816464.5136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627951.483264</v>
      </c>
      <c r="V117" s="470">
        <f>P117+Q117+R117+S117+T117+U117</f>
        <v>1187951.483264</v>
      </c>
      <c r="W117" s="471">
        <v>12</v>
      </c>
      <c r="X117" s="470">
        <f>V117/W117</f>
        <v>98995.9569386667</v>
      </c>
      <c r="Y117" s="476"/>
      <c r="Z117" s="470">
        <f>X117</f>
        <v>98995.9569386667</v>
      </c>
      <c r="AA117" s="473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6"/>
      <c r="B118" s="14" t="s">
        <v>283</v>
      </c>
      <c r="C118" s="470">
        <v>577553.5025</v>
      </c>
      <c r="D118" s="469">
        <v>12</v>
      </c>
      <c r="E118" s="470">
        <f t="shared" si="106"/>
        <v>6930642.03</v>
      </c>
      <c r="F118" s="470">
        <f>837.6875*12</f>
        <v>10052.25</v>
      </c>
      <c r="G118" s="476"/>
      <c r="H118" s="476"/>
      <c r="I118" s="470">
        <f>E118-F118-G118-H118</f>
        <v>6920589.78</v>
      </c>
      <c r="J118" s="470">
        <v>200000</v>
      </c>
      <c r="K118" s="470">
        <v>0.2</v>
      </c>
      <c r="L118" s="470">
        <f>I118*K118</f>
        <v>1384117.956</v>
      </c>
      <c r="M118" s="470">
        <f>J118+L118</f>
        <v>1584117.956</v>
      </c>
      <c r="N118" s="470">
        <f>F118+G118+H118+M118</f>
        <v>1594170.206</v>
      </c>
      <c r="O118" s="470">
        <f>E118-N118</f>
        <v>5336471.824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512753.23776</v>
      </c>
      <c r="V118" s="470">
        <f>P118+Q118+R118+S118+T118+U118</f>
        <v>1072753.23776</v>
      </c>
      <c r="W118" s="471">
        <v>12</v>
      </c>
      <c r="X118" s="470">
        <f>V118/W118</f>
        <v>89396.1031466666</v>
      </c>
      <c r="Y118" s="476"/>
      <c r="Z118" s="470">
        <f>X118</f>
        <v>89396.1031466666</v>
      </c>
      <c r="AA118" s="473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6"/>
      <c r="B119" s="14" t="s">
        <v>930</v>
      </c>
      <c r="C119" s="470">
        <v>424729.222</v>
      </c>
      <c r="D119" s="469">
        <v>12</v>
      </c>
      <c r="E119" s="470">
        <f t="shared" si="106"/>
        <v>5096750.664</v>
      </c>
      <c r="F119" s="470"/>
      <c r="G119" s="476"/>
      <c r="H119" s="476"/>
      <c r="I119" s="470">
        <f>E119-F119-G119-H119</f>
        <v>5096750.664</v>
      </c>
      <c r="J119" s="470">
        <v>200000</v>
      </c>
      <c r="K119" s="470">
        <v>0.2</v>
      </c>
      <c r="L119" s="470">
        <f>I119*K119</f>
        <v>1019350.1328</v>
      </c>
      <c r="M119" s="470">
        <f>J119+L119</f>
        <v>1219350.1328</v>
      </c>
      <c r="N119" s="470">
        <f>F119+G119+H119+M119</f>
        <v>1219350.1328</v>
      </c>
      <c r="O119" s="470">
        <f>E119-N119</f>
        <v>3877400.5312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162576.127488</v>
      </c>
      <c r="V119" s="470">
        <f>P119+Q119+R119+S119+T119+U119</f>
        <v>722576.127488</v>
      </c>
      <c r="W119" s="471">
        <v>12</v>
      </c>
      <c r="X119" s="470">
        <f>V119/W119</f>
        <v>60214.6772906667</v>
      </c>
      <c r="Y119" s="476"/>
      <c r="Z119" s="470">
        <f>X119</f>
        <v>60214.6772906667</v>
      </c>
      <c r="AA119" s="473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6">
        <v>101</v>
      </c>
      <c r="B120" s="11" t="s">
        <v>286</v>
      </c>
      <c r="C120" s="470">
        <v>343333.03525</v>
      </c>
      <c r="D120" s="469">
        <v>12</v>
      </c>
      <c r="E120" s="470">
        <f t="shared" si="106"/>
        <v>4119996.423</v>
      </c>
      <c r="F120" s="470"/>
      <c r="G120" s="476"/>
      <c r="H120" s="476"/>
      <c r="I120" s="470">
        <f t="shared" ref="I120:I125" si="108">E120-F120-G120-H120</f>
        <v>4119996.423</v>
      </c>
      <c r="J120" s="470">
        <v>200000</v>
      </c>
      <c r="K120" s="470">
        <v>0.2</v>
      </c>
      <c r="L120" s="470">
        <f t="shared" ref="L120:L125" si="109">I120*K120</f>
        <v>823999.2846</v>
      </c>
      <c r="M120" s="470">
        <f t="shared" ref="M120:M125" si="110">J120+L120</f>
        <v>1023999.2846</v>
      </c>
      <c r="N120" s="470">
        <f t="shared" ref="N120:N125" si="111">F120+G120+H120+M120</f>
        <v>1023999.2846</v>
      </c>
      <c r="O120" s="470">
        <f t="shared" ref="O120:O125" si="112">E120-N120</f>
        <v>3095997.1384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314159.399064</v>
      </c>
      <c r="U120" s="470"/>
      <c r="V120" s="470">
        <f t="shared" ref="V120:V125" si="118">P120+Q120+R120+S120+T120+U120</f>
        <v>538159.399064</v>
      </c>
      <c r="W120" s="471">
        <v>12</v>
      </c>
      <c r="X120" s="470">
        <f t="shared" ref="X120:X125" si="119">V120/W120</f>
        <v>44846.6165886667</v>
      </c>
      <c r="Y120" s="476"/>
      <c r="Z120" s="470">
        <f t="shared" ref="Z120:Z125" si="120">X120</f>
        <v>44846.6165886667</v>
      </c>
      <c r="AA120" s="473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6">
        <v>103</v>
      </c>
      <c r="B121" s="11" t="s">
        <v>287</v>
      </c>
      <c r="C121" s="470">
        <v>327211.3675</v>
      </c>
      <c r="D121" s="469">
        <v>12</v>
      </c>
      <c r="E121" s="470">
        <f t="shared" si="106"/>
        <v>3926536.41</v>
      </c>
      <c r="F121" s="479">
        <f>646.3525*12</f>
        <v>7756.23</v>
      </c>
      <c r="G121" s="476"/>
      <c r="H121" s="476"/>
      <c r="I121" s="470">
        <f t="shared" si="108"/>
        <v>3918780.18</v>
      </c>
      <c r="J121" s="470">
        <v>200000</v>
      </c>
      <c r="K121" s="470">
        <v>0.2</v>
      </c>
      <c r="L121" s="470">
        <f t="shared" si="109"/>
        <v>783756.036</v>
      </c>
      <c r="M121" s="470">
        <f t="shared" si="110"/>
        <v>983756.036</v>
      </c>
      <c r="N121" s="470">
        <f t="shared" si="111"/>
        <v>991512.266</v>
      </c>
      <c r="O121" s="470">
        <f t="shared" si="112"/>
        <v>2935024.144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280355.07024</v>
      </c>
      <c r="U121" s="470"/>
      <c r="V121" s="470">
        <f t="shared" si="118"/>
        <v>504355.07024</v>
      </c>
      <c r="W121" s="471">
        <v>12</v>
      </c>
      <c r="X121" s="470">
        <f t="shared" si="119"/>
        <v>42029.5891866667</v>
      </c>
      <c r="Y121" s="476"/>
      <c r="Z121" s="470">
        <f t="shared" si="120"/>
        <v>42029.5891866667</v>
      </c>
      <c r="AA121" s="473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6">
        <v>105</v>
      </c>
      <c r="B122" s="11" t="s">
        <v>289</v>
      </c>
      <c r="C122" s="470">
        <v>335272.06375</v>
      </c>
      <c r="D122" s="469">
        <v>12</v>
      </c>
      <c r="E122" s="470">
        <f t="shared" si="106"/>
        <v>4023264.765</v>
      </c>
      <c r="F122" s="479">
        <f>668.31625*12</f>
        <v>8019.795</v>
      </c>
      <c r="G122" s="476"/>
      <c r="H122" s="476"/>
      <c r="I122" s="470">
        <f t="shared" si="108"/>
        <v>4015244.97</v>
      </c>
      <c r="J122" s="470">
        <v>200000</v>
      </c>
      <c r="K122" s="470">
        <v>0.2</v>
      </c>
      <c r="L122" s="470">
        <f t="shared" si="109"/>
        <v>803048.994</v>
      </c>
      <c r="M122" s="470">
        <f t="shared" si="110"/>
        <v>1003048.994</v>
      </c>
      <c r="N122" s="470">
        <f t="shared" si="111"/>
        <v>1011068.789</v>
      </c>
      <c r="O122" s="470">
        <f t="shared" si="112"/>
        <v>3012195.976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296561.15496</v>
      </c>
      <c r="U122" s="470"/>
      <c r="V122" s="470">
        <f t="shared" si="118"/>
        <v>520561.15496</v>
      </c>
      <c r="W122" s="471">
        <v>12</v>
      </c>
      <c r="X122" s="470">
        <f t="shared" si="119"/>
        <v>43380.0962466667</v>
      </c>
      <c r="Y122" s="476"/>
      <c r="Z122" s="470">
        <f t="shared" si="120"/>
        <v>43380.0962466667</v>
      </c>
      <c r="AA122" s="473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6">
        <v>106</v>
      </c>
      <c r="B123" s="11" t="s">
        <v>292</v>
      </c>
      <c r="C123" s="470">
        <v>213508.01</v>
      </c>
      <c r="D123" s="469">
        <v>12</v>
      </c>
      <c r="E123" s="470">
        <f t="shared" si="106"/>
        <v>2562096.12</v>
      </c>
      <c r="F123" s="470"/>
      <c r="G123" s="476"/>
      <c r="H123" s="476"/>
      <c r="I123" s="470">
        <f t="shared" si="108"/>
        <v>2562096.12</v>
      </c>
      <c r="J123" s="470">
        <v>200000</v>
      </c>
      <c r="K123" s="470">
        <v>0.2</v>
      </c>
      <c r="L123" s="470">
        <f t="shared" si="109"/>
        <v>512419.224</v>
      </c>
      <c r="M123" s="470">
        <f t="shared" si="110"/>
        <v>712419.224</v>
      </c>
      <c r="N123" s="470">
        <f t="shared" si="111"/>
        <v>712419.224</v>
      </c>
      <c r="O123" s="470">
        <f t="shared" si="112"/>
        <v>1849676.896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52432.14816</v>
      </c>
      <c r="U123" s="470"/>
      <c r="V123" s="470">
        <f t="shared" si="118"/>
        <v>276432.14816</v>
      </c>
      <c r="W123" s="471">
        <v>12</v>
      </c>
      <c r="X123" s="470">
        <f t="shared" si="119"/>
        <v>23036.0123466667</v>
      </c>
      <c r="Y123" s="476"/>
      <c r="Z123" s="470">
        <f t="shared" si="120"/>
        <v>23036.0123466667</v>
      </c>
      <c r="AA123" s="473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6">
        <v>107</v>
      </c>
      <c r="B124" s="18" t="s">
        <v>294</v>
      </c>
      <c r="C124" s="470">
        <v>176816.1</v>
      </c>
      <c r="D124" s="469">
        <v>12</v>
      </c>
      <c r="E124" s="470">
        <f t="shared" si="106"/>
        <v>2121793.2</v>
      </c>
      <c r="F124" s="470"/>
      <c r="G124" s="476"/>
      <c r="H124" s="476"/>
      <c r="I124" s="470">
        <f t="shared" si="108"/>
        <v>2121793.2</v>
      </c>
      <c r="J124" s="470">
        <v>200000</v>
      </c>
      <c r="K124" s="470">
        <v>0.2</v>
      </c>
      <c r="L124" s="470">
        <f t="shared" si="109"/>
        <v>424358.64</v>
      </c>
      <c r="M124" s="470">
        <f t="shared" si="110"/>
        <v>624358.64</v>
      </c>
      <c r="N124" s="470">
        <f t="shared" si="111"/>
        <v>624358.64</v>
      </c>
      <c r="O124" s="470">
        <f t="shared" si="112"/>
        <v>1497434.56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75512.5664</v>
      </c>
      <c r="T124" s="470">
        <f t="shared" si="117"/>
        <v>0</v>
      </c>
      <c r="U124" s="470"/>
      <c r="V124" s="470">
        <f t="shared" si="118"/>
        <v>204512.5664</v>
      </c>
      <c r="W124" s="471">
        <v>12</v>
      </c>
      <c r="X124" s="470">
        <f t="shared" si="119"/>
        <v>17042.7138666667</v>
      </c>
      <c r="Y124" s="476"/>
      <c r="Z124" s="470">
        <f t="shared" si="120"/>
        <v>17042.7138666667</v>
      </c>
      <c r="AA124" s="473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55">
        <v>108</v>
      </c>
      <c r="B125" s="18" t="s">
        <v>296</v>
      </c>
      <c r="C125" s="470">
        <v>176816.1</v>
      </c>
      <c r="D125" s="469">
        <v>12</v>
      </c>
      <c r="E125" s="470">
        <f t="shared" si="106"/>
        <v>2121793.2</v>
      </c>
      <c r="F125" s="470"/>
      <c r="G125" s="476"/>
      <c r="H125" s="476"/>
      <c r="I125" s="470">
        <f t="shared" si="108"/>
        <v>2121793.2</v>
      </c>
      <c r="J125" s="470">
        <v>200000</v>
      </c>
      <c r="K125" s="470">
        <v>0.2</v>
      </c>
      <c r="L125" s="470">
        <f t="shared" si="109"/>
        <v>424358.64</v>
      </c>
      <c r="M125" s="470">
        <f t="shared" si="110"/>
        <v>624358.64</v>
      </c>
      <c r="N125" s="470">
        <f t="shared" si="111"/>
        <v>624358.64</v>
      </c>
      <c r="O125" s="470">
        <f t="shared" si="112"/>
        <v>1497434.56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75512.5664</v>
      </c>
      <c r="T125" s="470">
        <f t="shared" si="117"/>
        <v>0</v>
      </c>
      <c r="U125" s="470"/>
      <c r="V125" s="470">
        <f t="shared" si="118"/>
        <v>204512.5664</v>
      </c>
      <c r="W125" s="471">
        <v>12</v>
      </c>
      <c r="X125" s="470">
        <f t="shared" si="119"/>
        <v>17042.7138666667</v>
      </c>
      <c r="Y125" s="476"/>
      <c r="Z125" s="470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6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213"/>
      <c r="AB126" s="213"/>
      <c r="AC126" s="213"/>
      <c r="AD126" s="213"/>
      <c r="AE126" s="213"/>
    </row>
    <row r="127" ht="17.5" spans="1:31">
      <c r="A127" s="546">
        <v>110</v>
      </c>
      <c r="B127" s="22"/>
      <c r="C127" s="470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70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6">
        <v>111</v>
      </c>
      <c r="B128" s="20" t="s">
        <v>299</v>
      </c>
      <c r="C128" s="470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70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6">
        <v>112</v>
      </c>
      <c r="B129" s="11" t="s">
        <v>931</v>
      </c>
      <c r="C129" s="470">
        <v>950209.0635</v>
      </c>
      <c r="D129" s="469">
        <v>12</v>
      </c>
      <c r="E129" s="470">
        <f>C129*D129</f>
        <v>11402508.762</v>
      </c>
      <c r="F129" s="470"/>
      <c r="G129" s="476"/>
      <c r="H129" s="476"/>
      <c r="I129" s="470">
        <f>E129-F129-G129-H129</f>
        <v>11402508.762</v>
      </c>
      <c r="J129" s="470">
        <v>200000</v>
      </c>
      <c r="K129" s="470">
        <v>0.2</v>
      </c>
      <c r="L129" s="470">
        <f t="shared" ref="L129:L187" si="121">I129*K129</f>
        <v>2280501.7524</v>
      </c>
      <c r="M129" s="470">
        <f t="shared" ref="M129:M187" si="122">J129+L129</f>
        <v>2480501.7524</v>
      </c>
      <c r="N129" s="470">
        <f t="shared" ref="N129:N187" si="123">F129+G129+H129+M129</f>
        <v>2480501.7524</v>
      </c>
      <c r="O129" s="470">
        <f t="shared" ref="O129:O187" si="124">E129-N129</f>
        <v>8922007.0096</v>
      </c>
      <c r="P129" s="470">
        <f t="shared" ref="P129:P187" si="125">IF(O129&lt;300000,0.07*O129,21000)</f>
        <v>21000</v>
      </c>
      <c r="Q129" s="470">
        <f t="shared" ref="Q129:Q187" si="126">IF((O129-300000)&lt;0,0,IF((O129-300000)&lt;300000,0.11*(O129-300000),33000))</f>
        <v>33000</v>
      </c>
      <c r="R129" s="470">
        <f t="shared" ref="R129:R187" si="127">IF((O129-600000)&lt;0,0,IF((O129-600000)&lt;500000,0.15*(O129-600000),75000))</f>
        <v>75000</v>
      </c>
      <c r="S129" s="470">
        <f t="shared" ref="S129:S187" si="128">IF((O129-1100000)&lt;0,0,IF((O129-1100000)&lt;500000,0.19*(O129-1100000),95000))</f>
        <v>95000</v>
      </c>
      <c r="T129" s="470">
        <f t="shared" ref="T129:T187" si="129">IF((O129-1600000)&lt;0,0,IF((O129-1600000)&lt;1600000,0.21*(O129-1600000),336000))</f>
        <v>336000</v>
      </c>
      <c r="U129" s="470">
        <f t="shared" si="103"/>
        <v>1373281.682304</v>
      </c>
      <c r="V129" s="470">
        <f>P129+Q129+R129+S129+T129+U129</f>
        <v>1933281.682304</v>
      </c>
      <c r="W129" s="471">
        <v>12</v>
      </c>
      <c r="X129" s="470">
        <f t="shared" ref="X129:X187" si="130">V129/W129</f>
        <v>161106.806858667</v>
      </c>
      <c r="Y129" s="476"/>
      <c r="Z129" s="470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55">
        <v>113</v>
      </c>
      <c r="B130" s="11" t="s">
        <v>933</v>
      </c>
      <c r="C130" s="470">
        <v>541465.02475</v>
      </c>
      <c r="D130" s="469">
        <v>12</v>
      </c>
      <c r="E130" s="470">
        <f t="shared" ref="E130:E187" si="132">C130*D130</f>
        <v>6497580.297</v>
      </c>
      <c r="F130" s="470"/>
      <c r="G130" s="476"/>
      <c r="H130" s="476"/>
      <c r="I130" s="470">
        <f t="shared" ref="I130:I187" si="133">E130-F130-G130-H130</f>
        <v>6497580.297</v>
      </c>
      <c r="J130" s="470">
        <v>200000</v>
      </c>
      <c r="K130" s="470">
        <v>0.2</v>
      </c>
      <c r="L130" s="470">
        <f t="shared" si="121"/>
        <v>1299516.0594</v>
      </c>
      <c r="M130" s="470">
        <f t="shared" si="122"/>
        <v>1499516.0594</v>
      </c>
      <c r="N130" s="470">
        <f t="shared" si="123"/>
        <v>1499516.0594</v>
      </c>
      <c r="O130" s="470">
        <f t="shared" si="124"/>
        <v>4998064.2376</v>
      </c>
      <c r="P130" s="470">
        <f t="shared" si="125"/>
        <v>21000</v>
      </c>
      <c r="Q130" s="470">
        <f t="shared" si="126"/>
        <v>33000</v>
      </c>
      <c r="R130" s="470">
        <f t="shared" si="127"/>
        <v>75000</v>
      </c>
      <c r="S130" s="470">
        <f t="shared" si="128"/>
        <v>95000</v>
      </c>
      <c r="T130" s="470">
        <f t="shared" si="129"/>
        <v>336000</v>
      </c>
      <c r="U130" s="470">
        <f t="shared" si="103"/>
        <v>431535.417024</v>
      </c>
      <c r="V130" s="470">
        <f>P130+Q130+R130+S130+T130+U130</f>
        <v>991535.417024</v>
      </c>
      <c r="W130" s="471">
        <v>12</v>
      </c>
      <c r="X130" s="470">
        <f t="shared" si="130"/>
        <v>82627.9514186667</v>
      </c>
      <c r="Y130" s="476"/>
      <c r="Z130" s="470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6">
        <v>114</v>
      </c>
      <c r="B131" s="14" t="s">
        <v>302</v>
      </c>
      <c r="C131" s="470">
        <v>591465.02475</v>
      </c>
      <c r="D131" s="469">
        <v>12</v>
      </c>
      <c r="E131" s="470">
        <f t="shared" si="132"/>
        <v>7097580.297</v>
      </c>
      <c r="F131" s="470">
        <f>1066.32925*12</f>
        <v>12795.951</v>
      </c>
      <c r="G131" s="476"/>
      <c r="H131" s="476"/>
      <c r="I131" s="470">
        <f t="shared" si="133"/>
        <v>7084784.346</v>
      </c>
      <c r="J131" s="470">
        <v>200000</v>
      </c>
      <c r="K131" s="470">
        <v>0.2</v>
      </c>
      <c r="L131" s="470">
        <f t="shared" si="121"/>
        <v>1416956.8692</v>
      </c>
      <c r="M131" s="470">
        <f t="shared" si="122"/>
        <v>1616956.8692</v>
      </c>
      <c r="N131" s="470">
        <f t="shared" si="123"/>
        <v>1629752.8202</v>
      </c>
      <c r="O131" s="470">
        <f t="shared" si="124"/>
        <v>5467827.4768</v>
      </c>
      <c r="P131" s="470">
        <f t="shared" si="125"/>
        <v>21000</v>
      </c>
      <c r="Q131" s="470">
        <f t="shared" si="126"/>
        <v>33000</v>
      </c>
      <c r="R131" s="470">
        <f t="shared" si="127"/>
        <v>75000</v>
      </c>
      <c r="S131" s="470">
        <f t="shared" si="128"/>
        <v>95000</v>
      </c>
      <c r="T131" s="470">
        <f t="shared" si="129"/>
        <v>336000</v>
      </c>
      <c r="U131" s="470">
        <f t="shared" si="103"/>
        <v>544278.594432</v>
      </c>
      <c r="V131" s="470">
        <f>P131+Q131+R131+S131+T131+U131</f>
        <v>1104278.594432</v>
      </c>
      <c r="W131" s="471">
        <v>12</v>
      </c>
      <c r="X131" s="470">
        <f t="shared" si="130"/>
        <v>92023.2162026667</v>
      </c>
      <c r="Y131" s="476"/>
      <c r="Z131" s="470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6">
        <v>115</v>
      </c>
      <c r="B132" s="11" t="s">
        <v>305</v>
      </c>
      <c r="C132" s="470">
        <v>351394.00675</v>
      </c>
      <c r="D132" s="469">
        <v>12</v>
      </c>
      <c r="E132" s="470">
        <f t="shared" si="132"/>
        <v>4216728.081</v>
      </c>
      <c r="F132" s="470">
        <f>712.24525*12</f>
        <v>8546.943</v>
      </c>
      <c r="G132" s="476"/>
      <c r="H132" s="476"/>
      <c r="I132" s="470">
        <f t="shared" si="133"/>
        <v>4208181.138</v>
      </c>
      <c r="J132" s="470">
        <v>200000</v>
      </c>
      <c r="K132" s="470">
        <v>0.2</v>
      </c>
      <c r="L132" s="470">
        <f t="shared" si="121"/>
        <v>841636.2276</v>
      </c>
      <c r="M132" s="470">
        <f t="shared" si="122"/>
        <v>1041636.2276</v>
      </c>
      <c r="N132" s="470">
        <f t="shared" si="123"/>
        <v>1050183.1706</v>
      </c>
      <c r="O132" s="470">
        <f t="shared" si="124"/>
        <v>3166544.9104</v>
      </c>
      <c r="P132" s="470">
        <f t="shared" si="125"/>
        <v>21000</v>
      </c>
      <c r="Q132" s="470">
        <f t="shared" si="126"/>
        <v>33000</v>
      </c>
      <c r="R132" s="470">
        <f t="shared" si="127"/>
        <v>75000</v>
      </c>
      <c r="S132" s="470">
        <f t="shared" si="128"/>
        <v>95000</v>
      </c>
      <c r="T132" s="470">
        <f t="shared" si="129"/>
        <v>328974.431184</v>
      </c>
      <c r="U132" s="470"/>
      <c r="V132" s="470">
        <f t="shared" ref="V132:V187" si="135">P132+Q132+R132+S132+T132+U132</f>
        <v>552974.431184</v>
      </c>
      <c r="W132" s="471">
        <v>12</v>
      </c>
      <c r="X132" s="470">
        <f t="shared" si="130"/>
        <v>46081.2025986667</v>
      </c>
      <c r="Y132" s="476"/>
      <c r="Z132" s="470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6">
        <v>116</v>
      </c>
      <c r="B133" s="11" t="s">
        <v>307</v>
      </c>
      <c r="C133" s="470">
        <v>351394.00675</v>
      </c>
      <c r="D133" s="469">
        <v>12</v>
      </c>
      <c r="E133" s="470">
        <f t="shared" si="132"/>
        <v>4216728.081</v>
      </c>
      <c r="F133" s="470">
        <f>712.24525*12</f>
        <v>8546.943</v>
      </c>
      <c r="G133" s="476"/>
      <c r="H133" s="476"/>
      <c r="I133" s="470">
        <f t="shared" si="133"/>
        <v>4208181.138</v>
      </c>
      <c r="J133" s="470">
        <v>200000</v>
      </c>
      <c r="K133" s="470">
        <v>0.2</v>
      </c>
      <c r="L133" s="470">
        <f t="shared" si="121"/>
        <v>841636.2276</v>
      </c>
      <c r="M133" s="470">
        <f t="shared" si="122"/>
        <v>1041636.2276</v>
      </c>
      <c r="N133" s="470">
        <f t="shared" si="123"/>
        <v>1050183.1706</v>
      </c>
      <c r="O133" s="470">
        <f t="shared" si="124"/>
        <v>3166544.9104</v>
      </c>
      <c r="P133" s="470">
        <f t="shared" si="125"/>
        <v>21000</v>
      </c>
      <c r="Q133" s="470">
        <f t="shared" si="126"/>
        <v>33000</v>
      </c>
      <c r="R133" s="470">
        <f t="shared" si="127"/>
        <v>75000</v>
      </c>
      <c r="S133" s="470">
        <f t="shared" si="128"/>
        <v>95000</v>
      </c>
      <c r="T133" s="470">
        <f t="shared" si="129"/>
        <v>328974.431184</v>
      </c>
      <c r="U133" s="470"/>
      <c r="V133" s="470">
        <f t="shared" si="135"/>
        <v>552974.431184</v>
      </c>
      <c r="W133" s="471">
        <v>12</v>
      </c>
      <c r="X133" s="470">
        <f t="shared" si="130"/>
        <v>46081.2025986667</v>
      </c>
      <c r="Y133" s="476"/>
      <c r="Z133" s="470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6">
        <v>117</v>
      </c>
      <c r="B134" s="11" t="s">
        <v>309</v>
      </c>
      <c r="C134" s="470">
        <v>351394.00675</v>
      </c>
      <c r="D134" s="469">
        <v>12</v>
      </c>
      <c r="E134" s="470">
        <f t="shared" si="132"/>
        <v>4216728.081</v>
      </c>
      <c r="F134" s="470">
        <f>712.24525*12</f>
        <v>8546.943</v>
      </c>
      <c r="G134" s="476"/>
      <c r="H134" s="476"/>
      <c r="I134" s="470">
        <f t="shared" si="133"/>
        <v>4208181.138</v>
      </c>
      <c r="J134" s="470">
        <v>200000</v>
      </c>
      <c r="K134" s="470">
        <v>0.2</v>
      </c>
      <c r="L134" s="470">
        <f t="shared" si="121"/>
        <v>841636.2276</v>
      </c>
      <c r="M134" s="470">
        <f t="shared" si="122"/>
        <v>1041636.2276</v>
      </c>
      <c r="N134" s="470">
        <f t="shared" si="123"/>
        <v>1050183.1706</v>
      </c>
      <c r="O134" s="470">
        <f t="shared" si="124"/>
        <v>3166544.9104</v>
      </c>
      <c r="P134" s="470">
        <f t="shared" si="125"/>
        <v>21000</v>
      </c>
      <c r="Q134" s="470">
        <f t="shared" si="126"/>
        <v>33000</v>
      </c>
      <c r="R134" s="470">
        <f t="shared" si="127"/>
        <v>75000</v>
      </c>
      <c r="S134" s="470">
        <f t="shared" si="128"/>
        <v>95000</v>
      </c>
      <c r="T134" s="470">
        <f t="shared" si="129"/>
        <v>328974.431184</v>
      </c>
      <c r="U134" s="470"/>
      <c r="V134" s="470">
        <f t="shared" si="135"/>
        <v>552974.431184</v>
      </c>
      <c r="W134" s="471">
        <v>12</v>
      </c>
      <c r="X134" s="470">
        <f t="shared" si="130"/>
        <v>46081.2025986667</v>
      </c>
      <c r="Y134" s="476"/>
      <c r="Z134" s="470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6">
        <v>118</v>
      </c>
      <c r="B135" s="11" t="s">
        <v>231</v>
      </c>
      <c r="C135" s="470">
        <v>286619.99875</v>
      </c>
      <c r="D135" s="469">
        <v>12</v>
      </c>
      <c r="E135" s="470">
        <f t="shared" si="132"/>
        <v>3439439.985</v>
      </c>
      <c r="F135" s="470">
        <f>576.62125*12</f>
        <v>6919.455</v>
      </c>
      <c r="G135" s="476"/>
      <c r="H135" s="476"/>
      <c r="I135" s="470">
        <f t="shared" si="133"/>
        <v>3432520.53</v>
      </c>
      <c r="J135" s="470">
        <v>200000</v>
      </c>
      <c r="K135" s="470">
        <v>0.2</v>
      </c>
      <c r="L135" s="470">
        <f t="shared" si="121"/>
        <v>686504.106</v>
      </c>
      <c r="M135" s="470">
        <f t="shared" si="122"/>
        <v>886504.106</v>
      </c>
      <c r="N135" s="470">
        <f t="shared" si="123"/>
        <v>893423.561</v>
      </c>
      <c r="O135" s="470">
        <f t="shared" si="124"/>
        <v>2546016.424</v>
      </c>
      <c r="P135" s="470">
        <f t="shared" si="125"/>
        <v>21000</v>
      </c>
      <c r="Q135" s="470">
        <f t="shared" si="126"/>
        <v>33000</v>
      </c>
      <c r="R135" s="470">
        <f t="shared" si="127"/>
        <v>75000</v>
      </c>
      <c r="S135" s="470">
        <f t="shared" si="128"/>
        <v>95000</v>
      </c>
      <c r="T135" s="470">
        <f t="shared" si="129"/>
        <v>198663.44904</v>
      </c>
      <c r="U135" s="470"/>
      <c r="V135" s="470">
        <f t="shared" si="135"/>
        <v>422663.44904</v>
      </c>
      <c r="W135" s="471">
        <v>12</v>
      </c>
      <c r="X135" s="470">
        <f t="shared" si="130"/>
        <v>35221.9540866667</v>
      </c>
      <c r="Y135" s="476"/>
      <c r="Z135" s="470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6">
        <v>119</v>
      </c>
      <c r="B136" s="11" t="s">
        <v>312</v>
      </c>
      <c r="C136" s="470">
        <v>286619.99875</v>
      </c>
      <c r="D136" s="469">
        <v>12</v>
      </c>
      <c r="E136" s="470">
        <f t="shared" si="132"/>
        <v>3439439.985</v>
      </c>
      <c r="F136" s="470"/>
      <c r="G136" s="476"/>
      <c r="H136" s="476"/>
      <c r="I136" s="470">
        <f t="shared" si="133"/>
        <v>3439439.985</v>
      </c>
      <c r="J136" s="470">
        <v>200000</v>
      </c>
      <c r="K136" s="470">
        <v>0.2</v>
      </c>
      <c r="L136" s="470">
        <f t="shared" si="121"/>
        <v>687887.997</v>
      </c>
      <c r="M136" s="470">
        <f t="shared" si="122"/>
        <v>887887.997</v>
      </c>
      <c r="N136" s="470">
        <f t="shared" si="123"/>
        <v>887887.997</v>
      </c>
      <c r="O136" s="470">
        <f t="shared" si="124"/>
        <v>2551551.988</v>
      </c>
      <c r="P136" s="470">
        <f t="shared" si="125"/>
        <v>21000</v>
      </c>
      <c r="Q136" s="470">
        <f t="shared" si="126"/>
        <v>33000</v>
      </c>
      <c r="R136" s="470">
        <f t="shared" si="127"/>
        <v>75000</v>
      </c>
      <c r="S136" s="470">
        <f t="shared" si="128"/>
        <v>95000</v>
      </c>
      <c r="T136" s="470">
        <f t="shared" si="129"/>
        <v>199825.91748</v>
      </c>
      <c r="U136" s="470"/>
      <c r="V136" s="470">
        <f t="shared" si="135"/>
        <v>423825.91748</v>
      </c>
      <c r="W136" s="471">
        <v>12</v>
      </c>
      <c r="X136" s="470">
        <f t="shared" si="130"/>
        <v>35318.8264566667</v>
      </c>
      <c r="Y136" s="476"/>
      <c r="Z136" s="470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6">
        <v>120</v>
      </c>
      <c r="B137" s="11" t="s">
        <v>313</v>
      </c>
      <c r="C137" s="470">
        <v>286619.99875</v>
      </c>
      <c r="D137" s="469">
        <v>12</v>
      </c>
      <c r="E137" s="470">
        <f t="shared" si="132"/>
        <v>3439439.985</v>
      </c>
      <c r="F137" s="470"/>
      <c r="G137" s="476"/>
      <c r="H137" s="476"/>
      <c r="I137" s="470">
        <f t="shared" si="133"/>
        <v>3439439.985</v>
      </c>
      <c r="J137" s="470">
        <v>200000</v>
      </c>
      <c r="K137" s="470">
        <v>0.2</v>
      </c>
      <c r="L137" s="470">
        <f t="shared" si="121"/>
        <v>687887.997</v>
      </c>
      <c r="M137" s="470">
        <f t="shared" si="122"/>
        <v>887887.997</v>
      </c>
      <c r="N137" s="470">
        <f t="shared" si="123"/>
        <v>887887.997</v>
      </c>
      <c r="O137" s="470">
        <f t="shared" si="124"/>
        <v>2551551.988</v>
      </c>
      <c r="P137" s="470">
        <f t="shared" si="125"/>
        <v>21000</v>
      </c>
      <c r="Q137" s="470">
        <f t="shared" si="126"/>
        <v>33000</v>
      </c>
      <c r="R137" s="470">
        <f t="shared" si="127"/>
        <v>75000</v>
      </c>
      <c r="S137" s="470">
        <f t="shared" si="128"/>
        <v>95000</v>
      </c>
      <c r="T137" s="470">
        <f t="shared" si="129"/>
        <v>199825.91748</v>
      </c>
      <c r="U137" s="470"/>
      <c r="V137" s="470">
        <f t="shared" si="135"/>
        <v>423825.91748</v>
      </c>
      <c r="W137" s="471">
        <v>12</v>
      </c>
      <c r="X137" s="470">
        <f t="shared" si="130"/>
        <v>35318.8264566667</v>
      </c>
      <c r="Y137" s="476"/>
      <c r="Z137" s="470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6">
        <v>121</v>
      </c>
      <c r="B138" s="11" t="s">
        <v>315</v>
      </c>
      <c r="C138" s="470">
        <v>284536.9985</v>
      </c>
      <c r="D138" s="469">
        <v>12</v>
      </c>
      <c r="E138" s="470">
        <f t="shared" si="132"/>
        <v>3414443.982</v>
      </c>
      <c r="F138" s="470"/>
      <c r="G138" s="476"/>
      <c r="H138" s="476"/>
      <c r="I138" s="470">
        <f t="shared" si="133"/>
        <v>3414443.982</v>
      </c>
      <c r="J138" s="470">
        <v>200000</v>
      </c>
      <c r="K138" s="470">
        <v>0.2</v>
      </c>
      <c r="L138" s="470">
        <f t="shared" si="121"/>
        <v>682888.7964</v>
      </c>
      <c r="M138" s="470">
        <f t="shared" si="122"/>
        <v>882888.7964</v>
      </c>
      <c r="N138" s="470">
        <f t="shared" si="123"/>
        <v>882888.7964</v>
      </c>
      <c r="O138" s="470">
        <f t="shared" si="124"/>
        <v>2531555.1856</v>
      </c>
      <c r="P138" s="470">
        <f t="shared" si="125"/>
        <v>21000</v>
      </c>
      <c r="Q138" s="470">
        <f t="shared" si="126"/>
        <v>33000</v>
      </c>
      <c r="R138" s="470">
        <f t="shared" si="127"/>
        <v>75000</v>
      </c>
      <c r="S138" s="470">
        <f t="shared" si="128"/>
        <v>95000</v>
      </c>
      <c r="T138" s="470">
        <f t="shared" si="129"/>
        <v>195626.588976</v>
      </c>
      <c r="U138" s="470"/>
      <c r="V138" s="470">
        <f t="shared" si="135"/>
        <v>419626.588976</v>
      </c>
      <c r="W138" s="471">
        <v>12</v>
      </c>
      <c r="X138" s="470">
        <f t="shared" si="130"/>
        <v>34968.8824146667</v>
      </c>
      <c r="Y138" s="476"/>
      <c r="Z138" s="470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6">
        <v>122</v>
      </c>
      <c r="B139" s="11" t="s">
        <v>317</v>
      </c>
      <c r="C139" s="470">
        <v>272454.074</v>
      </c>
      <c r="D139" s="469">
        <v>12</v>
      </c>
      <c r="E139" s="470">
        <f t="shared" si="132"/>
        <v>3269448.888</v>
      </c>
      <c r="F139" s="470">
        <f>538.022*12</f>
        <v>6456.264</v>
      </c>
      <c r="G139" s="476"/>
      <c r="H139" s="476"/>
      <c r="I139" s="470">
        <f t="shared" si="133"/>
        <v>3262992.624</v>
      </c>
      <c r="J139" s="470">
        <v>200000</v>
      </c>
      <c r="K139" s="470">
        <v>0.2</v>
      </c>
      <c r="L139" s="470">
        <f t="shared" si="121"/>
        <v>652598.5248</v>
      </c>
      <c r="M139" s="470">
        <f t="shared" si="122"/>
        <v>852598.5248</v>
      </c>
      <c r="N139" s="470">
        <f t="shared" si="123"/>
        <v>859054.7888</v>
      </c>
      <c r="O139" s="470">
        <f t="shared" si="124"/>
        <v>2410394.0992</v>
      </c>
      <c r="P139" s="470">
        <f t="shared" si="125"/>
        <v>21000</v>
      </c>
      <c r="Q139" s="470">
        <f t="shared" si="126"/>
        <v>33000</v>
      </c>
      <c r="R139" s="470">
        <f t="shared" si="127"/>
        <v>75000</v>
      </c>
      <c r="S139" s="470">
        <f t="shared" si="128"/>
        <v>95000</v>
      </c>
      <c r="T139" s="470">
        <f t="shared" si="129"/>
        <v>170182.760832</v>
      </c>
      <c r="U139" s="470"/>
      <c r="V139" s="470">
        <f t="shared" si="135"/>
        <v>394182.760832</v>
      </c>
      <c r="W139" s="471">
        <v>12</v>
      </c>
      <c r="X139" s="470">
        <f t="shared" si="130"/>
        <v>32848.5634026667</v>
      </c>
      <c r="Y139" s="476"/>
      <c r="Z139" s="470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6">
        <v>123</v>
      </c>
      <c r="B140" s="11" t="s">
        <v>62</v>
      </c>
      <c r="C140" s="470">
        <v>286619.99875</v>
      </c>
      <c r="D140" s="469">
        <v>12</v>
      </c>
      <c r="E140" s="470">
        <f t="shared" si="132"/>
        <v>3439439.985</v>
      </c>
      <c r="F140" s="470">
        <f>576.62125*12</f>
        <v>6919.455</v>
      </c>
      <c r="G140" s="476"/>
      <c r="H140" s="476"/>
      <c r="I140" s="470">
        <f t="shared" si="133"/>
        <v>3432520.53</v>
      </c>
      <c r="J140" s="470">
        <v>200000</v>
      </c>
      <c r="K140" s="470">
        <v>0.2</v>
      </c>
      <c r="L140" s="470">
        <f t="shared" si="121"/>
        <v>686504.106</v>
      </c>
      <c r="M140" s="470">
        <f t="shared" si="122"/>
        <v>886504.106</v>
      </c>
      <c r="N140" s="470">
        <f t="shared" si="123"/>
        <v>893423.561</v>
      </c>
      <c r="O140" s="470">
        <f t="shared" si="124"/>
        <v>2546016.424</v>
      </c>
      <c r="P140" s="470">
        <f t="shared" si="125"/>
        <v>21000</v>
      </c>
      <c r="Q140" s="470">
        <f t="shared" si="126"/>
        <v>33000</v>
      </c>
      <c r="R140" s="470">
        <f t="shared" si="127"/>
        <v>75000</v>
      </c>
      <c r="S140" s="470">
        <f t="shared" si="128"/>
        <v>95000</v>
      </c>
      <c r="T140" s="470">
        <f t="shared" si="129"/>
        <v>198663.44904</v>
      </c>
      <c r="U140" s="470"/>
      <c r="V140" s="470">
        <f t="shared" si="135"/>
        <v>422663.44904</v>
      </c>
      <c r="W140" s="471">
        <v>12</v>
      </c>
      <c r="X140" s="470">
        <f t="shared" si="130"/>
        <v>35221.9540866667</v>
      </c>
      <c r="Y140" s="476"/>
      <c r="Z140" s="470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55">
        <v>124</v>
      </c>
      <c r="B141" s="18" t="s">
        <v>319</v>
      </c>
      <c r="C141" s="470">
        <v>265372.075</v>
      </c>
      <c r="D141" s="469">
        <v>12</v>
      </c>
      <c r="E141" s="470">
        <f t="shared" si="132"/>
        <v>3184464.9</v>
      </c>
      <c r="F141" s="470">
        <v>0</v>
      </c>
      <c r="G141" s="476"/>
      <c r="H141" s="476"/>
      <c r="I141" s="470">
        <f t="shared" si="133"/>
        <v>3184464.9</v>
      </c>
      <c r="J141" s="470">
        <v>200000</v>
      </c>
      <c r="K141" s="470">
        <v>0.2</v>
      </c>
      <c r="L141" s="470">
        <f t="shared" si="121"/>
        <v>636892.98</v>
      </c>
      <c r="M141" s="470">
        <f t="shared" si="122"/>
        <v>836892.98</v>
      </c>
      <c r="N141" s="470">
        <f t="shared" si="123"/>
        <v>836892.98</v>
      </c>
      <c r="O141" s="470">
        <f t="shared" si="124"/>
        <v>2347571.92</v>
      </c>
      <c r="P141" s="470">
        <f t="shared" si="125"/>
        <v>21000</v>
      </c>
      <c r="Q141" s="470">
        <f t="shared" si="126"/>
        <v>33000</v>
      </c>
      <c r="R141" s="470">
        <f t="shared" si="127"/>
        <v>75000</v>
      </c>
      <c r="S141" s="470">
        <f t="shared" si="128"/>
        <v>95000</v>
      </c>
      <c r="T141" s="470">
        <f t="shared" si="129"/>
        <v>156990.1032</v>
      </c>
      <c r="U141" s="470"/>
      <c r="V141" s="470">
        <f t="shared" si="135"/>
        <v>380990.1032</v>
      </c>
      <c r="W141" s="471">
        <v>12</v>
      </c>
      <c r="X141" s="470">
        <f t="shared" si="130"/>
        <v>31749.1752666667</v>
      </c>
      <c r="Y141" s="476"/>
      <c r="Z141" s="470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6">
        <v>125</v>
      </c>
      <c r="B142" s="11" t="s">
        <v>321</v>
      </c>
      <c r="C142" s="470">
        <v>237734.047</v>
      </c>
      <c r="D142" s="469">
        <v>12</v>
      </c>
      <c r="E142" s="470">
        <f t="shared" si="132"/>
        <v>2852808.564</v>
      </c>
      <c r="F142" s="470"/>
      <c r="G142" s="476"/>
      <c r="H142" s="476"/>
      <c r="I142" s="470">
        <f t="shared" si="133"/>
        <v>2852808.564</v>
      </c>
      <c r="J142" s="470">
        <v>200000</v>
      </c>
      <c r="K142" s="470">
        <v>0.2</v>
      </c>
      <c r="L142" s="470">
        <f t="shared" si="121"/>
        <v>570561.7128</v>
      </c>
      <c r="M142" s="470">
        <f t="shared" si="122"/>
        <v>770561.7128</v>
      </c>
      <c r="N142" s="470">
        <f t="shared" si="123"/>
        <v>770561.7128</v>
      </c>
      <c r="O142" s="470">
        <f t="shared" si="124"/>
        <v>2082246.8512</v>
      </c>
      <c r="P142" s="470">
        <f t="shared" si="125"/>
        <v>21000</v>
      </c>
      <c r="Q142" s="470">
        <f t="shared" si="126"/>
        <v>33000</v>
      </c>
      <c r="R142" s="470">
        <f t="shared" si="127"/>
        <v>75000</v>
      </c>
      <c r="S142" s="470">
        <f t="shared" si="128"/>
        <v>95000</v>
      </c>
      <c r="T142" s="470">
        <f t="shared" si="129"/>
        <v>101271.838752</v>
      </c>
      <c r="U142" s="470"/>
      <c r="V142" s="470">
        <f t="shared" si="135"/>
        <v>325271.838752</v>
      </c>
      <c r="W142" s="471">
        <v>12</v>
      </c>
      <c r="X142" s="470">
        <f t="shared" si="130"/>
        <v>27105.9865626667</v>
      </c>
      <c r="Y142" s="476"/>
      <c r="Z142" s="470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6">
        <v>126</v>
      </c>
      <c r="B143" s="11" t="s">
        <v>322</v>
      </c>
      <c r="C143" s="470">
        <v>242300.0775</v>
      </c>
      <c r="D143" s="469">
        <v>12</v>
      </c>
      <c r="E143" s="470">
        <f t="shared" si="132"/>
        <v>2907600.93</v>
      </c>
      <c r="F143" s="470">
        <f>469.4825*12</f>
        <v>5633.79</v>
      </c>
      <c r="G143" s="476"/>
      <c r="H143" s="476"/>
      <c r="I143" s="470">
        <f t="shared" si="133"/>
        <v>2901967.14</v>
      </c>
      <c r="J143" s="470">
        <v>200000</v>
      </c>
      <c r="K143" s="470">
        <v>0.2</v>
      </c>
      <c r="L143" s="470">
        <f t="shared" si="121"/>
        <v>580393.428</v>
      </c>
      <c r="M143" s="470">
        <f t="shared" si="122"/>
        <v>780393.428</v>
      </c>
      <c r="N143" s="470">
        <f t="shared" si="123"/>
        <v>786027.218</v>
      </c>
      <c r="O143" s="470">
        <f t="shared" si="124"/>
        <v>2121573.712</v>
      </c>
      <c r="P143" s="470">
        <f t="shared" si="125"/>
        <v>21000</v>
      </c>
      <c r="Q143" s="470">
        <f t="shared" si="126"/>
        <v>33000</v>
      </c>
      <c r="R143" s="470">
        <f t="shared" si="127"/>
        <v>75000</v>
      </c>
      <c r="S143" s="470">
        <f t="shared" si="128"/>
        <v>95000</v>
      </c>
      <c r="T143" s="470">
        <f t="shared" si="129"/>
        <v>109530.47952</v>
      </c>
      <c r="U143" s="470"/>
      <c r="V143" s="470">
        <f t="shared" si="135"/>
        <v>333530.47952</v>
      </c>
      <c r="W143" s="471">
        <v>12</v>
      </c>
      <c r="X143" s="470">
        <f t="shared" si="130"/>
        <v>27794.2066266667</v>
      </c>
      <c r="Y143" s="476"/>
      <c r="Z143" s="470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6">
        <v>127</v>
      </c>
      <c r="B144" s="11" t="s">
        <v>324</v>
      </c>
      <c r="C144" s="470">
        <v>242300.0775</v>
      </c>
      <c r="D144" s="469">
        <v>12</v>
      </c>
      <c r="E144" s="470">
        <f t="shared" si="132"/>
        <v>2907600.93</v>
      </c>
      <c r="F144" s="470"/>
      <c r="G144" s="476"/>
      <c r="H144" s="476"/>
      <c r="I144" s="470">
        <f t="shared" si="133"/>
        <v>2907600.93</v>
      </c>
      <c r="J144" s="470">
        <v>200000</v>
      </c>
      <c r="K144" s="470">
        <v>0.2</v>
      </c>
      <c r="L144" s="470">
        <f t="shared" si="121"/>
        <v>581520.186</v>
      </c>
      <c r="M144" s="470">
        <f t="shared" si="122"/>
        <v>781520.186</v>
      </c>
      <c r="N144" s="470">
        <f t="shared" si="123"/>
        <v>781520.186</v>
      </c>
      <c r="O144" s="470">
        <f t="shared" si="124"/>
        <v>2126080.744</v>
      </c>
      <c r="P144" s="470">
        <f t="shared" si="125"/>
        <v>21000</v>
      </c>
      <c r="Q144" s="470">
        <f t="shared" si="126"/>
        <v>33000</v>
      </c>
      <c r="R144" s="470">
        <f t="shared" si="127"/>
        <v>75000</v>
      </c>
      <c r="S144" s="470">
        <f t="shared" si="128"/>
        <v>95000</v>
      </c>
      <c r="T144" s="470">
        <f t="shared" si="129"/>
        <v>110476.95624</v>
      </c>
      <c r="U144" s="470"/>
      <c r="V144" s="470">
        <f t="shared" si="135"/>
        <v>334476.95624</v>
      </c>
      <c r="W144" s="471">
        <v>12</v>
      </c>
      <c r="X144" s="470">
        <f t="shared" si="130"/>
        <v>27873.0796866667</v>
      </c>
      <c r="Y144" s="476"/>
      <c r="Z144" s="470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6">
        <v>128</v>
      </c>
      <c r="B145" s="11" t="s">
        <v>325</v>
      </c>
      <c r="C145" s="470">
        <v>237734.047</v>
      </c>
      <c r="D145" s="469">
        <v>12</v>
      </c>
      <c r="E145" s="470">
        <f t="shared" si="132"/>
        <v>2852808.564</v>
      </c>
      <c r="F145" s="470"/>
      <c r="G145" s="476"/>
      <c r="H145" s="476"/>
      <c r="I145" s="470">
        <f t="shared" si="133"/>
        <v>2852808.564</v>
      </c>
      <c r="J145" s="470">
        <v>200000</v>
      </c>
      <c r="K145" s="470">
        <v>0.2</v>
      </c>
      <c r="L145" s="470">
        <f t="shared" si="121"/>
        <v>570561.7128</v>
      </c>
      <c r="M145" s="470">
        <f t="shared" si="122"/>
        <v>770561.7128</v>
      </c>
      <c r="N145" s="470">
        <f t="shared" si="123"/>
        <v>770561.7128</v>
      </c>
      <c r="O145" s="470">
        <f t="shared" si="124"/>
        <v>2082246.8512</v>
      </c>
      <c r="P145" s="470">
        <f t="shared" si="125"/>
        <v>21000</v>
      </c>
      <c r="Q145" s="470">
        <f t="shared" si="126"/>
        <v>33000</v>
      </c>
      <c r="R145" s="470">
        <f t="shared" si="127"/>
        <v>75000</v>
      </c>
      <c r="S145" s="470">
        <f t="shared" si="128"/>
        <v>95000</v>
      </c>
      <c r="T145" s="470">
        <f t="shared" si="129"/>
        <v>101271.838752</v>
      </c>
      <c r="U145" s="470"/>
      <c r="V145" s="470">
        <f t="shared" si="135"/>
        <v>325271.838752</v>
      </c>
      <c r="W145" s="471">
        <v>12</v>
      </c>
      <c r="X145" s="470">
        <f t="shared" si="130"/>
        <v>27105.9865626667</v>
      </c>
      <c r="Y145" s="476"/>
      <c r="Z145" s="470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6">
        <v>129</v>
      </c>
      <c r="B146" s="11" t="s">
        <v>327</v>
      </c>
      <c r="C146" s="470">
        <v>209356.04725</v>
      </c>
      <c r="D146" s="469">
        <v>12</v>
      </c>
      <c r="E146" s="470">
        <f t="shared" si="132"/>
        <v>2512272.567</v>
      </c>
      <c r="F146" s="470"/>
      <c r="G146" s="476"/>
      <c r="H146" s="476"/>
      <c r="I146" s="470">
        <f t="shared" si="133"/>
        <v>2512272.567</v>
      </c>
      <c r="J146" s="470">
        <v>200000</v>
      </c>
      <c r="K146" s="470">
        <v>0.2</v>
      </c>
      <c r="L146" s="470">
        <f t="shared" si="121"/>
        <v>502454.5134</v>
      </c>
      <c r="M146" s="470">
        <f t="shared" si="122"/>
        <v>702454.5134</v>
      </c>
      <c r="N146" s="470">
        <f t="shared" si="123"/>
        <v>702454.5134</v>
      </c>
      <c r="O146" s="470">
        <f t="shared" si="124"/>
        <v>1809818.0536</v>
      </c>
      <c r="P146" s="470">
        <f t="shared" si="125"/>
        <v>21000</v>
      </c>
      <c r="Q146" s="470">
        <f t="shared" si="126"/>
        <v>33000</v>
      </c>
      <c r="R146" s="470">
        <f t="shared" si="127"/>
        <v>75000</v>
      </c>
      <c r="S146" s="470">
        <f t="shared" si="128"/>
        <v>95000</v>
      </c>
      <c r="T146" s="470">
        <f t="shared" si="129"/>
        <v>44061.7912559999</v>
      </c>
      <c r="U146" s="470"/>
      <c r="V146" s="470">
        <f t="shared" si="135"/>
        <v>268061.791256</v>
      </c>
      <c r="W146" s="471">
        <v>12</v>
      </c>
      <c r="X146" s="470">
        <f t="shared" si="130"/>
        <v>22338.4826046667</v>
      </c>
      <c r="Y146" s="476"/>
      <c r="Z146" s="470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6">
        <v>130</v>
      </c>
      <c r="B147" s="11" t="s">
        <v>329</v>
      </c>
      <c r="C147" s="470">
        <v>237734.047</v>
      </c>
      <c r="D147" s="469">
        <v>12</v>
      </c>
      <c r="E147" s="470">
        <f t="shared" si="132"/>
        <v>2852808.564</v>
      </c>
      <c r="F147" s="470"/>
      <c r="G147" s="476"/>
      <c r="H147" s="476"/>
      <c r="I147" s="470">
        <f t="shared" si="133"/>
        <v>2852808.564</v>
      </c>
      <c r="J147" s="470">
        <v>200000</v>
      </c>
      <c r="K147" s="470">
        <v>0.2</v>
      </c>
      <c r="L147" s="470">
        <f t="shared" si="121"/>
        <v>570561.7128</v>
      </c>
      <c r="M147" s="470">
        <f t="shared" si="122"/>
        <v>770561.7128</v>
      </c>
      <c r="N147" s="470">
        <f t="shared" si="123"/>
        <v>770561.7128</v>
      </c>
      <c r="O147" s="470">
        <f t="shared" si="124"/>
        <v>2082246.8512</v>
      </c>
      <c r="P147" s="470">
        <f t="shared" si="125"/>
        <v>21000</v>
      </c>
      <c r="Q147" s="470">
        <f t="shared" si="126"/>
        <v>33000</v>
      </c>
      <c r="R147" s="470">
        <f t="shared" si="127"/>
        <v>75000</v>
      </c>
      <c r="S147" s="470">
        <f t="shared" si="128"/>
        <v>95000</v>
      </c>
      <c r="T147" s="470">
        <f t="shared" si="129"/>
        <v>101271.838752</v>
      </c>
      <c r="U147" s="470"/>
      <c r="V147" s="470">
        <f t="shared" si="135"/>
        <v>325271.838752</v>
      </c>
      <c r="W147" s="471">
        <v>12</v>
      </c>
      <c r="X147" s="470">
        <f t="shared" si="130"/>
        <v>27105.9865626667</v>
      </c>
      <c r="Y147" s="476"/>
      <c r="Z147" s="470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6">
        <v>131</v>
      </c>
      <c r="B148" s="11" t="s">
        <v>331</v>
      </c>
      <c r="C148" s="470">
        <v>213508.01</v>
      </c>
      <c r="D148" s="469">
        <v>12</v>
      </c>
      <c r="E148" s="470">
        <f t="shared" si="132"/>
        <v>2562096.12</v>
      </c>
      <c r="F148" s="470"/>
      <c r="G148" s="476"/>
      <c r="H148" s="476"/>
      <c r="I148" s="470">
        <f t="shared" si="133"/>
        <v>2562096.12</v>
      </c>
      <c r="J148" s="470">
        <v>200000</v>
      </c>
      <c r="K148" s="470">
        <v>0.2</v>
      </c>
      <c r="L148" s="470">
        <f t="shared" si="121"/>
        <v>512419.224</v>
      </c>
      <c r="M148" s="470">
        <f t="shared" si="122"/>
        <v>712419.224</v>
      </c>
      <c r="N148" s="470">
        <f t="shared" si="123"/>
        <v>712419.224</v>
      </c>
      <c r="O148" s="470">
        <f t="shared" si="124"/>
        <v>1849676.896</v>
      </c>
      <c r="P148" s="470">
        <f t="shared" si="125"/>
        <v>21000</v>
      </c>
      <c r="Q148" s="470">
        <f t="shared" si="126"/>
        <v>33000</v>
      </c>
      <c r="R148" s="470">
        <f t="shared" si="127"/>
        <v>75000</v>
      </c>
      <c r="S148" s="470">
        <f t="shared" si="128"/>
        <v>95000</v>
      </c>
      <c r="T148" s="470">
        <f t="shared" si="129"/>
        <v>52432.14816</v>
      </c>
      <c r="U148" s="470"/>
      <c r="V148" s="470">
        <f t="shared" si="135"/>
        <v>276432.14816</v>
      </c>
      <c r="W148" s="471">
        <v>12</v>
      </c>
      <c r="X148" s="470">
        <f t="shared" si="130"/>
        <v>23036.0123466667</v>
      </c>
      <c r="Y148" s="476"/>
      <c r="Z148" s="470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6">
        <v>132</v>
      </c>
      <c r="B149" s="11" t="s">
        <v>333</v>
      </c>
      <c r="C149" s="470">
        <v>237734.047</v>
      </c>
      <c r="D149" s="469">
        <v>12</v>
      </c>
      <c r="E149" s="470">
        <f t="shared" si="132"/>
        <v>2852808.564</v>
      </c>
      <c r="F149" s="470">
        <f>457.041*12</f>
        <v>5484.492</v>
      </c>
      <c r="G149" s="476"/>
      <c r="H149" s="476"/>
      <c r="I149" s="470">
        <f t="shared" si="133"/>
        <v>2847324.072</v>
      </c>
      <c r="J149" s="470">
        <v>200000</v>
      </c>
      <c r="K149" s="470">
        <v>0.2</v>
      </c>
      <c r="L149" s="470">
        <f t="shared" si="121"/>
        <v>569464.8144</v>
      </c>
      <c r="M149" s="470">
        <f t="shared" si="122"/>
        <v>769464.8144</v>
      </c>
      <c r="N149" s="470">
        <f t="shared" si="123"/>
        <v>774949.3064</v>
      </c>
      <c r="O149" s="470">
        <f t="shared" si="124"/>
        <v>2077859.2576</v>
      </c>
      <c r="P149" s="470">
        <f t="shared" si="125"/>
        <v>21000</v>
      </c>
      <c r="Q149" s="470">
        <f t="shared" si="126"/>
        <v>33000</v>
      </c>
      <c r="R149" s="470">
        <f t="shared" si="127"/>
        <v>75000</v>
      </c>
      <c r="S149" s="470">
        <f t="shared" si="128"/>
        <v>95000</v>
      </c>
      <c r="T149" s="470">
        <f t="shared" si="129"/>
        <v>100350.444096</v>
      </c>
      <c r="U149" s="470"/>
      <c r="V149" s="470">
        <f t="shared" si="135"/>
        <v>324350.444096</v>
      </c>
      <c r="W149" s="471">
        <v>12</v>
      </c>
      <c r="X149" s="470">
        <f t="shared" si="130"/>
        <v>27029.2036746667</v>
      </c>
      <c r="Y149" s="476"/>
      <c r="Z149" s="470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6">
        <v>133</v>
      </c>
      <c r="B150" s="11" t="s">
        <v>334</v>
      </c>
      <c r="C150" s="470">
        <v>209356.04725</v>
      </c>
      <c r="D150" s="469">
        <v>12</v>
      </c>
      <c r="E150" s="470">
        <f t="shared" si="132"/>
        <v>2512272.567</v>
      </c>
      <c r="F150" s="470"/>
      <c r="G150" s="476"/>
      <c r="H150" s="476"/>
      <c r="I150" s="470">
        <f t="shared" si="133"/>
        <v>2512272.567</v>
      </c>
      <c r="J150" s="470">
        <v>200000</v>
      </c>
      <c r="K150" s="470">
        <v>0.2</v>
      </c>
      <c r="L150" s="470">
        <f t="shared" si="121"/>
        <v>502454.5134</v>
      </c>
      <c r="M150" s="470">
        <f t="shared" si="122"/>
        <v>702454.5134</v>
      </c>
      <c r="N150" s="470">
        <f t="shared" si="123"/>
        <v>702454.5134</v>
      </c>
      <c r="O150" s="470">
        <f t="shared" si="124"/>
        <v>1809818.0536</v>
      </c>
      <c r="P150" s="470">
        <f t="shared" si="125"/>
        <v>21000</v>
      </c>
      <c r="Q150" s="470">
        <f t="shared" si="126"/>
        <v>33000</v>
      </c>
      <c r="R150" s="470">
        <f t="shared" si="127"/>
        <v>75000</v>
      </c>
      <c r="S150" s="470">
        <f t="shared" si="128"/>
        <v>95000</v>
      </c>
      <c r="T150" s="470">
        <f t="shared" si="129"/>
        <v>44061.7912559999</v>
      </c>
      <c r="U150" s="470"/>
      <c r="V150" s="470">
        <f t="shared" si="135"/>
        <v>268061.791256</v>
      </c>
      <c r="W150" s="471">
        <v>12</v>
      </c>
      <c r="X150" s="470">
        <f t="shared" si="130"/>
        <v>22338.4826046667</v>
      </c>
      <c r="Y150" s="476"/>
      <c r="Z150" s="470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6">
        <v>134</v>
      </c>
      <c r="B151" s="18" t="s">
        <v>336</v>
      </c>
      <c r="C151" s="470">
        <v>205204.0845</v>
      </c>
      <c r="D151" s="469">
        <v>12</v>
      </c>
      <c r="E151" s="470">
        <f t="shared" si="132"/>
        <v>2462449.014</v>
      </c>
      <c r="F151" s="470"/>
      <c r="G151" s="476"/>
      <c r="H151" s="476"/>
      <c r="I151" s="470">
        <f t="shared" si="133"/>
        <v>2462449.014</v>
      </c>
      <c r="J151" s="470">
        <v>200000</v>
      </c>
      <c r="K151" s="470">
        <v>0.2</v>
      </c>
      <c r="L151" s="470">
        <f t="shared" si="121"/>
        <v>492489.8028</v>
      </c>
      <c r="M151" s="470">
        <f t="shared" si="122"/>
        <v>692489.8028</v>
      </c>
      <c r="N151" s="470">
        <f t="shared" si="123"/>
        <v>692489.8028</v>
      </c>
      <c r="O151" s="470">
        <f t="shared" si="124"/>
        <v>1769959.2112</v>
      </c>
      <c r="P151" s="470">
        <f t="shared" si="125"/>
        <v>21000</v>
      </c>
      <c r="Q151" s="470">
        <f t="shared" si="126"/>
        <v>33000</v>
      </c>
      <c r="R151" s="470">
        <f t="shared" si="127"/>
        <v>75000</v>
      </c>
      <c r="S151" s="470">
        <f t="shared" si="128"/>
        <v>95000</v>
      </c>
      <c r="T151" s="470">
        <f t="shared" si="129"/>
        <v>35691.434352</v>
      </c>
      <c r="U151" s="470"/>
      <c r="V151" s="470">
        <f t="shared" si="135"/>
        <v>259691.434352</v>
      </c>
      <c r="W151" s="471">
        <v>12</v>
      </c>
      <c r="X151" s="470">
        <f t="shared" si="130"/>
        <v>21640.9528626667</v>
      </c>
      <c r="Y151" s="476"/>
      <c r="Z151" s="470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6">
        <v>135</v>
      </c>
      <c r="B152" s="18" t="s">
        <v>343</v>
      </c>
      <c r="C152" s="470">
        <v>176816.1</v>
      </c>
      <c r="D152" s="469">
        <v>12</v>
      </c>
      <c r="E152" s="470">
        <f t="shared" si="132"/>
        <v>2121793.2</v>
      </c>
      <c r="F152" s="470">
        <v>0</v>
      </c>
      <c r="G152" s="476"/>
      <c r="H152" s="476"/>
      <c r="I152" s="470">
        <f t="shared" si="133"/>
        <v>2121793.2</v>
      </c>
      <c r="J152" s="470">
        <v>200000</v>
      </c>
      <c r="K152" s="470">
        <v>0.2</v>
      </c>
      <c r="L152" s="470">
        <f t="shared" si="121"/>
        <v>424358.64</v>
      </c>
      <c r="M152" s="470">
        <f t="shared" si="122"/>
        <v>624358.64</v>
      </c>
      <c r="N152" s="470">
        <f t="shared" si="123"/>
        <v>624358.64</v>
      </c>
      <c r="O152" s="470">
        <f t="shared" si="124"/>
        <v>1497434.56</v>
      </c>
      <c r="P152" s="470">
        <f t="shared" si="125"/>
        <v>21000</v>
      </c>
      <c r="Q152" s="470">
        <f t="shared" si="126"/>
        <v>33000</v>
      </c>
      <c r="R152" s="470">
        <f t="shared" si="127"/>
        <v>75000</v>
      </c>
      <c r="S152" s="470">
        <f t="shared" si="128"/>
        <v>75512.5664</v>
      </c>
      <c r="T152" s="470">
        <f t="shared" si="129"/>
        <v>0</v>
      </c>
      <c r="U152" s="470"/>
      <c r="V152" s="470">
        <f t="shared" si="135"/>
        <v>204512.5664</v>
      </c>
      <c r="W152" s="471">
        <v>12</v>
      </c>
      <c r="X152" s="470">
        <f t="shared" si="130"/>
        <v>17042.7138666667</v>
      </c>
      <c r="Y152" s="476"/>
      <c r="Z152" s="470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6">
        <v>136</v>
      </c>
      <c r="B153" s="18" t="s">
        <v>345</v>
      </c>
      <c r="C153" s="470">
        <v>176816.1</v>
      </c>
      <c r="D153" s="469">
        <v>12</v>
      </c>
      <c r="E153" s="470">
        <f t="shared" si="132"/>
        <v>2121793.2</v>
      </c>
      <c r="F153" s="470">
        <v>0</v>
      </c>
      <c r="G153" s="476"/>
      <c r="H153" s="476"/>
      <c r="I153" s="470">
        <f t="shared" si="133"/>
        <v>2121793.2</v>
      </c>
      <c r="J153" s="470">
        <v>200000</v>
      </c>
      <c r="K153" s="470">
        <v>0.2</v>
      </c>
      <c r="L153" s="470">
        <f t="shared" si="121"/>
        <v>424358.64</v>
      </c>
      <c r="M153" s="470">
        <f t="shared" si="122"/>
        <v>624358.64</v>
      </c>
      <c r="N153" s="470">
        <f t="shared" si="123"/>
        <v>624358.64</v>
      </c>
      <c r="O153" s="470">
        <f t="shared" si="124"/>
        <v>1497434.56</v>
      </c>
      <c r="P153" s="470">
        <f t="shared" si="125"/>
        <v>21000</v>
      </c>
      <c r="Q153" s="470">
        <f t="shared" si="126"/>
        <v>33000</v>
      </c>
      <c r="R153" s="470">
        <f t="shared" si="127"/>
        <v>75000</v>
      </c>
      <c r="S153" s="470">
        <f t="shared" si="128"/>
        <v>75512.5664</v>
      </c>
      <c r="T153" s="470">
        <f t="shared" si="129"/>
        <v>0</v>
      </c>
      <c r="U153" s="470"/>
      <c r="V153" s="470">
        <f t="shared" si="135"/>
        <v>204512.5664</v>
      </c>
      <c r="W153" s="471">
        <v>12</v>
      </c>
      <c r="X153" s="470">
        <f t="shared" si="130"/>
        <v>17042.7138666667</v>
      </c>
      <c r="Y153" s="476"/>
      <c r="Z153" s="470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6">
        <v>137</v>
      </c>
      <c r="B154" s="18" t="s">
        <v>347</v>
      </c>
      <c r="C154" s="470">
        <v>176816.1</v>
      </c>
      <c r="D154" s="469">
        <v>12</v>
      </c>
      <c r="E154" s="470">
        <f t="shared" si="132"/>
        <v>2121793.2</v>
      </c>
      <c r="F154" s="470">
        <v>0</v>
      </c>
      <c r="G154" s="476"/>
      <c r="H154" s="476"/>
      <c r="I154" s="470">
        <f t="shared" si="133"/>
        <v>2121793.2</v>
      </c>
      <c r="J154" s="470">
        <v>200000</v>
      </c>
      <c r="K154" s="470">
        <v>0.2</v>
      </c>
      <c r="L154" s="470">
        <f t="shared" si="121"/>
        <v>424358.64</v>
      </c>
      <c r="M154" s="470">
        <f t="shared" si="122"/>
        <v>624358.64</v>
      </c>
      <c r="N154" s="470">
        <f t="shared" si="123"/>
        <v>624358.64</v>
      </c>
      <c r="O154" s="470">
        <f t="shared" si="124"/>
        <v>1497434.56</v>
      </c>
      <c r="P154" s="470">
        <f t="shared" si="125"/>
        <v>21000</v>
      </c>
      <c r="Q154" s="470">
        <f t="shared" si="126"/>
        <v>33000</v>
      </c>
      <c r="R154" s="470">
        <f t="shared" si="127"/>
        <v>75000</v>
      </c>
      <c r="S154" s="470">
        <f t="shared" si="128"/>
        <v>75512.5664</v>
      </c>
      <c r="T154" s="470">
        <f t="shared" si="129"/>
        <v>0</v>
      </c>
      <c r="U154" s="470"/>
      <c r="V154" s="470">
        <f t="shared" si="135"/>
        <v>204512.5664</v>
      </c>
      <c r="W154" s="471">
        <v>12</v>
      </c>
      <c r="X154" s="470">
        <f t="shared" si="130"/>
        <v>17042.7138666667</v>
      </c>
      <c r="Y154" s="476"/>
      <c r="Z154" s="470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6">
        <v>138</v>
      </c>
      <c r="B155" s="18" t="s">
        <v>349</v>
      </c>
      <c r="C155" s="470">
        <v>180304.068</v>
      </c>
      <c r="D155" s="469">
        <v>12</v>
      </c>
      <c r="E155" s="470">
        <f t="shared" si="132"/>
        <v>2163648.816</v>
      </c>
      <c r="F155" s="470">
        <v>0</v>
      </c>
      <c r="G155" s="476"/>
      <c r="H155" s="476"/>
      <c r="I155" s="470">
        <f t="shared" si="133"/>
        <v>2163648.816</v>
      </c>
      <c r="J155" s="470">
        <v>200000</v>
      </c>
      <c r="K155" s="470">
        <v>0.2</v>
      </c>
      <c r="L155" s="470">
        <f t="shared" si="121"/>
        <v>432729.7632</v>
      </c>
      <c r="M155" s="470">
        <f t="shared" si="122"/>
        <v>632729.7632</v>
      </c>
      <c r="N155" s="470">
        <f t="shared" si="123"/>
        <v>632729.7632</v>
      </c>
      <c r="O155" s="470">
        <f t="shared" si="124"/>
        <v>1530919.0528</v>
      </c>
      <c r="P155" s="470">
        <f t="shared" si="125"/>
        <v>21000</v>
      </c>
      <c r="Q155" s="470">
        <f t="shared" si="126"/>
        <v>33000</v>
      </c>
      <c r="R155" s="470">
        <f t="shared" si="127"/>
        <v>75000</v>
      </c>
      <c r="S155" s="470">
        <f t="shared" si="128"/>
        <v>81874.620032</v>
      </c>
      <c r="T155" s="470">
        <f t="shared" si="129"/>
        <v>0</v>
      </c>
      <c r="U155" s="470"/>
      <c r="V155" s="470">
        <f t="shared" si="135"/>
        <v>210874.620032</v>
      </c>
      <c r="W155" s="471">
        <v>12</v>
      </c>
      <c r="X155" s="470">
        <f t="shared" si="130"/>
        <v>17572.8850026667</v>
      </c>
      <c r="Y155" s="476"/>
      <c r="Z155" s="470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6">
        <v>139</v>
      </c>
      <c r="B156" s="18" t="s">
        <v>350</v>
      </c>
      <c r="C156" s="470">
        <v>176816.1</v>
      </c>
      <c r="D156" s="469">
        <v>12</v>
      </c>
      <c r="E156" s="470">
        <f t="shared" si="132"/>
        <v>2121793.2</v>
      </c>
      <c r="F156" s="470">
        <v>0</v>
      </c>
      <c r="G156" s="476"/>
      <c r="H156" s="476"/>
      <c r="I156" s="470">
        <f t="shared" si="133"/>
        <v>2121793.2</v>
      </c>
      <c r="J156" s="470">
        <v>200000</v>
      </c>
      <c r="K156" s="470">
        <v>0.2</v>
      </c>
      <c r="L156" s="470">
        <f t="shared" si="121"/>
        <v>424358.64</v>
      </c>
      <c r="M156" s="470">
        <f t="shared" si="122"/>
        <v>624358.64</v>
      </c>
      <c r="N156" s="470">
        <f t="shared" si="123"/>
        <v>624358.64</v>
      </c>
      <c r="O156" s="470">
        <f t="shared" si="124"/>
        <v>1497434.56</v>
      </c>
      <c r="P156" s="470">
        <f t="shared" si="125"/>
        <v>21000</v>
      </c>
      <c r="Q156" s="470">
        <f t="shared" si="126"/>
        <v>33000</v>
      </c>
      <c r="R156" s="470">
        <f t="shared" si="127"/>
        <v>75000</v>
      </c>
      <c r="S156" s="470">
        <f t="shared" si="128"/>
        <v>75512.5664</v>
      </c>
      <c r="T156" s="470">
        <f t="shared" si="129"/>
        <v>0</v>
      </c>
      <c r="U156" s="470"/>
      <c r="V156" s="470">
        <f t="shared" si="135"/>
        <v>204512.5664</v>
      </c>
      <c r="W156" s="471">
        <v>12</v>
      </c>
      <c r="X156" s="470">
        <f t="shared" si="130"/>
        <v>17042.7138666667</v>
      </c>
      <c r="Y156" s="476"/>
      <c r="Z156" s="470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6">
        <v>140</v>
      </c>
      <c r="B157" s="11" t="s">
        <v>359</v>
      </c>
      <c r="C157" s="470">
        <v>135590.73</v>
      </c>
      <c r="D157" s="469">
        <v>12</v>
      </c>
      <c r="E157" s="470">
        <f t="shared" si="132"/>
        <v>1627088.76</v>
      </c>
      <c r="F157" s="470">
        <f>263.19*12</f>
        <v>3158.28</v>
      </c>
      <c r="G157" s="476"/>
      <c r="H157" s="476"/>
      <c r="I157" s="470">
        <f t="shared" si="133"/>
        <v>1623930.48</v>
      </c>
      <c r="J157" s="470">
        <v>200000</v>
      </c>
      <c r="K157" s="470">
        <v>0.2</v>
      </c>
      <c r="L157" s="470">
        <f t="shared" si="121"/>
        <v>324786.096</v>
      </c>
      <c r="M157" s="470">
        <f t="shared" si="122"/>
        <v>524786.096</v>
      </c>
      <c r="N157" s="470">
        <f t="shared" si="123"/>
        <v>527944.376</v>
      </c>
      <c r="O157" s="470">
        <f t="shared" si="124"/>
        <v>1099144.384</v>
      </c>
      <c r="P157" s="470">
        <f t="shared" si="125"/>
        <v>21000</v>
      </c>
      <c r="Q157" s="470">
        <f t="shared" si="126"/>
        <v>33000</v>
      </c>
      <c r="R157" s="470">
        <f t="shared" si="127"/>
        <v>74871.6576</v>
      </c>
      <c r="S157" s="470">
        <f t="shared" si="128"/>
        <v>0</v>
      </c>
      <c r="T157" s="470">
        <f t="shared" si="129"/>
        <v>0</v>
      </c>
      <c r="U157" s="470"/>
      <c r="V157" s="470">
        <f t="shared" si="135"/>
        <v>128871.6576</v>
      </c>
      <c r="W157" s="471">
        <v>12</v>
      </c>
      <c r="X157" s="470">
        <f t="shared" si="130"/>
        <v>10739.3048</v>
      </c>
      <c r="Y157" s="476"/>
      <c r="Z157" s="470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6">
        <v>141</v>
      </c>
      <c r="B158" s="11" t="s">
        <v>362</v>
      </c>
      <c r="C158" s="470">
        <v>138590.73</v>
      </c>
      <c r="D158" s="469">
        <v>12</v>
      </c>
      <c r="E158" s="470">
        <f t="shared" si="132"/>
        <v>1663088.76</v>
      </c>
      <c r="F158" s="470"/>
      <c r="G158" s="476"/>
      <c r="H158" s="476"/>
      <c r="I158" s="470">
        <f t="shared" si="133"/>
        <v>1663088.76</v>
      </c>
      <c r="J158" s="470">
        <v>200000</v>
      </c>
      <c r="K158" s="470">
        <v>0.2</v>
      </c>
      <c r="L158" s="470">
        <f t="shared" si="121"/>
        <v>332617.752</v>
      </c>
      <c r="M158" s="470">
        <f t="shared" si="122"/>
        <v>532617.752</v>
      </c>
      <c r="N158" s="470">
        <f t="shared" si="123"/>
        <v>532617.752</v>
      </c>
      <c r="O158" s="470">
        <f t="shared" si="124"/>
        <v>1130471.008</v>
      </c>
      <c r="P158" s="470">
        <f t="shared" si="125"/>
        <v>21000</v>
      </c>
      <c r="Q158" s="470">
        <f t="shared" si="126"/>
        <v>33000</v>
      </c>
      <c r="R158" s="470">
        <f t="shared" si="127"/>
        <v>75000</v>
      </c>
      <c r="S158" s="470">
        <f t="shared" si="128"/>
        <v>5789.49152000003</v>
      </c>
      <c r="T158" s="470">
        <f t="shared" si="129"/>
        <v>0</v>
      </c>
      <c r="U158" s="470"/>
      <c r="V158" s="470">
        <f t="shared" si="135"/>
        <v>134789.49152</v>
      </c>
      <c r="W158" s="471">
        <v>12</v>
      </c>
      <c r="X158" s="470">
        <f t="shared" si="130"/>
        <v>11232.4576266667</v>
      </c>
      <c r="Y158" s="476"/>
      <c r="Z158" s="470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6">
        <v>142</v>
      </c>
      <c r="B159" s="11" t="s">
        <v>666</v>
      </c>
      <c r="C159" s="470">
        <v>135590.73</v>
      </c>
      <c r="D159" s="469">
        <v>12</v>
      </c>
      <c r="E159" s="470">
        <f t="shared" si="132"/>
        <v>1627088.76</v>
      </c>
      <c r="F159" s="470"/>
      <c r="G159" s="476"/>
      <c r="H159" s="476"/>
      <c r="I159" s="470">
        <f t="shared" si="133"/>
        <v>1627088.76</v>
      </c>
      <c r="J159" s="470">
        <v>200000</v>
      </c>
      <c r="K159" s="470">
        <v>0.2</v>
      </c>
      <c r="L159" s="470">
        <f t="shared" si="121"/>
        <v>325417.752</v>
      </c>
      <c r="M159" s="470">
        <f t="shared" si="122"/>
        <v>525417.752</v>
      </c>
      <c r="N159" s="470">
        <f t="shared" si="123"/>
        <v>525417.752</v>
      </c>
      <c r="O159" s="470">
        <f t="shared" si="124"/>
        <v>1101671.008</v>
      </c>
      <c r="P159" s="470">
        <f t="shared" si="125"/>
        <v>21000</v>
      </c>
      <c r="Q159" s="470">
        <f t="shared" si="126"/>
        <v>33000</v>
      </c>
      <c r="R159" s="470">
        <f t="shared" si="127"/>
        <v>75000</v>
      </c>
      <c r="S159" s="470">
        <f t="shared" si="128"/>
        <v>317.491520000028</v>
      </c>
      <c r="T159" s="470">
        <f t="shared" si="129"/>
        <v>0</v>
      </c>
      <c r="U159" s="470"/>
      <c r="V159" s="470">
        <f t="shared" si="135"/>
        <v>129317.49152</v>
      </c>
      <c r="W159" s="471">
        <v>12</v>
      </c>
      <c r="X159" s="470">
        <f t="shared" si="130"/>
        <v>10776.4576266667</v>
      </c>
      <c r="Y159" s="476"/>
      <c r="Z159" s="470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55">
        <v>143</v>
      </c>
      <c r="B160" s="11" t="s">
        <v>363</v>
      </c>
      <c r="C160" s="470">
        <v>135590.73</v>
      </c>
      <c r="D160" s="469">
        <v>12</v>
      </c>
      <c r="E160" s="470">
        <f t="shared" si="132"/>
        <v>1627088.76</v>
      </c>
      <c r="F160" s="470">
        <f>263.19*12</f>
        <v>3158.28</v>
      </c>
      <c r="G160" s="476"/>
      <c r="H160" s="476"/>
      <c r="I160" s="470">
        <f t="shared" si="133"/>
        <v>1623930.48</v>
      </c>
      <c r="J160" s="470">
        <v>200000</v>
      </c>
      <c r="K160" s="470">
        <v>0.2</v>
      </c>
      <c r="L160" s="470">
        <f t="shared" si="121"/>
        <v>324786.096</v>
      </c>
      <c r="M160" s="470">
        <f t="shared" si="122"/>
        <v>524786.096</v>
      </c>
      <c r="N160" s="470">
        <f t="shared" si="123"/>
        <v>527944.376</v>
      </c>
      <c r="O160" s="470">
        <f t="shared" si="124"/>
        <v>1099144.384</v>
      </c>
      <c r="P160" s="470">
        <f t="shared" si="125"/>
        <v>21000</v>
      </c>
      <c r="Q160" s="470">
        <f t="shared" si="126"/>
        <v>33000</v>
      </c>
      <c r="R160" s="470">
        <f t="shared" si="127"/>
        <v>74871.6576</v>
      </c>
      <c r="S160" s="470">
        <f t="shared" si="128"/>
        <v>0</v>
      </c>
      <c r="T160" s="470">
        <f t="shared" si="129"/>
        <v>0</v>
      </c>
      <c r="U160" s="470"/>
      <c r="V160" s="470">
        <f t="shared" si="135"/>
        <v>128871.6576</v>
      </c>
      <c r="W160" s="471">
        <v>12</v>
      </c>
      <c r="X160" s="470">
        <f t="shared" si="130"/>
        <v>10739.3048</v>
      </c>
      <c r="Y160" s="476"/>
      <c r="Z160" s="470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55">
        <v>144</v>
      </c>
      <c r="B161" s="11" t="s">
        <v>364</v>
      </c>
      <c r="C161" s="470">
        <v>135590.73</v>
      </c>
      <c r="D161" s="469">
        <v>12</v>
      </c>
      <c r="E161" s="470">
        <f t="shared" si="132"/>
        <v>1627088.76</v>
      </c>
      <c r="F161" s="470"/>
      <c r="G161" s="476"/>
      <c r="H161" s="476"/>
      <c r="I161" s="470">
        <f t="shared" si="133"/>
        <v>1627088.76</v>
      </c>
      <c r="J161" s="470">
        <v>200000</v>
      </c>
      <c r="K161" s="470">
        <v>0.2</v>
      </c>
      <c r="L161" s="470">
        <f t="shared" si="121"/>
        <v>325417.752</v>
      </c>
      <c r="M161" s="470">
        <f t="shared" si="122"/>
        <v>525417.752</v>
      </c>
      <c r="N161" s="470">
        <f t="shared" si="123"/>
        <v>525417.752</v>
      </c>
      <c r="O161" s="470">
        <f t="shared" si="124"/>
        <v>1101671.008</v>
      </c>
      <c r="P161" s="470">
        <f t="shared" si="125"/>
        <v>21000</v>
      </c>
      <c r="Q161" s="470">
        <f t="shared" si="126"/>
        <v>33000</v>
      </c>
      <c r="R161" s="470">
        <f t="shared" si="127"/>
        <v>75000</v>
      </c>
      <c r="S161" s="470">
        <f t="shared" si="128"/>
        <v>317.491520000028</v>
      </c>
      <c r="T161" s="470">
        <f t="shared" si="129"/>
        <v>0</v>
      </c>
      <c r="U161" s="470"/>
      <c r="V161" s="470">
        <f t="shared" si="135"/>
        <v>129317.49152</v>
      </c>
      <c r="W161" s="471">
        <v>12</v>
      </c>
      <c r="X161" s="470">
        <f t="shared" si="130"/>
        <v>10776.4576266667</v>
      </c>
      <c r="Y161" s="476"/>
      <c r="Z161" s="470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55">
        <v>145</v>
      </c>
      <c r="B162" s="11" t="s">
        <v>365</v>
      </c>
      <c r="C162" s="470">
        <v>138590.73</v>
      </c>
      <c r="D162" s="469">
        <v>12</v>
      </c>
      <c r="E162" s="470">
        <f t="shared" si="132"/>
        <v>1663088.76</v>
      </c>
      <c r="F162" s="470"/>
      <c r="G162" s="476"/>
      <c r="H162" s="476"/>
      <c r="I162" s="470">
        <f t="shared" si="133"/>
        <v>1663088.76</v>
      </c>
      <c r="J162" s="470">
        <v>200000</v>
      </c>
      <c r="K162" s="470">
        <v>0.2</v>
      </c>
      <c r="L162" s="470">
        <f t="shared" si="121"/>
        <v>332617.752</v>
      </c>
      <c r="M162" s="470">
        <f t="shared" si="122"/>
        <v>532617.752</v>
      </c>
      <c r="N162" s="470">
        <f t="shared" si="123"/>
        <v>532617.752</v>
      </c>
      <c r="O162" s="470">
        <f t="shared" si="124"/>
        <v>1130471.008</v>
      </c>
      <c r="P162" s="470">
        <f t="shared" si="125"/>
        <v>21000</v>
      </c>
      <c r="Q162" s="470">
        <f t="shared" si="126"/>
        <v>33000</v>
      </c>
      <c r="R162" s="470">
        <f t="shared" si="127"/>
        <v>75000</v>
      </c>
      <c r="S162" s="470">
        <f t="shared" si="128"/>
        <v>5789.49152000003</v>
      </c>
      <c r="T162" s="470">
        <f t="shared" si="129"/>
        <v>0</v>
      </c>
      <c r="U162" s="470"/>
      <c r="V162" s="470">
        <f t="shared" si="135"/>
        <v>134789.49152</v>
      </c>
      <c r="W162" s="471">
        <v>12</v>
      </c>
      <c r="X162" s="470">
        <f t="shared" si="130"/>
        <v>11232.4576266667</v>
      </c>
      <c r="Y162" s="476"/>
      <c r="Z162" s="470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6">
        <v>146</v>
      </c>
      <c r="B163" s="11" t="s">
        <v>367</v>
      </c>
      <c r="C163" s="470">
        <v>135590.73</v>
      </c>
      <c r="D163" s="469">
        <v>12</v>
      </c>
      <c r="E163" s="470">
        <f t="shared" si="132"/>
        <v>1627088.76</v>
      </c>
      <c r="F163" s="470"/>
      <c r="G163" s="476"/>
      <c r="H163" s="476"/>
      <c r="I163" s="470">
        <f t="shared" si="133"/>
        <v>1627088.76</v>
      </c>
      <c r="J163" s="470">
        <v>200000</v>
      </c>
      <c r="K163" s="470">
        <v>0.2</v>
      </c>
      <c r="L163" s="470">
        <f t="shared" si="121"/>
        <v>325417.752</v>
      </c>
      <c r="M163" s="470">
        <f t="shared" si="122"/>
        <v>525417.752</v>
      </c>
      <c r="N163" s="470">
        <f t="shared" si="123"/>
        <v>525417.752</v>
      </c>
      <c r="O163" s="470">
        <f t="shared" si="124"/>
        <v>1101671.008</v>
      </c>
      <c r="P163" s="470">
        <f t="shared" si="125"/>
        <v>21000</v>
      </c>
      <c r="Q163" s="470">
        <f t="shared" si="126"/>
        <v>33000</v>
      </c>
      <c r="R163" s="470">
        <f t="shared" si="127"/>
        <v>75000</v>
      </c>
      <c r="S163" s="470">
        <f t="shared" si="128"/>
        <v>317.491520000028</v>
      </c>
      <c r="T163" s="470">
        <f t="shared" si="129"/>
        <v>0</v>
      </c>
      <c r="U163" s="470"/>
      <c r="V163" s="470">
        <f t="shared" si="135"/>
        <v>129317.49152</v>
      </c>
      <c r="W163" s="471">
        <v>12</v>
      </c>
      <c r="X163" s="470">
        <f t="shared" si="130"/>
        <v>10776.4576266667</v>
      </c>
      <c r="Y163" s="476"/>
      <c r="Z163" s="470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6">
        <v>147</v>
      </c>
      <c r="B164" s="14" t="s">
        <v>368</v>
      </c>
      <c r="C164" s="470">
        <v>138590.73</v>
      </c>
      <c r="D164" s="469">
        <v>12</v>
      </c>
      <c r="E164" s="470">
        <f t="shared" si="132"/>
        <v>1663088.76</v>
      </c>
      <c r="F164" s="470"/>
      <c r="G164" s="476"/>
      <c r="H164" s="476"/>
      <c r="I164" s="470">
        <f t="shared" si="133"/>
        <v>1663088.76</v>
      </c>
      <c r="J164" s="470">
        <v>200000</v>
      </c>
      <c r="K164" s="470">
        <v>0.2</v>
      </c>
      <c r="L164" s="470">
        <f t="shared" si="121"/>
        <v>332617.752</v>
      </c>
      <c r="M164" s="470">
        <f t="shared" si="122"/>
        <v>532617.752</v>
      </c>
      <c r="N164" s="470">
        <f t="shared" si="123"/>
        <v>532617.752</v>
      </c>
      <c r="O164" s="470">
        <f t="shared" si="124"/>
        <v>1130471.008</v>
      </c>
      <c r="P164" s="470">
        <f t="shared" si="125"/>
        <v>21000</v>
      </c>
      <c r="Q164" s="470">
        <f t="shared" si="126"/>
        <v>33000</v>
      </c>
      <c r="R164" s="470">
        <f t="shared" si="127"/>
        <v>75000</v>
      </c>
      <c r="S164" s="470">
        <f t="shared" si="128"/>
        <v>5789.49152000003</v>
      </c>
      <c r="T164" s="470">
        <f t="shared" si="129"/>
        <v>0</v>
      </c>
      <c r="U164" s="470"/>
      <c r="V164" s="470">
        <f t="shared" si="135"/>
        <v>134789.49152</v>
      </c>
      <c r="W164" s="471">
        <v>12</v>
      </c>
      <c r="X164" s="470">
        <f t="shared" si="130"/>
        <v>11232.4576266667</v>
      </c>
      <c r="Y164" s="476"/>
      <c r="Z164" s="470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6">
        <v>148</v>
      </c>
      <c r="B165" s="11" t="s">
        <v>369</v>
      </c>
      <c r="C165" s="470">
        <v>135590.73</v>
      </c>
      <c r="D165" s="469">
        <v>12</v>
      </c>
      <c r="E165" s="470">
        <f t="shared" si="132"/>
        <v>1627088.76</v>
      </c>
      <c r="F165" s="470"/>
      <c r="G165" s="476"/>
      <c r="H165" s="476"/>
      <c r="I165" s="470">
        <f t="shared" si="133"/>
        <v>1627088.76</v>
      </c>
      <c r="J165" s="470">
        <v>200000</v>
      </c>
      <c r="K165" s="470">
        <v>0.2</v>
      </c>
      <c r="L165" s="470">
        <f t="shared" si="121"/>
        <v>325417.752</v>
      </c>
      <c r="M165" s="470">
        <f t="shared" si="122"/>
        <v>525417.752</v>
      </c>
      <c r="N165" s="470">
        <f t="shared" si="123"/>
        <v>525417.752</v>
      </c>
      <c r="O165" s="470">
        <f t="shared" si="124"/>
        <v>1101671.008</v>
      </c>
      <c r="P165" s="470">
        <f t="shared" si="125"/>
        <v>21000</v>
      </c>
      <c r="Q165" s="470">
        <f t="shared" si="126"/>
        <v>33000</v>
      </c>
      <c r="R165" s="470">
        <f t="shared" si="127"/>
        <v>75000</v>
      </c>
      <c r="S165" s="470">
        <f t="shared" si="128"/>
        <v>317.491520000028</v>
      </c>
      <c r="T165" s="470">
        <f t="shared" si="129"/>
        <v>0</v>
      </c>
      <c r="U165" s="470"/>
      <c r="V165" s="470">
        <f t="shared" si="135"/>
        <v>129317.49152</v>
      </c>
      <c r="W165" s="471">
        <v>12</v>
      </c>
      <c r="X165" s="470">
        <f t="shared" si="130"/>
        <v>10776.4576266667</v>
      </c>
      <c r="Y165" s="476"/>
      <c r="Z165" s="470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6">
        <v>149</v>
      </c>
      <c r="B166" s="18" t="s">
        <v>370</v>
      </c>
      <c r="C166" s="470">
        <v>135590.73</v>
      </c>
      <c r="D166" s="469">
        <v>12</v>
      </c>
      <c r="E166" s="470">
        <f t="shared" si="132"/>
        <v>1627088.76</v>
      </c>
      <c r="F166" s="470"/>
      <c r="G166" s="476"/>
      <c r="H166" s="476"/>
      <c r="I166" s="470">
        <f t="shared" si="133"/>
        <v>1627088.76</v>
      </c>
      <c r="J166" s="470">
        <v>200000</v>
      </c>
      <c r="K166" s="470">
        <v>0.2</v>
      </c>
      <c r="L166" s="470">
        <f t="shared" si="121"/>
        <v>325417.752</v>
      </c>
      <c r="M166" s="470">
        <f t="shared" si="122"/>
        <v>525417.752</v>
      </c>
      <c r="N166" s="470">
        <f t="shared" si="123"/>
        <v>525417.752</v>
      </c>
      <c r="O166" s="470">
        <f t="shared" si="124"/>
        <v>1101671.008</v>
      </c>
      <c r="P166" s="470">
        <f t="shared" si="125"/>
        <v>21000</v>
      </c>
      <c r="Q166" s="470">
        <f t="shared" si="126"/>
        <v>33000</v>
      </c>
      <c r="R166" s="470">
        <f t="shared" si="127"/>
        <v>75000</v>
      </c>
      <c r="S166" s="470">
        <f t="shared" si="128"/>
        <v>317.491520000028</v>
      </c>
      <c r="T166" s="470">
        <f t="shared" si="129"/>
        <v>0</v>
      </c>
      <c r="U166" s="470"/>
      <c r="V166" s="470">
        <f t="shared" si="135"/>
        <v>129317.49152</v>
      </c>
      <c r="W166" s="471">
        <v>12</v>
      </c>
      <c r="X166" s="470">
        <f t="shared" si="130"/>
        <v>10776.4576266667</v>
      </c>
      <c r="Y166" s="476"/>
      <c r="Z166" s="470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6">
        <v>150</v>
      </c>
      <c r="B167" s="18" t="s">
        <v>357</v>
      </c>
      <c r="C167" s="470">
        <v>138590.73</v>
      </c>
      <c r="D167" s="469">
        <v>12</v>
      </c>
      <c r="E167" s="470">
        <f t="shared" si="132"/>
        <v>1663088.76</v>
      </c>
      <c r="F167" s="470"/>
      <c r="G167" s="476"/>
      <c r="H167" s="476"/>
      <c r="I167" s="470">
        <f t="shared" si="133"/>
        <v>1663088.76</v>
      </c>
      <c r="J167" s="470">
        <v>200000</v>
      </c>
      <c r="K167" s="470">
        <v>0.2</v>
      </c>
      <c r="L167" s="470">
        <f t="shared" si="121"/>
        <v>332617.752</v>
      </c>
      <c r="M167" s="470">
        <f t="shared" si="122"/>
        <v>532617.752</v>
      </c>
      <c r="N167" s="470">
        <f t="shared" si="123"/>
        <v>532617.752</v>
      </c>
      <c r="O167" s="470">
        <f t="shared" si="124"/>
        <v>1130471.008</v>
      </c>
      <c r="P167" s="470">
        <f t="shared" si="125"/>
        <v>21000</v>
      </c>
      <c r="Q167" s="470">
        <f t="shared" si="126"/>
        <v>33000</v>
      </c>
      <c r="R167" s="470">
        <f t="shared" si="127"/>
        <v>75000</v>
      </c>
      <c r="S167" s="470">
        <f t="shared" si="128"/>
        <v>5789.49152000003</v>
      </c>
      <c r="T167" s="470">
        <f t="shared" si="129"/>
        <v>0</v>
      </c>
      <c r="U167" s="470"/>
      <c r="V167" s="470">
        <f t="shared" si="135"/>
        <v>134789.49152</v>
      </c>
      <c r="W167" s="471">
        <v>12</v>
      </c>
      <c r="X167" s="470">
        <f t="shared" si="130"/>
        <v>11232.4576266667</v>
      </c>
      <c r="Y167" s="476"/>
      <c r="Z167" s="470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6">
        <v>151</v>
      </c>
      <c r="B168" s="11" t="s">
        <v>371</v>
      </c>
      <c r="C168" s="470">
        <v>122104.99825</v>
      </c>
      <c r="D168" s="469">
        <v>12</v>
      </c>
      <c r="E168" s="470">
        <f t="shared" si="132"/>
        <v>1465259.979</v>
      </c>
      <c r="F168" s="470"/>
      <c r="G168" s="476"/>
      <c r="H168" s="476"/>
      <c r="I168" s="470">
        <f t="shared" si="133"/>
        <v>1465259.979</v>
      </c>
      <c r="J168" s="470">
        <v>200000</v>
      </c>
      <c r="K168" s="470">
        <v>0.2</v>
      </c>
      <c r="L168" s="470">
        <f t="shared" si="121"/>
        <v>293051.9958</v>
      </c>
      <c r="M168" s="470">
        <f t="shared" si="122"/>
        <v>493051.9958</v>
      </c>
      <c r="N168" s="470">
        <f t="shared" si="123"/>
        <v>493051.9958</v>
      </c>
      <c r="O168" s="470">
        <f t="shared" si="124"/>
        <v>972207.9832</v>
      </c>
      <c r="P168" s="470">
        <f t="shared" si="125"/>
        <v>21000</v>
      </c>
      <c r="Q168" s="470">
        <f t="shared" si="126"/>
        <v>33000</v>
      </c>
      <c r="R168" s="470">
        <f t="shared" si="127"/>
        <v>55831.19748</v>
      </c>
      <c r="S168" s="470">
        <f t="shared" si="128"/>
        <v>0</v>
      </c>
      <c r="T168" s="470">
        <f t="shared" si="129"/>
        <v>0</v>
      </c>
      <c r="U168" s="470"/>
      <c r="V168" s="470">
        <f t="shared" si="135"/>
        <v>109831.19748</v>
      </c>
      <c r="W168" s="471">
        <v>12</v>
      </c>
      <c r="X168" s="470">
        <f t="shared" si="130"/>
        <v>9152.59979</v>
      </c>
      <c r="Y168" s="476"/>
      <c r="Z168" s="470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6">
        <v>152</v>
      </c>
      <c r="B169" s="11" t="s">
        <v>373</v>
      </c>
      <c r="C169" s="470">
        <v>122104.99825</v>
      </c>
      <c r="D169" s="469">
        <v>12</v>
      </c>
      <c r="E169" s="470">
        <f t="shared" si="132"/>
        <v>1465259.979</v>
      </c>
      <c r="F169" s="470"/>
      <c r="G169" s="476"/>
      <c r="H169" s="476"/>
      <c r="I169" s="470">
        <f t="shared" si="133"/>
        <v>1465259.979</v>
      </c>
      <c r="J169" s="470">
        <v>200000</v>
      </c>
      <c r="K169" s="470">
        <v>0.2</v>
      </c>
      <c r="L169" s="470">
        <f t="shared" si="121"/>
        <v>293051.9958</v>
      </c>
      <c r="M169" s="470">
        <f t="shared" si="122"/>
        <v>493051.9958</v>
      </c>
      <c r="N169" s="470">
        <f t="shared" si="123"/>
        <v>493051.9958</v>
      </c>
      <c r="O169" s="470">
        <f t="shared" si="124"/>
        <v>972207.9832</v>
      </c>
      <c r="P169" s="470">
        <f t="shared" si="125"/>
        <v>21000</v>
      </c>
      <c r="Q169" s="470">
        <f t="shared" si="126"/>
        <v>33000</v>
      </c>
      <c r="R169" s="470">
        <f t="shared" si="127"/>
        <v>55831.19748</v>
      </c>
      <c r="S169" s="470">
        <f t="shared" si="128"/>
        <v>0</v>
      </c>
      <c r="T169" s="470">
        <f t="shared" si="129"/>
        <v>0</v>
      </c>
      <c r="U169" s="470"/>
      <c r="V169" s="470">
        <f t="shared" si="135"/>
        <v>109831.19748</v>
      </c>
      <c r="W169" s="471">
        <v>12</v>
      </c>
      <c r="X169" s="470">
        <f t="shared" si="130"/>
        <v>9152.59979</v>
      </c>
      <c r="Y169" s="476"/>
      <c r="Z169" s="470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6">
        <v>153</v>
      </c>
      <c r="B170" s="18" t="s">
        <v>374</v>
      </c>
      <c r="C170" s="470">
        <v>125035.0345</v>
      </c>
      <c r="D170" s="469">
        <v>12</v>
      </c>
      <c r="E170" s="470">
        <f t="shared" si="132"/>
        <v>1500420.414</v>
      </c>
      <c r="F170" s="470"/>
      <c r="G170" s="476"/>
      <c r="H170" s="476"/>
      <c r="I170" s="470">
        <f t="shared" si="133"/>
        <v>1500420.414</v>
      </c>
      <c r="J170" s="470">
        <v>200000</v>
      </c>
      <c r="K170" s="470">
        <v>0.2</v>
      </c>
      <c r="L170" s="470">
        <f t="shared" si="121"/>
        <v>300084.0828</v>
      </c>
      <c r="M170" s="470">
        <f t="shared" si="122"/>
        <v>500084.0828</v>
      </c>
      <c r="N170" s="470">
        <f t="shared" si="123"/>
        <v>500084.0828</v>
      </c>
      <c r="O170" s="470">
        <f t="shared" si="124"/>
        <v>1000336.3312</v>
      </c>
      <c r="P170" s="470">
        <f t="shared" si="125"/>
        <v>21000</v>
      </c>
      <c r="Q170" s="470">
        <f t="shared" si="126"/>
        <v>33000</v>
      </c>
      <c r="R170" s="470">
        <f t="shared" si="127"/>
        <v>60050.44968</v>
      </c>
      <c r="S170" s="470">
        <f t="shared" si="128"/>
        <v>0</v>
      </c>
      <c r="T170" s="470">
        <f t="shared" si="129"/>
        <v>0</v>
      </c>
      <c r="U170" s="470"/>
      <c r="V170" s="470">
        <f t="shared" si="135"/>
        <v>114050.44968</v>
      </c>
      <c r="W170" s="471">
        <v>12</v>
      </c>
      <c r="X170" s="470">
        <f t="shared" si="130"/>
        <v>9504.20414</v>
      </c>
      <c r="Y170" s="476"/>
      <c r="Z170" s="470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6">
        <v>154</v>
      </c>
      <c r="B171" s="11" t="s">
        <v>376</v>
      </c>
      <c r="C171" s="470">
        <v>81803.001</v>
      </c>
      <c r="D171" s="469">
        <v>12</v>
      </c>
      <c r="E171" s="470">
        <f t="shared" si="132"/>
        <v>981636.012</v>
      </c>
      <c r="F171" s="470"/>
      <c r="G171" s="476"/>
      <c r="H171" s="476"/>
      <c r="I171" s="470">
        <f t="shared" si="133"/>
        <v>981636.012</v>
      </c>
      <c r="J171" s="470">
        <v>200000</v>
      </c>
      <c r="K171" s="470">
        <v>0.2</v>
      </c>
      <c r="L171" s="470">
        <f t="shared" si="121"/>
        <v>196327.2024</v>
      </c>
      <c r="M171" s="470">
        <f t="shared" si="122"/>
        <v>396327.2024</v>
      </c>
      <c r="N171" s="470">
        <f t="shared" si="123"/>
        <v>396327.2024</v>
      </c>
      <c r="O171" s="470">
        <f t="shared" si="124"/>
        <v>585308.8096</v>
      </c>
      <c r="P171" s="470">
        <f t="shared" si="125"/>
        <v>21000</v>
      </c>
      <c r="Q171" s="470">
        <f t="shared" si="126"/>
        <v>31383.969056</v>
      </c>
      <c r="R171" s="470">
        <f t="shared" si="127"/>
        <v>0</v>
      </c>
      <c r="S171" s="470">
        <f t="shared" si="128"/>
        <v>0</v>
      </c>
      <c r="T171" s="470">
        <f t="shared" si="129"/>
        <v>0</v>
      </c>
      <c r="U171" s="470"/>
      <c r="V171" s="470">
        <f t="shared" si="135"/>
        <v>52383.969056</v>
      </c>
      <c r="W171" s="471">
        <v>12</v>
      </c>
      <c r="X171" s="470">
        <f t="shared" si="130"/>
        <v>4365.33075466667</v>
      </c>
      <c r="Y171" s="476"/>
      <c r="Z171" s="470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6">
        <v>155</v>
      </c>
      <c r="B172" s="11" t="s">
        <v>378</v>
      </c>
      <c r="C172" s="470">
        <v>80237.012</v>
      </c>
      <c r="D172" s="469">
        <v>12</v>
      </c>
      <c r="E172" s="470">
        <f t="shared" si="132"/>
        <v>962844.144</v>
      </c>
      <c r="F172" s="470"/>
      <c r="G172" s="476"/>
      <c r="H172" s="476"/>
      <c r="I172" s="470">
        <f t="shared" si="133"/>
        <v>962844.144</v>
      </c>
      <c r="J172" s="470">
        <v>200000</v>
      </c>
      <c r="K172" s="470">
        <v>0.2</v>
      </c>
      <c r="L172" s="470">
        <f t="shared" si="121"/>
        <v>192568.8288</v>
      </c>
      <c r="M172" s="470">
        <f t="shared" si="122"/>
        <v>392568.8288</v>
      </c>
      <c r="N172" s="470">
        <f t="shared" si="123"/>
        <v>392568.8288</v>
      </c>
      <c r="O172" s="470">
        <f t="shared" si="124"/>
        <v>570275.3152</v>
      </c>
      <c r="P172" s="470">
        <f t="shared" si="125"/>
        <v>21000</v>
      </c>
      <c r="Q172" s="470">
        <f t="shared" si="126"/>
        <v>29730.284672</v>
      </c>
      <c r="R172" s="470">
        <f t="shared" si="127"/>
        <v>0</v>
      </c>
      <c r="S172" s="470">
        <f t="shared" si="128"/>
        <v>0</v>
      </c>
      <c r="T172" s="470">
        <f t="shared" si="129"/>
        <v>0</v>
      </c>
      <c r="U172" s="470"/>
      <c r="V172" s="470">
        <f t="shared" si="135"/>
        <v>50730.284672</v>
      </c>
      <c r="W172" s="471">
        <v>12</v>
      </c>
      <c r="X172" s="470">
        <f t="shared" si="130"/>
        <v>4227.52372266667</v>
      </c>
      <c r="Y172" s="476"/>
      <c r="Z172" s="470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55">
        <v>156</v>
      </c>
      <c r="B173" s="11" t="s">
        <v>379</v>
      </c>
      <c r="C173" s="470">
        <v>77237.012</v>
      </c>
      <c r="D173" s="469">
        <v>12</v>
      </c>
      <c r="E173" s="470">
        <f t="shared" si="132"/>
        <v>926844.144</v>
      </c>
      <c r="F173" s="470"/>
      <c r="G173" s="476"/>
      <c r="H173" s="476"/>
      <c r="I173" s="470">
        <f t="shared" si="133"/>
        <v>926844.144</v>
      </c>
      <c r="J173" s="470">
        <v>200000</v>
      </c>
      <c r="K173" s="470">
        <v>0.2</v>
      </c>
      <c r="L173" s="470">
        <f t="shared" si="121"/>
        <v>185368.8288</v>
      </c>
      <c r="M173" s="470">
        <f t="shared" si="122"/>
        <v>385368.8288</v>
      </c>
      <c r="N173" s="470">
        <f t="shared" si="123"/>
        <v>385368.8288</v>
      </c>
      <c r="O173" s="470">
        <f t="shared" si="124"/>
        <v>541475.3152</v>
      </c>
      <c r="P173" s="470">
        <f t="shared" si="125"/>
        <v>21000</v>
      </c>
      <c r="Q173" s="470">
        <f t="shared" si="126"/>
        <v>26562.284672</v>
      </c>
      <c r="R173" s="470">
        <f t="shared" si="127"/>
        <v>0</v>
      </c>
      <c r="S173" s="470">
        <f t="shared" si="128"/>
        <v>0</v>
      </c>
      <c r="T173" s="470">
        <f t="shared" si="129"/>
        <v>0</v>
      </c>
      <c r="U173" s="470"/>
      <c r="V173" s="470">
        <f t="shared" si="135"/>
        <v>47562.284672</v>
      </c>
      <c r="W173" s="471">
        <v>12</v>
      </c>
      <c r="X173" s="470">
        <f t="shared" si="130"/>
        <v>3963.52372266667</v>
      </c>
      <c r="Y173" s="476"/>
      <c r="Z173" s="470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6">
        <v>157</v>
      </c>
      <c r="B174" s="11" t="s">
        <v>380</v>
      </c>
      <c r="C174" s="470">
        <v>80237.012</v>
      </c>
      <c r="D174" s="469">
        <v>12</v>
      </c>
      <c r="E174" s="470">
        <f t="shared" si="132"/>
        <v>962844.144</v>
      </c>
      <c r="F174" s="470"/>
      <c r="G174" s="476"/>
      <c r="H174" s="476"/>
      <c r="I174" s="470">
        <f t="shared" si="133"/>
        <v>962844.144</v>
      </c>
      <c r="J174" s="470">
        <v>200000</v>
      </c>
      <c r="K174" s="470">
        <v>0.2</v>
      </c>
      <c r="L174" s="470">
        <f t="shared" si="121"/>
        <v>192568.8288</v>
      </c>
      <c r="M174" s="470">
        <f t="shared" si="122"/>
        <v>392568.8288</v>
      </c>
      <c r="N174" s="470">
        <f t="shared" si="123"/>
        <v>392568.8288</v>
      </c>
      <c r="O174" s="470">
        <f t="shared" si="124"/>
        <v>570275.3152</v>
      </c>
      <c r="P174" s="470">
        <f t="shared" si="125"/>
        <v>21000</v>
      </c>
      <c r="Q174" s="470">
        <f t="shared" si="126"/>
        <v>29730.284672</v>
      </c>
      <c r="R174" s="470">
        <f t="shared" si="127"/>
        <v>0</v>
      </c>
      <c r="S174" s="470">
        <f t="shared" si="128"/>
        <v>0</v>
      </c>
      <c r="T174" s="470">
        <f t="shared" si="129"/>
        <v>0</v>
      </c>
      <c r="U174" s="470"/>
      <c r="V174" s="470">
        <f t="shared" si="135"/>
        <v>50730.284672</v>
      </c>
      <c r="W174" s="471">
        <v>12</v>
      </c>
      <c r="X174" s="470">
        <f t="shared" si="130"/>
        <v>4227.52372266667</v>
      </c>
      <c r="Y174" s="476"/>
      <c r="Z174" s="470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39"/>
      <c r="B175" s="11" t="s">
        <v>381</v>
      </c>
      <c r="C175" s="483">
        <v>77237.012</v>
      </c>
      <c r="D175" s="469">
        <v>12</v>
      </c>
      <c r="E175" s="470">
        <f t="shared" si="132"/>
        <v>926844.144</v>
      </c>
      <c r="F175" s="470"/>
      <c r="G175" s="476"/>
      <c r="H175" s="476"/>
      <c r="I175" s="470">
        <f t="shared" si="133"/>
        <v>926844.144</v>
      </c>
      <c r="J175" s="470">
        <v>200000</v>
      </c>
      <c r="K175" s="470">
        <v>0.2</v>
      </c>
      <c r="L175" s="470">
        <f t="shared" si="121"/>
        <v>185368.8288</v>
      </c>
      <c r="M175" s="470">
        <f t="shared" si="122"/>
        <v>385368.8288</v>
      </c>
      <c r="N175" s="470">
        <f t="shared" si="123"/>
        <v>385368.8288</v>
      </c>
      <c r="O175" s="470">
        <f t="shared" si="124"/>
        <v>541475.3152</v>
      </c>
      <c r="P175" s="470">
        <f t="shared" si="125"/>
        <v>21000</v>
      </c>
      <c r="Q175" s="470">
        <f t="shared" si="126"/>
        <v>26562.284672</v>
      </c>
      <c r="R175" s="470">
        <f t="shared" si="127"/>
        <v>0</v>
      </c>
      <c r="S175" s="470">
        <f t="shared" si="128"/>
        <v>0</v>
      </c>
      <c r="T175" s="470">
        <f t="shared" si="129"/>
        <v>0</v>
      </c>
      <c r="U175" s="470"/>
      <c r="V175" s="470">
        <f t="shared" si="135"/>
        <v>47562.284672</v>
      </c>
      <c r="W175" s="471">
        <v>12</v>
      </c>
      <c r="X175" s="470">
        <f t="shared" si="130"/>
        <v>3963.52372266667</v>
      </c>
      <c r="Y175" s="476"/>
      <c r="Z175" s="470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31">
      <c r="A176" s="539"/>
      <c r="B176" s="11" t="s">
        <v>382</v>
      </c>
      <c r="C176" s="483">
        <v>80237.012</v>
      </c>
      <c r="D176" s="469">
        <v>12</v>
      </c>
      <c r="E176" s="470">
        <f t="shared" si="132"/>
        <v>962844.144</v>
      </c>
      <c r="F176" s="470"/>
      <c r="G176" s="476"/>
      <c r="H176" s="476"/>
      <c r="I176" s="470">
        <f t="shared" si="133"/>
        <v>962844.144</v>
      </c>
      <c r="J176" s="470">
        <v>200000</v>
      </c>
      <c r="K176" s="470">
        <v>0.2</v>
      </c>
      <c r="L176" s="470">
        <f t="shared" si="121"/>
        <v>192568.8288</v>
      </c>
      <c r="M176" s="470">
        <f t="shared" si="122"/>
        <v>392568.8288</v>
      </c>
      <c r="N176" s="470">
        <f t="shared" si="123"/>
        <v>392568.8288</v>
      </c>
      <c r="O176" s="470">
        <f t="shared" si="124"/>
        <v>570275.3152</v>
      </c>
      <c r="P176" s="470">
        <f t="shared" si="125"/>
        <v>21000</v>
      </c>
      <c r="Q176" s="470">
        <f t="shared" si="126"/>
        <v>29730.284672</v>
      </c>
      <c r="R176" s="470">
        <f t="shared" si="127"/>
        <v>0</v>
      </c>
      <c r="S176" s="470">
        <f t="shared" si="128"/>
        <v>0</v>
      </c>
      <c r="T176" s="470">
        <f t="shared" si="129"/>
        <v>0</v>
      </c>
      <c r="U176" s="470"/>
      <c r="V176" s="470">
        <f t="shared" si="135"/>
        <v>50730.284672</v>
      </c>
      <c r="W176" s="471">
        <v>12</v>
      </c>
      <c r="X176" s="470">
        <f t="shared" si="130"/>
        <v>4227.52372266667</v>
      </c>
      <c r="Y176" s="476"/>
      <c r="Z176" s="470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383</v>
      </c>
      <c r="C177" s="473">
        <v>77237.012</v>
      </c>
      <c r="D177" s="469">
        <v>12</v>
      </c>
      <c r="E177" s="470">
        <f t="shared" si="132"/>
        <v>926844.144</v>
      </c>
      <c r="F177" s="296"/>
      <c r="G177" s="296"/>
      <c r="H177" s="296"/>
      <c r="I177" s="470">
        <f t="shared" si="133"/>
        <v>926844.144</v>
      </c>
      <c r="J177" s="470">
        <v>200000</v>
      </c>
      <c r="K177" s="470">
        <v>0.2</v>
      </c>
      <c r="L177" s="470">
        <f t="shared" si="121"/>
        <v>185368.8288</v>
      </c>
      <c r="M177" s="470">
        <f t="shared" si="122"/>
        <v>385368.8288</v>
      </c>
      <c r="N177" s="470">
        <f t="shared" si="123"/>
        <v>385368.8288</v>
      </c>
      <c r="O177" s="470">
        <f t="shared" si="124"/>
        <v>541475.3152</v>
      </c>
      <c r="P177" s="470">
        <f t="shared" si="125"/>
        <v>21000</v>
      </c>
      <c r="Q177" s="470">
        <f t="shared" si="126"/>
        <v>26562.284672</v>
      </c>
      <c r="R177" s="470">
        <f t="shared" si="127"/>
        <v>0</v>
      </c>
      <c r="S177" s="470">
        <f t="shared" si="128"/>
        <v>0</v>
      </c>
      <c r="T177" s="470">
        <f t="shared" si="129"/>
        <v>0</v>
      </c>
      <c r="U177" s="470"/>
      <c r="V177" s="470">
        <f t="shared" si="135"/>
        <v>47562.284672</v>
      </c>
      <c r="W177" s="471">
        <v>12</v>
      </c>
      <c r="X177" s="470">
        <f t="shared" si="130"/>
        <v>3963.52372266667</v>
      </c>
      <c r="Y177" s="296"/>
      <c r="Z177" s="470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385</v>
      </c>
      <c r="C178" s="473">
        <v>80237.012</v>
      </c>
      <c r="D178" s="469">
        <v>12</v>
      </c>
      <c r="E178" s="470">
        <f t="shared" si="132"/>
        <v>962844.144</v>
      </c>
      <c r="F178" s="296"/>
      <c r="G178" s="296"/>
      <c r="H178" s="296"/>
      <c r="I178" s="470">
        <f t="shared" si="133"/>
        <v>962844.144</v>
      </c>
      <c r="J178" s="470">
        <v>200000</v>
      </c>
      <c r="K178" s="470">
        <v>0.2</v>
      </c>
      <c r="L178" s="470">
        <f t="shared" si="121"/>
        <v>192568.8288</v>
      </c>
      <c r="M178" s="470">
        <f t="shared" si="122"/>
        <v>392568.8288</v>
      </c>
      <c r="N178" s="470">
        <f t="shared" si="123"/>
        <v>392568.8288</v>
      </c>
      <c r="O178" s="470">
        <f t="shared" si="124"/>
        <v>570275.3152</v>
      </c>
      <c r="P178" s="470">
        <f t="shared" si="125"/>
        <v>21000</v>
      </c>
      <c r="Q178" s="470">
        <f t="shared" si="126"/>
        <v>29730.284672</v>
      </c>
      <c r="R178" s="470">
        <f t="shared" si="127"/>
        <v>0</v>
      </c>
      <c r="S178" s="470">
        <f t="shared" si="128"/>
        <v>0</v>
      </c>
      <c r="T178" s="470">
        <f t="shared" si="129"/>
        <v>0</v>
      </c>
      <c r="U178" s="296"/>
      <c r="V178" s="470">
        <f t="shared" si="135"/>
        <v>50730.284672</v>
      </c>
      <c r="W178" s="471">
        <v>12</v>
      </c>
      <c r="X178" s="470">
        <f t="shared" si="130"/>
        <v>4227.52372266667</v>
      </c>
      <c r="Y178" s="296"/>
      <c r="Z178" s="470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668</v>
      </c>
      <c r="C179" s="473">
        <v>78671.023</v>
      </c>
      <c r="D179" s="469">
        <v>12</v>
      </c>
      <c r="E179" s="470">
        <f t="shared" si="132"/>
        <v>944052.276</v>
      </c>
      <c r="F179" s="296"/>
      <c r="G179" s="296"/>
      <c r="H179" s="296"/>
      <c r="I179" s="470">
        <f t="shared" si="133"/>
        <v>944052.276</v>
      </c>
      <c r="J179" s="470">
        <v>200000</v>
      </c>
      <c r="K179" s="470">
        <v>0.2</v>
      </c>
      <c r="L179" s="470">
        <f t="shared" si="121"/>
        <v>188810.4552</v>
      </c>
      <c r="M179" s="470">
        <f t="shared" si="122"/>
        <v>388810.4552</v>
      </c>
      <c r="N179" s="470">
        <f t="shared" si="123"/>
        <v>388810.4552</v>
      </c>
      <c r="O179" s="470">
        <f t="shared" si="124"/>
        <v>555241.8208</v>
      </c>
      <c r="P179" s="470">
        <f t="shared" si="125"/>
        <v>21000</v>
      </c>
      <c r="Q179" s="470">
        <f t="shared" si="126"/>
        <v>28076.600288</v>
      </c>
      <c r="R179" s="470">
        <f t="shared" si="127"/>
        <v>0</v>
      </c>
      <c r="S179" s="470">
        <f t="shared" si="128"/>
        <v>0</v>
      </c>
      <c r="T179" s="470">
        <f t="shared" si="129"/>
        <v>0</v>
      </c>
      <c r="U179" s="296"/>
      <c r="V179" s="470">
        <f t="shared" si="135"/>
        <v>49076.600288</v>
      </c>
      <c r="W179" s="471">
        <v>12</v>
      </c>
      <c r="X179" s="470">
        <f t="shared" si="130"/>
        <v>4089.71669066667</v>
      </c>
      <c r="Y179" s="296"/>
      <c r="Z179" s="470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386</v>
      </c>
      <c r="C180" s="473">
        <v>80237.012</v>
      </c>
      <c r="D180" s="469">
        <v>12</v>
      </c>
      <c r="E180" s="470">
        <f t="shared" si="132"/>
        <v>962844.144</v>
      </c>
      <c r="F180" s="296"/>
      <c r="G180" s="296"/>
      <c r="H180" s="296"/>
      <c r="I180" s="470">
        <f t="shared" si="133"/>
        <v>962844.144</v>
      </c>
      <c r="J180" s="470">
        <v>200000</v>
      </c>
      <c r="K180" s="470">
        <v>0.2</v>
      </c>
      <c r="L180" s="470">
        <f t="shared" si="121"/>
        <v>192568.8288</v>
      </c>
      <c r="M180" s="470">
        <f t="shared" si="122"/>
        <v>392568.8288</v>
      </c>
      <c r="N180" s="470">
        <f t="shared" si="123"/>
        <v>392568.8288</v>
      </c>
      <c r="O180" s="470">
        <f t="shared" si="124"/>
        <v>570275.3152</v>
      </c>
      <c r="P180" s="470">
        <f t="shared" si="125"/>
        <v>21000</v>
      </c>
      <c r="Q180" s="470">
        <f t="shared" si="126"/>
        <v>29730.284672</v>
      </c>
      <c r="R180" s="470">
        <f t="shared" si="127"/>
        <v>0</v>
      </c>
      <c r="S180" s="470">
        <f t="shared" si="128"/>
        <v>0</v>
      </c>
      <c r="T180" s="470">
        <f t="shared" si="129"/>
        <v>0</v>
      </c>
      <c r="U180" s="296"/>
      <c r="V180" s="470">
        <f t="shared" si="135"/>
        <v>50730.284672</v>
      </c>
      <c r="W180" s="471">
        <v>12</v>
      </c>
      <c r="X180" s="470">
        <f t="shared" si="130"/>
        <v>4227.52372266667</v>
      </c>
      <c r="Y180" s="296"/>
      <c r="Z180" s="470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358</v>
      </c>
      <c r="C181" s="473">
        <v>78671.023</v>
      </c>
      <c r="D181" s="469">
        <v>12</v>
      </c>
      <c r="E181" s="470">
        <f t="shared" si="132"/>
        <v>944052.276</v>
      </c>
      <c r="F181" s="296"/>
      <c r="G181" s="296"/>
      <c r="H181" s="296"/>
      <c r="I181" s="470">
        <f t="shared" si="133"/>
        <v>944052.276</v>
      </c>
      <c r="J181" s="470">
        <v>200000</v>
      </c>
      <c r="K181" s="470">
        <v>0.2</v>
      </c>
      <c r="L181" s="470">
        <f t="shared" si="121"/>
        <v>188810.4552</v>
      </c>
      <c r="M181" s="470">
        <f t="shared" si="122"/>
        <v>388810.4552</v>
      </c>
      <c r="N181" s="470">
        <f t="shared" si="123"/>
        <v>388810.4552</v>
      </c>
      <c r="O181" s="470">
        <f t="shared" si="124"/>
        <v>555241.8208</v>
      </c>
      <c r="P181" s="470">
        <f t="shared" si="125"/>
        <v>21000</v>
      </c>
      <c r="Q181" s="470">
        <f t="shared" si="126"/>
        <v>28076.600288</v>
      </c>
      <c r="R181" s="470">
        <f t="shared" si="127"/>
        <v>0</v>
      </c>
      <c r="S181" s="470">
        <f t="shared" si="128"/>
        <v>0</v>
      </c>
      <c r="T181" s="470">
        <f t="shared" si="129"/>
        <v>0</v>
      </c>
      <c r="U181" s="296"/>
      <c r="V181" s="470">
        <f t="shared" si="135"/>
        <v>49076.600288</v>
      </c>
      <c r="W181" s="471">
        <v>12</v>
      </c>
      <c r="X181" s="470">
        <f t="shared" si="130"/>
        <v>4089.71669066667</v>
      </c>
      <c r="Y181" s="296"/>
      <c r="Z181" s="470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392</v>
      </c>
      <c r="C182" s="473">
        <v>68675.997025</v>
      </c>
      <c r="D182" s="469">
        <v>12</v>
      </c>
      <c r="E182" s="470">
        <f t="shared" si="132"/>
        <v>824111.9643</v>
      </c>
      <c r="F182" s="296"/>
      <c r="G182" s="296"/>
      <c r="H182" s="296"/>
      <c r="I182" s="470">
        <f t="shared" si="133"/>
        <v>824111.9643</v>
      </c>
      <c r="J182" s="470">
        <v>200000</v>
      </c>
      <c r="K182" s="470">
        <v>0.2</v>
      </c>
      <c r="L182" s="470">
        <f t="shared" si="121"/>
        <v>164822.39286</v>
      </c>
      <c r="M182" s="470">
        <f t="shared" si="122"/>
        <v>364822.39286</v>
      </c>
      <c r="N182" s="470">
        <f t="shared" si="123"/>
        <v>364822.39286</v>
      </c>
      <c r="O182" s="470">
        <f t="shared" si="124"/>
        <v>459289.57144</v>
      </c>
      <c r="P182" s="470">
        <f t="shared" si="125"/>
        <v>21000</v>
      </c>
      <c r="Q182" s="470">
        <f t="shared" si="126"/>
        <v>17521.8528584</v>
      </c>
      <c r="R182" s="470">
        <f t="shared" si="127"/>
        <v>0</v>
      </c>
      <c r="S182" s="470">
        <f t="shared" si="128"/>
        <v>0</v>
      </c>
      <c r="T182" s="470">
        <f t="shared" si="129"/>
        <v>0</v>
      </c>
      <c r="U182" s="296"/>
      <c r="V182" s="470">
        <f t="shared" si="135"/>
        <v>38521.8528584</v>
      </c>
      <c r="W182" s="471">
        <v>12</v>
      </c>
      <c r="X182" s="470">
        <f t="shared" si="130"/>
        <v>3210.15440486667</v>
      </c>
      <c r="Y182" s="296"/>
      <c r="Z182" s="470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396</v>
      </c>
      <c r="C183" s="473">
        <v>62980.07925</v>
      </c>
      <c r="D183" s="469">
        <v>12</v>
      </c>
      <c r="E183" s="470">
        <f t="shared" si="132"/>
        <v>755760.951</v>
      </c>
      <c r="F183" s="296"/>
      <c r="G183" s="296"/>
      <c r="H183" s="296"/>
      <c r="I183" s="470">
        <f t="shared" si="133"/>
        <v>755760.951</v>
      </c>
      <c r="J183" s="470">
        <v>200000</v>
      </c>
      <c r="K183" s="470">
        <v>0.2</v>
      </c>
      <c r="L183" s="470">
        <f t="shared" si="121"/>
        <v>151152.1902</v>
      </c>
      <c r="M183" s="470">
        <f t="shared" si="122"/>
        <v>351152.1902</v>
      </c>
      <c r="N183" s="470">
        <f t="shared" si="123"/>
        <v>351152.1902</v>
      </c>
      <c r="O183" s="470">
        <f t="shared" si="124"/>
        <v>404608.7608</v>
      </c>
      <c r="P183" s="470">
        <f t="shared" si="125"/>
        <v>21000</v>
      </c>
      <c r="Q183" s="470">
        <f t="shared" si="126"/>
        <v>11506.963688</v>
      </c>
      <c r="R183" s="470">
        <f t="shared" si="127"/>
        <v>0</v>
      </c>
      <c r="S183" s="470">
        <f t="shared" si="128"/>
        <v>0</v>
      </c>
      <c r="T183" s="470">
        <f t="shared" si="129"/>
        <v>0</v>
      </c>
      <c r="U183" s="296"/>
      <c r="V183" s="470">
        <f t="shared" si="135"/>
        <v>32506.963688</v>
      </c>
      <c r="W183" s="471">
        <v>12</v>
      </c>
      <c r="X183" s="470">
        <f t="shared" si="130"/>
        <v>2708.91364066667</v>
      </c>
      <c r="Y183" s="296"/>
      <c r="Z183" s="470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399</v>
      </c>
      <c r="C184" s="473">
        <v>62980.07925</v>
      </c>
      <c r="D184" s="469">
        <v>12</v>
      </c>
      <c r="E184" s="470">
        <f t="shared" si="132"/>
        <v>755760.951</v>
      </c>
      <c r="F184" s="296"/>
      <c r="G184" s="296"/>
      <c r="H184" s="296"/>
      <c r="I184" s="470">
        <f t="shared" si="133"/>
        <v>755760.951</v>
      </c>
      <c r="J184" s="470">
        <v>200000</v>
      </c>
      <c r="K184" s="470">
        <v>0.2</v>
      </c>
      <c r="L184" s="470">
        <f t="shared" si="121"/>
        <v>151152.1902</v>
      </c>
      <c r="M184" s="470">
        <f t="shared" si="122"/>
        <v>351152.1902</v>
      </c>
      <c r="N184" s="470">
        <f t="shared" si="123"/>
        <v>351152.1902</v>
      </c>
      <c r="O184" s="470">
        <f t="shared" si="124"/>
        <v>404608.7608</v>
      </c>
      <c r="P184" s="470">
        <f t="shared" si="125"/>
        <v>21000</v>
      </c>
      <c r="Q184" s="470">
        <f t="shared" si="126"/>
        <v>11506.963688</v>
      </c>
      <c r="R184" s="470">
        <f t="shared" si="127"/>
        <v>0</v>
      </c>
      <c r="S184" s="470">
        <f t="shared" si="128"/>
        <v>0</v>
      </c>
      <c r="T184" s="470">
        <f t="shared" si="129"/>
        <v>0</v>
      </c>
      <c r="U184" s="296"/>
      <c r="V184" s="470">
        <f t="shared" si="135"/>
        <v>32506.963688</v>
      </c>
      <c r="W184" s="471">
        <v>12</v>
      </c>
      <c r="X184" s="470">
        <f t="shared" si="130"/>
        <v>2708.91364066667</v>
      </c>
      <c r="Y184" s="296"/>
      <c r="Z184" s="470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400</v>
      </c>
      <c r="C185" s="473">
        <v>62980.07925</v>
      </c>
      <c r="D185" s="469">
        <v>12</v>
      </c>
      <c r="E185" s="470">
        <f t="shared" si="132"/>
        <v>755760.951</v>
      </c>
      <c r="F185" s="296"/>
      <c r="G185" s="296"/>
      <c r="H185" s="296"/>
      <c r="I185" s="470">
        <f t="shared" si="133"/>
        <v>755760.951</v>
      </c>
      <c r="J185" s="470">
        <v>200000</v>
      </c>
      <c r="K185" s="470">
        <v>0.2</v>
      </c>
      <c r="L185" s="470">
        <f t="shared" si="121"/>
        <v>151152.1902</v>
      </c>
      <c r="M185" s="470">
        <f t="shared" si="122"/>
        <v>351152.1902</v>
      </c>
      <c r="N185" s="470">
        <f t="shared" si="123"/>
        <v>351152.1902</v>
      </c>
      <c r="O185" s="470">
        <f t="shared" si="124"/>
        <v>404608.7608</v>
      </c>
      <c r="P185" s="470">
        <f t="shared" si="125"/>
        <v>21000</v>
      </c>
      <c r="Q185" s="470">
        <f t="shared" si="126"/>
        <v>11506.963688</v>
      </c>
      <c r="R185" s="470">
        <f t="shared" si="127"/>
        <v>0</v>
      </c>
      <c r="S185" s="470">
        <f t="shared" si="128"/>
        <v>0</v>
      </c>
      <c r="T185" s="470">
        <f t="shared" si="129"/>
        <v>0</v>
      </c>
      <c r="U185" s="296"/>
      <c r="V185" s="470">
        <f t="shared" si="135"/>
        <v>32506.963688</v>
      </c>
      <c r="W185" s="471">
        <v>12</v>
      </c>
      <c r="X185" s="470">
        <f t="shared" si="130"/>
        <v>2708.91364066667</v>
      </c>
      <c r="Y185" s="296"/>
      <c r="Z185" s="470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401</v>
      </c>
      <c r="C186" s="473">
        <v>72103.7495</v>
      </c>
      <c r="D186" s="469">
        <v>12</v>
      </c>
      <c r="E186" s="470">
        <f t="shared" si="132"/>
        <v>865244.994</v>
      </c>
      <c r="F186" s="296"/>
      <c r="G186" s="296"/>
      <c r="H186" s="296"/>
      <c r="I186" s="470">
        <f t="shared" si="133"/>
        <v>865244.994</v>
      </c>
      <c r="J186" s="470">
        <v>200000</v>
      </c>
      <c r="K186" s="470">
        <v>0.2</v>
      </c>
      <c r="L186" s="470">
        <f t="shared" si="121"/>
        <v>173048.9988</v>
      </c>
      <c r="M186" s="470">
        <f t="shared" si="122"/>
        <v>373048.9988</v>
      </c>
      <c r="N186" s="470">
        <f t="shared" si="123"/>
        <v>373048.9988</v>
      </c>
      <c r="O186" s="470">
        <f t="shared" si="124"/>
        <v>492195.9952</v>
      </c>
      <c r="P186" s="470">
        <f t="shared" si="125"/>
        <v>21000</v>
      </c>
      <c r="Q186" s="470">
        <f t="shared" si="126"/>
        <v>21141.559472</v>
      </c>
      <c r="R186" s="470">
        <f t="shared" si="127"/>
        <v>0</v>
      </c>
      <c r="S186" s="470">
        <f t="shared" si="128"/>
        <v>0</v>
      </c>
      <c r="T186" s="470">
        <f t="shared" si="129"/>
        <v>0</v>
      </c>
      <c r="U186" s="296"/>
      <c r="V186" s="470">
        <f t="shared" si="135"/>
        <v>42141.559472</v>
      </c>
      <c r="W186" s="471">
        <v>12</v>
      </c>
      <c r="X186" s="470">
        <f t="shared" si="130"/>
        <v>3511.79662266667</v>
      </c>
      <c r="Y186" s="296"/>
      <c r="Z186" s="470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404</v>
      </c>
      <c r="C187" s="473">
        <v>72103.7495</v>
      </c>
      <c r="D187" s="469">
        <v>12</v>
      </c>
      <c r="E187" s="470">
        <f t="shared" si="132"/>
        <v>865244.994</v>
      </c>
      <c r="F187" s="296"/>
      <c r="G187" s="296"/>
      <c r="H187" s="296"/>
      <c r="I187" s="470">
        <f t="shared" si="133"/>
        <v>865244.994</v>
      </c>
      <c r="J187" s="470">
        <v>200000</v>
      </c>
      <c r="K187" s="470">
        <v>0.2</v>
      </c>
      <c r="L187" s="470">
        <f t="shared" si="121"/>
        <v>173048.9988</v>
      </c>
      <c r="M187" s="470">
        <f t="shared" si="122"/>
        <v>373048.9988</v>
      </c>
      <c r="N187" s="470">
        <f t="shared" si="123"/>
        <v>373048.9988</v>
      </c>
      <c r="O187" s="470">
        <f t="shared" si="124"/>
        <v>492195.9952</v>
      </c>
      <c r="P187" s="470">
        <f t="shared" si="125"/>
        <v>21000</v>
      </c>
      <c r="Q187" s="470">
        <f t="shared" si="126"/>
        <v>21141.559472</v>
      </c>
      <c r="R187" s="470">
        <f t="shared" si="127"/>
        <v>0</v>
      </c>
      <c r="S187" s="470">
        <f t="shared" si="128"/>
        <v>0</v>
      </c>
      <c r="T187" s="470">
        <f t="shared" si="129"/>
        <v>0</v>
      </c>
      <c r="U187" s="296"/>
      <c r="V187" s="470">
        <f t="shared" si="135"/>
        <v>42141.559472</v>
      </c>
      <c r="W187" s="471">
        <v>12</v>
      </c>
      <c r="X187" s="470">
        <f t="shared" si="130"/>
        <v>3511.79662266667</v>
      </c>
      <c r="Y187" s="296"/>
      <c r="Z187" s="470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9"/>
      <c r="W188" s="291" t="s">
        <v>1151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28">
      <c r="B189" s="30"/>
      <c r="C189" s="213"/>
    </row>
    <row r="190" ht="17.5" spans="2:28">
      <c r="B190" s="33"/>
      <c r="X190" s="291" t="s">
        <v>1152</v>
      </c>
      <c r="AB190" s="563">
        <f>AB81+AB82+AB83+AB84+AB86+AB88+AB89+AB94+AB95+AB96+AB102+AB103+AB104+AB105+AB106</f>
        <v>-351613.557404481</v>
      </c>
    </row>
    <row r="191" ht="14" spans="2:28">
      <c r="X191" s="291" t="s">
        <v>1153</v>
      </c>
      <c r="AB191" s="564">
        <f>AB87+AB85+AB74+AB61+AB21+AB19+AB18+AB16+AB15</f>
        <v>126852.23813</v>
      </c>
    </row>
    <row r="192" ht="14" spans="2:28">
      <c r="X192" s="291" t="s">
        <v>1154</v>
      </c>
      <c r="AB192" s="565">
        <f>SUM(AB190:AB191)</f>
        <v>-224761.319274481</v>
      </c>
    </row>
    <row r="193" ht="14" spans="24:28">
      <c r="X193" s="291" t="s">
        <v>1155</v>
      </c>
      <c r="AB193" s="566">
        <f>-6517.49</f>
        <v>-6517.49</v>
      </c>
    </row>
    <row r="194" ht="24.75" customHeight="1" spans="24:28">
      <c r="X194" s="291" t="s">
        <v>498</v>
      </c>
      <c r="AA194" s="213"/>
      <c r="AB194" s="567">
        <f>AB192+AB193</f>
        <v>-231278.809274481</v>
      </c>
    </row>
    <row r="196" spans="24:28">
      <c r="AA196" s="40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6">
      <c r="A1" s="527"/>
      <c r="B1" s="527"/>
      <c r="C1" s="527"/>
      <c r="D1" s="527"/>
      <c r="E1" s="527"/>
    </row>
    <row r="2" ht="52.5" spans="1:6">
      <c r="A2" s="528" t="s">
        <v>22</v>
      </c>
      <c r="B2" s="528" t="s">
        <v>465</v>
      </c>
      <c r="C2" s="529" t="s">
        <v>1156</v>
      </c>
      <c r="D2" s="529" t="s">
        <v>1157</v>
      </c>
      <c r="E2" s="529" t="s">
        <v>1158</v>
      </c>
      <c r="F2" s="530"/>
    </row>
    <row r="3" ht="18.5" spans="1:6">
      <c r="A3" s="528"/>
      <c r="B3" s="528"/>
      <c r="C3" s="529" t="s">
        <v>21</v>
      </c>
      <c r="D3" s="529" t="s">
        <v>21</v>
      </c>
      <c r="E3" s="529" t="s">
        <v>21</v>
      </c>
      <c r="F3" s="530"/>
    </row>
    <row r="4" ht="18.5" spans="1:6">
      <c r="A4" s="531">
        <v>1</v>
      </c>
      <c r="B4" s="532" t="s">
        <v>206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479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211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212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215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220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224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229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235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236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244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246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249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252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253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120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6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1159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1:16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6">
      <c r="A4" s="4"/>
      <c r="B4" s="5" t="s">
        <v>2</v>
      </c>
      <c r="C4" s="6" t="s">
        <v>3</v>
      </c>
      <c r="D4" s="7" t="s">
        <v>4</v>
      </c>
      <c r="E4" s="218" t="s">
        <v>831</v>
      </c>
      <c r="F4" s="218" t="s">
        <v>1139</v>
      </c>
      <c r="G4" s="218" t="s">
        <v>1140</v>
      </c>
      <c r="H4" s="218" t="s">
        <v>1141</v>
      </c>
      <c r="I4" s="218" t="s">
        <v>8</v>
      </c>
      <c r="J4" s="505" t="s">
        <v>1046</v>
      </c>
      <c r="K4" s="505" t="s">
        <v>1142</v>
      </c>
      <c r="L4" s="505" t="s">
        <v>1143</v>
      </c>
      <c r="M4" s="506" t="s">
        <v>1144</v>
      </c>
      <c r="N4" s="506" t="s">
        <v>1145</v>
      </c>
      <c r="O4" s="506" t="s">
        <v>1146</v>
      </c>
    </row>
    <row r="5" ht="17.25" customHeight="1" spans="1:16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/>
      <c r="K5" s="507"/>
      <c r="L5" s="507"/>
      <c r="M5" s="508" t="s">
        <v>21</v>
      </c>
      <c r="N5" s="508"/>
      <c r="O5" s="508"/>
    </row>
    <row r="6" ht="20.1" customHeight="1" spans="1:16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24</v>
      </c>
      <c r="C7" s="12" t="s">
        <v>25</v>
      </c>
      <c r="D7" s="12" t="s">
        <v>26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27</v>
      </c>
      <c r="C8" s="12" t="s">
        <v>28</v>
      </c>
      <c r="D8" s="10" t="s">
        <v>29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30</v>
      </c>
      <c r="C9" s="4" t="s">
        <v>31</v>
      </c>
      <c r="D9" s="10" t="s">
        <v>29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32</v>
      </c>
      <c r="C10" s="17" t="s">
        <v>33</v>
      </c>
      <c r="D10" s="10" t="s">
        <v>29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300</v>
      </c>
      <c r="C11" s="4" t="s">
        <v>1130</v>
      </c>
      <c r="D11" s="10" t="s">
        <v>29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908</v>
      </c>
      <c r="C12" s="10" t="s">
        <v>909</v>
      </c>
      <c r="D12" s="10" t="s">
        <v>29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34</v>
      </c>
      <c r="C13" s="12" t="s">
        <v>910</v>
      </c>
      <c r="D13" s="15" t="s">
        <v>39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37</v>
      </c>
      <c r="C14" s="4" t="s">
        <v>38</v>
      </c>
      <c r="D14" s="10" t="s">
        <v>42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40</v>
      </c>
      <c r="C15" s="4" t="s">
        <v>643</v>
      </c>
      <c r="D15" s="15" t="s">
        <v>192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43</v>
      </c>
      <c r="C16" s="17" t="s">
        <v>52</v>
      </c>
      <c r="D16" s="15" t="s">
        <v>47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45</v>
      </c>
      <c r="C17" s="4" t="s">
        <v>46</v>
      </c>
      <c r="D17" s="10" t="s">
        <v>53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6">
      <c r="A18" s="10">
        <v>12</v>
      </c>
      <c r="B18" s="11" t="s">
        <v>48</v>
      </c>
      <c r="C18" s="4" t="s">
        <v>911</v>
      </c>
      <c r="D18" s="10" t="s">
        <v>56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51</v>
      </c>
      <c r="C19" s="12" t="s">
        <v>61</v>
      </c>
      <c r="D19" s="15" t="s">
        <v>601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54</v>
      </c>
      <c r="C20" s="4" t="s">
        <v>1131</v>
      </c>
      <c r="D20" s="15" t="s">
        <v>59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65</v>
      </c>
      <c r="C21" s="12" t="s">
        <v>178</v>
      </c>
      <c r="D21" s="15" t="s">
        <v>70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68</v>
      </c>
      <c r="C22" s="17" t="s">
        <v>1132</v>
      </c>
      <c r="D22" s="10" t="s">
        <v>180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71</v>
      </c>
      <c r="C23" s="17" t="s">
        <v>72</v>
      </c>
      <c r="D23" s="15" t="s">
        <v>180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73</v>
      </c>
      <c r="C24" s="17" t="s">
        <v>74</v>
      </c>
      <c r="D24" s="10" t="s">
        <v>81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478</v>
      </c>
      <c r="C25" s="4" t="s">
        <v>94</v>
      </c>
      <c r="D25" s="10" t="s">
        <v>86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79</v>
      </c>
      <c r="C26" s="12" t="s">
        <v>94</v>
      </c>
      <c r="D26" s="15" t="s">
        <v>86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82</v>
      </c>
      <c r="C27" s="17" t="s">
        <v>69</v>
      </c>
      <c r="D27" s="10" t="s">
        <v>86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84</v>
      </c>
      <c r="C28" s="12" t="s">
        <v>85</v>
      </c>
      <c r="D28" s="15" t="s">
        <v>99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87</v>
      </c>
      <c r="C29" s="4" t="s">
        <v>88</v>
      </c>
      <c r="D29" s="10" t="s">
        <v>225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89</v>
      </c>
      <c r="C30" s="4" t="s">
        <v>88</v>
      </c>
      <c r="D30" s="10" t="s">
        <v>225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91</v>
      </c>
      <c r="C31" s="17" t="s">
        <v>646</v>
      </c>
      <c r="D31" s="15" t="s">
        <v>86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95</v>
      </c>
      <c r="C32" s="4" t="s">
        <v>647</v>
      </c>
      <c r="D32" s="10" t="s">
        <v>108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103</v>
      </c>
      <c r="C33" s="12" t="s">
        <v>104</v>
      </c>
      <c r="D33" s="15" t="s">
        <v>111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120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121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122</v>
      </c>
      <c r="C37" s="4" t="s">
        <v>123</v>
      </c>
      <c r="D37" s="10" t="s">
        <v>124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127</v>
      </c>
      <c r="C38" s="4" t="s">
        <v>1133</v>
      </c>
      <c r="D38" s="10" t="s">
        <v>81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129</v>
      </c>
      <c r="C39" s="12" t="s">
        <v>1134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137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912</v>
      </c>
      <c r="C43" s="4" t="s">
        <v>913</v>
      </c>
      <c r="D43" s="10" t="s">
        <v>124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914</v>
      </c>
      <c r="C44" s="4" t="s">
        <v>44</v>
      </c>
      <c r="D44" s="10" t="s">
        <v>39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138</v>
      </c>
      <c r="C45" s="4" t="s">
        <v>648</v>
      </c>
      <c r="D45" s="10" t="s">
        <v>210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141</v>
      </c>
      <c r="C46" s="4" t="s">
        <v>145</v>
      </c>
      <c r="D46" s="10" t="s">
        <v>39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144</v>
      </c>
      <c r="C47" s="4" t="s">
        <v>145</v>
      </c>
      <c r="D47" s="10" t="s">
        <v>39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146</v>
      </c>
      <c r="C48" s="4" t="s">
        <v>145</v>
      </c>
      <c r="D48" s="10" t="s">
        <v>42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147</v>
      </c>
      <c r="C49" s="4" t="s">
        <v>52</v>
      </c>
      <c r="D49" s="16" t="s">
        <v>47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151</v>
      </c>
      <c r="C50" s="4" t="s">
        <v>152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155</v>
      </c>
      <c r="C51" s="4" t="s">
        <v>152</v>
      </c>
      <c r="D51" s="10" t="s">
        <v>99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915</v>
      </c>
      <c r="C52" s="4" t="s">
        <v>152</v>
      </c>
      <c r="D52" s="10" t="s">
        <v>99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157</v>
      </c>
      <c r="C53" s="4" t="s">
        <v>152</v>
      </c>
      <c r="D53" s="10" t="s">
        <v>99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120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56"/>
      <c r="F55" s="156"/>
      <c r="G55" s="220"/>
      <c r="H55" s="220"/>
      <c r="I55" s="15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159</v>
      </c>
      <c r="C56" s="21"/>
      <c r="D56" s="21"/>
      <c r="E56" s="156"/>
      <c r="F56" s="156"/>
      <c r="G56" s="220"/>
      <c r="H56" s="220"/>
      <c r="I56" s="15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916</v>
      </c>
      <c r="C57" s="12" t="s">
        <v>161</v>
      </c>
      <c r="D57" s="15" t="s">
        <v>124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162</v>
      </c>
      <c r="C58" s="12" t="s">
        <v>485</v>
      </c>
      <c r="D58" s="15" t="s">
        <v>486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120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56"/>
      <c r="F60" s="156"/>
      <c r="G60" s="220"/>
      <c r="H60" s="220"/>
      <c r="I60" s="15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164</v>
      </c>
      <c r="C61" s="21"/>
      <c r="D61" s="21"/>
      <c r="E61" s="156"/>
      <c r="F61" s="156"/>
      <c r="G61" s="220"/>
      <c r="H61" s="220"/>
      <c r="I61" s="15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917</v>
      </c>
      <c r="C62" s="17" t="s">
        <v>918</v>
      </c>
      <c r="D62" s="10" t="s">
        <v>124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919</v>
      </c>
      <c r="C63" s="17" t="s">
        <v>920</v>
      </c>
      <c r="D63" s="15" t="s">
        <v>50</v>
      </c>
      <c r="E63" s="85">
        <v>601396.833333333</v>
      </c>
      <c r="F63" s="85"/>
      <c r="G63" s="220">
        <f>160000</f>
        <v>160000</v>
      </c>
      <c r="H63" s="220"/>
      <c r="I63" s="15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167</v>
      </c>
      <c r="C64" s="4" t="s">
        <v>52</v>
      </c>
      <c r="D64" s="10" t="s">
        <v>53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921</v>
      </c>
      <c r="C65" s="17" t="s">
        <v>217</v>
      </c>
      <c r="D65" s="15" t="s">
        <v>601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922</v>
      </c>
      <c r="C66" s="17" t="s">
        <v>52</v>
      </c>
      <c r="D66" s="15" t="s">
        <v>192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171</v>
      </c>
      <c r="C67" s="4" t="s">
        <v>152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172</v>
      </c>
      <c r="C68" s="17" t="s">
        <v>72</v>
      </c>
      <c r="D68" s="10" t="s">
        <v>131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174</v>
      </c>
      <c r="C69" s="17" t="s">
        <v>72</v>
      </c>
      <c r="D69" s="10" t="s">
        <v>131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175</v>
      </c>
      <c r="C70" s="4" t="s">
        <v>649</v>
      </c>
      <c r="D70" s="10" t="s">
        <v>70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6">
      <c r="A71" s="10">
        <v>11</v>
      </c>
      <c r="B71" s="11" t="s">
        <v>179</v>
      </c>
      <c r="C71" s="4" t="s">
        <v>152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120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56"/>
      <c r="F73" s="156"/>
      <c r="G73" s="220"/>
      <c r="H73" s="220"/>
      <c r="I73" s="15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183</v>
      </c>
      <c r="C74" s="21"/>
      <c r="D74" s="21"/>
      <c r="E74" s="156"/>
      <c r="F74" s="156"/>
      <c r="G74" s="220"/>
      <c r="H74" s="220"/>
      <c r="I74" s="15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184</v>
      </c>
      <c r="C75" s="4" t="s">
        <v>185</v>
      </c>
      <c r="D75" s="10" t="s">
        <v>124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923</v>
      </c>
      <c r="C76" s="4" t="s">
        <v>924</v>
      </c>
      <c r="D76" s="15" t="s">
        <v>925</v>
      </c>
      <c r="E76" s="85">
        <v>601396.833333333</v>
      </c>
      <c r="F76" s="85"/>
      <c r="G76" s="220">
        <f>160000</f>
        <v>160000</v>
      </c>
      <c r="H76" s="220"/>
      <c r="I76" s="15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186</v>
      </c>
      <c r="C77" s="12" t="s">
        <v>926</v>
      </c>
      <c r="D77" s="10" t="s">
        <v>486</v>
      </c>
      <c r="E77" s="85">
        <v>620675.583333333</v>
      </c>
      <c r="F77" s="85"/>
      <c r="G77" s="220">
        <v>0</v>
      </c>
      <c r="H77" s="220">
        <v>80000</v>
      </c>
      <c r="I77" s="15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190</v>
      </c>
      <c r="C78" s="4" t="s">
        <v>191</v>
      </c>
      <c r="D78" s="15" t="s">
        <v>214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197</v>
      </c>
      <c r="C79" s="4" t="s">
        <v>182</v>
      </c>
      <c r="D79" s="10" t="s">
        <v>78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201</v>
      </c>
      <c r="C80" s="4" t="s">
        <v>182</v>
      </c>
      <c r="D80" s="10" t="s">
        <v>99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203</v>
      </c>
      <c r="C81" s="4" t="s">
        <v>204</v>
      </c>
      <c r="D81" s="10" t="s">
        <v>111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120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56"/>
      <c r="F83" s="156"/>
      <c r="G83" s="220"/>
      <c r="H83" s="220"/>
      <c r="I83" s="15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205</v>
      </c>
      <c r="C84" s="25"/>
      <c r="D84" s="21"/>
      <c r="E84" s="156"/>
      <c r="F84" s="156"/>
      <c r="G84" s="220"/>
      <c r="H84" s="220"/>
      <c r="I84" s="15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208</v>
      </c>
      <c r="C85" s="4" t="s">
        <v>145</v>
      </c>
      <c r="D85" s="10" t="s">
        <v>39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206</v>
      </c>
      <c r="C86" s="4" t="s">
        <v>145</v>
      </c>
      <c r="D86" s="10" t="s">
        <v>39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479</v>
      </c>
      <c r="C87" s="4" t="s">
        <v>145</v>
      </c>
      <c r="D87" s="10" t="s">
        <v>42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211</v>
      </c>
      <c r="C88" s="4" t="s">
        <v>927</v>
      </c>
      <c r="D88" s="15" t="s">
        <v>56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212</v>
      </c>
      <c r="C89" s="12" t="s">
        <v>217</v>
      </c>
      <c r="D89" s="15" t="s">
        <v>601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213</v>
      </c>
      <c r="C90" s="12" t="s">
        <v>52</v>
      </c>
      <c r="D90" s="15" t="s">
        <v>600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215</v>
      </c>
      <c r="C91" s="17" t="s">
        <v>72</v>
      </c>
      <c r="D91" s="15" t="s">
        <v>131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216</v>
      </c>
      <c r="C92" s="17" t="s">
        <v>217</v>
      </c>
      <c r="D92" s="15" t="s">
        <v>67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220</v>
      </c>
      <c r="C93" s="4" t="s">
        <v>221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224</v>
      </c>
      <c r="C94" s="17" t="s">
        <v>505</v>
      </c>
      <c r="D94" s="15" t="s">
        <v>108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120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56"/>
      <c r="F96" s="156"/>
      <c r="G96" s="220"/>
      <c r="H96" s="220"/>
      <c r="I96" s="15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226</v>
      </c>
      <c r="C97" s="21"/>
      <c r="D97" s="21"/>
      <c r="E97" s="156"/>
      <c r="F97" s="156"/>
      <c r="G97" s="220"/>
      <c r="H97" s="220"/>
      <c r="I97" s="15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227</v>
      </c>
      <c r="C98" s="4" t="s">
        <v>650</v>
      </c>
      <c r="D98" s="16" t="s">
        <v>36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8">
        <v>130407.527610667</v>
      </c>
      <c r="N98" s="510">
        <v>82423.2162026667</v>
      </c>
      <c r="O98" s="518">
        <f>M98-N98</f>
        <v>47984.3114080003</v>
      </c>
      <c r="P98" s="13"/>
    </row>
    <row r="99" ht="20.1" customHeight="1" spans="1:16">
      <c r="A99" s="10">
        <v>2</v>
      </c>
      <c r="B99" s="11" t="s">
        <v>229</v>
      </c>
      <c r="C99" s="4" t="s">
        <v>230</v>
      </c>
      <c r="D99" s="15" t="s">
        <v>214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8">
        <v>72764.4209066667</v>
      </c>
      <c r="N99" s="510">
        <v>43492.3733766667</v>
      </c>
      <c r="O99" s="518">
        <f>M99-N99</f>
        <v>29272.04753</v>
      </c>
      <c r="P99" s="13"/>
    </row>
    <row r="100" ht="20.1" customHeight="1" spans="1:16">
      <c r="A100" s="10">
        <v>3</v>
      </c>
      <c r="B100" s="11" t="s">
        <v>235</v>
      </c>
      <c r="C100" s="4" t="s">
        <v>651</v>
      </c>
      <c r="D100" s="15" t="s">
        <v>70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8">
        <v>56938.0689066667</v>
      </c>
      <c r="N100" s="510">
        <v>34968.8824146667</v>
      </c>
      <c r="O100" s="518">
        <f>M100-N100</f>
        <v>21969.186492</v>
      </c>
      <c r="P100" s="13"/>
    </row>
    <row r="101" ht="20.1" customHeight="1" spans="1:16">
      <c r="A101" s="10">
        <v>4</v>
      </c>
      <c r="B101" s="11" t="s">
        <v>236</v>
      </c>
      <c r="C101" s="4" t="s">
        <v>200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8">
        <v>43763.9072266667</v>
      </c>
      <c r="N101" s="510">
        <v>27105.9865626667</v>
      </c>
      <c r="O101" s="518">
        <f>M101-N101</f>
        <v>16657.920664</v>
      </c>
      <c r="P101" s="13"/>
    </row>
    <row r="102" ht="20.1" customHeight="1" spans="1:16">
      <c r="A102" s="4"/>
      <c r="B102" s="20" t="s">
        <v>120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56"/>
      <c r="F103" s="156"/>
      <c r="G103" s="220"/>
      <c r="H103" s="220"/>
      <c r="I103" s="15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239</v>
      </c>
      <c r="C104" s="4"/>
      <c r="D104" s="4"/>
      <c r="E104" s="4"/>
      <c r="F104" s="4"/>
      <c r="G104" s="220"/>
      <c r="H104" s="220"/>
      <c r="I104" s="4"/>
      <c r="J104" s="519"/>
      <c r="K104" s="519"/>
      <c r="L104" s="519"/>
      <c r="M104" s="520"/>
      <c r="N104" s="520"/>
      <c r="O104" s="520"/>
      <c r="P104" s="13"/>
    </row>
    <row r="105" ht="20.1" customHeight="1" spans="1:16">
      <c r="A105" s="4">
        <v>1</v>
      </c>
      <c r="B105" s="11" t="s">
        <v>652</v>
      </c>
      <c r="C105" s="12" t="s">
        <v>241</v>
      </c>
      <c r="D105" s="15" t="s">
        <v>124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242</v>
      </c>
      <c r="C106" s="4" t="s">
        <v>243</v>
      </c>
      <c r="D106" s="16" t="s">
        <v>36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244</v>
      </c>
      <c r="C107" s="4" t="s">
        <v>653</v>
      </c>
      <c r="D107" s="10" t="s">
        <v>56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246</v>
      </c>
      <c r="C108" s="4" t="s">
        <v>653</v>
      </c>
      <c r="D108" s="10" t="s">
        <v>56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249</v>
      </c>
      <c r="C109" s="4" t="s">
        <v>250</v>
      </c>
      <c r="D109" s="15" t="s">
        <v>928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252</v>
      </c>
      <c r="C110" s="4" t="s">
        <v>250</v>
      </c>
      <c r="D110" s="10" t="s">
        <v>506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253</v>
      </c>
      <c r="C111" s="4" t="s">
        <v>250</v>
      </c>
      <c r="D111" s="15" t="s">
        <v>108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120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21"/>
      <c r="H113" s="521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257</v>
      </c>
      <c r="C114" s="21"/>
      <c r="D114" s="21"/>
      <c r="E114" s="156"/>
      <c r="F114" s="156"/>
      <c r="G114" s="220"/>
      <c r="H114" s="220"/>
      <c r="I114" s="15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165</v>
      </c>
      <c r="C115" s="4" t="s">
        <v>145</v>
      </c>
      <c r="D115" s="10" t="s">
        <v>50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259</v>
      </c>
      <c r="C116" s="4" t="s">
        <v>260</v>
      </c>
      <c r="D116" s="15" t="s">
        <v>70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193</v>
      </c>
      <c r="C117" s="12" t="s">
        <v>929</v>
      </c>
      <c r="D117" s="15" t="s">
        <v>173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120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278</v>
      </c>
      <c r="C120" s="21"/>
      <c r="D120" s="21"/>
      <c r="E120" s="156"/>
      <c r="F120" s="156"/>
      <c r="G120" s="220"/>
      <c r="H120" s="220"/>
      <c r="I120" s="15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279</v>
      </c>
      <c r="C121" s="12" t="s">
        <v>280</v>
      </c>
      <c r="D121" s="15" t="s">
        <v>124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281</v>
      </c>
      <c r="C122" s="12" t="s">
        <v>654</v>
      </c>
      <c r="D122" s="15" t="s">
        <v>210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283</v>
      </c>
      <c r="C123" s="12" t="s">
        <v>655</v>
      </c>
      <c r="D123" s="15" t="s">
        <v>39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930</v>
      </c>
      <c r="C124" s="12" t="s">
        <v>655</v>
      </c>
      <c r="D124" s="15" t="s">
        <v>42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286</v>
      </c>
      <c r="C125" s="12" t="s">
        <v>288</v>
      </c>
      <c r="D125" s="15" t="s">
        <v>47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287</v>
      </c>
      <c r="C126" s="12" t="s">
        <v>656</v>
      </c>
      <c r="D126" s="15" t="s">
        <v>53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289</v>
      </c>
      <c r="C127" s="12" t="s">
        <v>288</v>
      </c>
      <c r="D127" s="15" t="s">
        <v>214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292</v>
      </c>
      <c r="C128" s="12" t="s">
        <v>657</v>
      </c>
      <c r="D128" s="10" t="s">
        <v>86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294</v>
      </c>
      <c r="C129" s="12" t="s">
        <v>295</v>
      </c>
      <c r="D129" s="15" t="s">
        <v>111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296</v>
      </c>
      <c r="C130" s="12" t="s">
        <v>291</v>
      </c>
      <c r="D130" s="15" t="s">
        <v>111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120</v>
      </c>
      <c r="C131" s="26" t="s">
        <v>658</v>
      </c>
      <c r="D131" s="15"/>
      <c r="E131" s="156">
        <f>SUM(E121:E130)</f>
        <v>5466985.16666667</v>
      </c>
      <c r="F131" s="156">
        <f t="shared" ref="F131:O131" si="48">SUM(F121:F130)</f>
        <v>0</v>
      </c>
      <c r="G131" s="156">
        <f t="shared" si="48"/>
        <v>0</v>
      </c>
      <c r="H131" s="156">
        <f t="shared" si="48"/>
        <v>720000</v>
      </c>
      <c r="I131" s="156">
        <f t="shared" si="48"/>
        <v>330000</v>
      </c>
      <c r="J131" s="156">
        <f t="shared" si="48"/>
        <v>6516985.16666667</v>
      </c>
      <c r="K131" s="156">
        <v>4253192.46025</v>
      </c>
      <c r="L131" s="156">
        <f t="shared" si="48"/>
        <v>2263792.70641667</v>
      </c>
      <c r="M131" s="156">
        <f t="shared" si="48"/>
        <v>967668.721098668</v>
      </c>
      <c r="N131" s="156">
        <v>615898.934240667</v>
      </c>
      <c r="O131" s="15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56"/>
      <c r="F132" s="156"/>
      <c r="G132" s="220"/>
      <c r="H132" s="220"/>
      <c r="I132" s="15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299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931</v>
      </c>
      <c r="C134" s="12" t="s">
        <v>932</v>
      </c>
      <c r="D134" s="15" t="s">
        <v>124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933</v>
      </c>
      <c r="C135" s="12" t="s">
        <v>934</v>
      </c>
      <c r="D135" s="15" t="s">
        <v>36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302</v>
      </c>
      <c r="C136" s="4" t="s">
        <v>488</v>
      </c>
      <c r="D136" s="16" t="s">
        <v>36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305</v>
      </c>
      <c r="C137" s="12" t="s">
        <v>935</v>
      </c>
      <c r="D137" s="15" t="s">
        <v>192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307</v>
      </c>
      <c r="C138" s="4" t="s">
        <v>311</v>
      </c>
      <c r="D138" s="15" t="s">
        <v>192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309</v>
      </c>
      <c r="C139" s="4" t="s">
        <v>311</v>
      </c>
      <c r="D139" s="15" t="s">
        <v>192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231</v>
      </c>
      <c r="C140" s="12" t="s">
        <v>936</v>
      </c>
      <c r="D140" s="15" t="s">
        <v>173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312</v>
      </c>
      <c r="C141" s="12" t="s">
        <v>936</v>
      </c>
      <c r="D141" s="15" t="s">
        <v>173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313</v>
      </c>
      <c r="C142" s="4" t="s">
        <v>937</v>
      </c>
      <c r="D142" s="15" t="s">
        <v>173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315</v>
      </c>
      <c r="C143" s="12" t="s">
        <v>660</v>
      </c>
      <c r="D143" s="15" t="s">
        <v>70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317</v>
      </c>
      <c r="C144" s="12" t="s">
        <v>318</v>
      </c>
      <c r="D144" s="15" t="s">
        <v>131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62</v>
      </c>
      <c r="C145" s="12" t="s">
        <v>938</v>
      </c>
      <c r="D145" s="15" t="s">
        <v>173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319</v>
      </c>
      <c r="C146" s="4" t="s">
        <v>320</v>
      </c>
      <c r="D146" s="15" t="s">
        <v>180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321</v>
      </c>
      <c r="C147" s="4" t="s">
        <v>939</v>
      </c>
      <c r="D147" s="15" t="s">
        <v>78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322</v>
      </c>
      <c r="C148" s="4" t="s">
        <v>939</v>
      </c>
      <c r="D148" s="15" t="s">
        <v>153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324</v>
      </c>
      <c r="C149" s="4" t="s">
        <v>939</v>
      </c>
      <c r="D149" s="15" t="s">
        <v>153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325</v>
      </c>
      <c r="C150" s="12" t="s">
        <v>326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327</v>
      </c>
      <c r="C151" s="12" t="s">
        <v>328</v>
      </c>
      <c r="D151" s="10" t="s">
        <v>99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329</v>
      </c>
      <c r="C152" s="12" t="s">
        <v>661</v>
      </c>
      <c r="D152" s="15" t="s">
        <v>78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331</v>
      </c>
      <c r="C153" s="12" t="s">
        <v>662</v>
      </c>
      <c r="D153" s="15" t="s">
        <v>86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333</v>
      </c>
      <c r="C154" s="12" t="s">
        <v>663</v>
      </c>
      <c r="D154" s="15" t="s">
        <v>78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334</v>
      </c>
      <c r="C155" s="12" t="s">
        <v>664</v>
      </c>
      <c r="D155" s="15" t="s">
        <v>86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336</v>
      </c>
      <c r="C156" s="12" t="s">
        <v>337</v>
      </c>
      <c r="D156" s="15" t="s">
        <v>225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343</v>
      </c>
      <c r="C157" s="12" t="s">
        <v>344</v>
      </c>
      <c r="D157" s="15" t="s">
        <v>111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345</v>
      </c>
      <c r="C158" s="12" t="s">
        <v>346</v>
      </c>
      <c r="D158" s="15" t="s">
        <v>111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347</v>
      </c>
      <c r="C159" s="12" t="s">
        <v>348</v>
      </c>
      <c r="D159" s="15" t="s">
        <v>111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349</v>
      </c>
      <c r="C160" s="12" t="s">
        <v>665</v>
      </c>
      <c r="D160" s="15" t="s">
        <v>108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350</v>
      </c>
      <c r="C161" s="12" t="s">
        <v>346</v>
      </c>
      <c r="D161" s="15" t="s">
        <v>111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359</v>
      </c>
      <c r="C162" s="12" t="s">
        <v>512</v>
      </c>
      <c r="D162" s="15" t="s">
        <v>384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362</v>
      </c>
      <c r="C163" s="12" t="s">
        <v>512</v>
      </c>
      <c r="D163" s="15" t="s">
        <v>384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666</v>
      </c>
      <c r="C164" s="12" t="s">
        <v>512</v>
      </c>
      <c r="D164" s="15" t="s">
        <v>384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363</v>
      </c>
      <c r="C165" s="12" t="s">
        <v>512</v>
      </c>
      <c r="D165" s="15" t="s">
        <v>384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364</v>
      </c>
      <c r="C166" s="12" t="s">
        <v>512</v>
      </c>
      <c r="D166" s="15" t="s">
        <v>384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365</v>
      </c>
      <c r="C167" s="12" t="s">
        <v>512</v>
      </c>
      <c r="D167" s="15" t="s">
        <v>377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367</v>
      </c>
      <c r="C168" s="12" t="s">
        <v>512</v>
      </c>
      <c r="D168" s="15" t="s">
        <v>377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368</v>
      </c>
      <c r="C169" s="12" t="s">
        <v>512</v>
      </c>
      <c r="D169" s="15" t="s">
        <v>377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369</v>
      </c>
      <c r="C170" s="12" t="s">
        <v>512</v>
      </c>
      <c r="D170" s="15" t="s">
        <v>377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370</v>
      </c>
      <c r="C171" s="12" t="s">
        <v>512</v>
      </c>
      <c r="D171" s="15" t="s">
        <v>377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357</v>
      </c>
      <c r="C172" s="12" t="s">
        <v>512</v>
      </c>
      <c r="D172" s="15" t="s">
        <v>377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371</v>
      </c>
      <c r="C173" s="12" t="s">
        <v>360</v>
      </c>
      <c r="D173" s="15" t="s">
        <v>607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373</v>
      </c>
      <c r="C174" s="12" t="s">
        <v>360</v>
      </c>
      <c r="D174" s="15" t="s">
        <v>607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374</v>
      </c>
      <c r="C175" s="12" t="s">
        <v>360</v>
      </c>
      <c r="D175" s="15" t="s">
        <v>606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376</v>
      </c>
      <c r="C176" s="12" t="s">
        <v>387</v>
      </c>
      <c r="D176" s="15" t="s">
        <v>608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378</v>
      </c>
      <c r="C177" s="12" t="s">
        <v>514</v>
      </c>
      <c r="D177" s="15" t="s">
        <v>669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379</v>
      </c>
      <c r="C178" s="12" t="s">
        <v>514</v>
      </c>
      <c r="D178" s="15" t="s">
        <v>669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380</v>
      </c>
      <c r="C179" s="12" t="s">
        <v>514</v>
      </c>
      <c r="D179" s="15" t="s">
        <v>669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381</v>
      </c>
      <c r="C180" s="12" t="s">
        <v>514</v>
      </c>
      <c r="D180" s="15" t="s">
        <v>669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382</v>
      </c>
      <c r="C181" s="12" t="s">
        <v>514</v>
      </c>
      <c r="D181" s="15" t="s">
        <v>669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383</v>
      </c>
      <c r="C182" s="12" t="s">
        <v>514</v>
      </c>
      <c r="D182" s="15" t="s">
        <v>669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385</v>
      </c>
      <c r="C183" s="12" t="s">
        <v>514</v>
      </c>
      <c r="D183" s="15" t="s">
        <v>669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668</v>
      </c>
      <c r="C184" s="12" t="s">
        <v>387</v>
      </c>
      <c r="D184" s="15" t="s">
        <v>669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386</v>
      </c>
      <c r="C185" s="12" t="s">
        <v>387</v>
      </c>
      <c r="D185" s="15" t="s">
        <v>669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358</v>
      </c>
      <c r="C186" s="12" t="s">
        <v>390</v>
      </c>
      <c r="D186" s="15" t="s">
        <v>391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392</v>
      </c>
      <c r="C187" s="12" t="s">
        <v>514</v>
      </c>
      <c r="D187" s="15" t="s">
        <v>398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396</v>
      </c>
      <c r="C188" s="12" t="s">
        <v>397</v>
      </c>
      <c r="D188" s="15" t="s">
        <v>940</v>
      </c>
      <c r="E188" s="85">
        <v>76540.75</v>
      </c>
      <c r="F188" s="122"/>
      <c r="G188" s="4"/>
      <c r="H188" s="122">
        <v>15000</v>
      </c>
      <c r="I188" s="122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399</v>
      </c>
      <c r="C189" s="12" t="s">
        <v>397</v>
      </c>
      <c r="D189" s="15" t="s">
        <v>940</v>
      </c>
      <c r="E189" s="85">
        <v>76540.75</v>
      </c>
      <c r="F189" s="122"/>
      <c r="G189" s="4"/>
      <c r="H189" s="122">
        <v>15000</v>
      </c>
      <c r="I189" s="122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400</v>
      </c>
      <c r="C190" s="12" t="s">
        <v>397</v>
      </c>
      <c r="D190" s="15" t="s">
        <v>940</v>
      </c>
      <c r="E190" s="85">
        <v>76540.75</v>
      </c>
      <c r="F190" s="122"/>
      <c r="G190" s="4"/>
      <c r="H190" s="122">
        <v>15000</v>
      </c>
      <c r="I190" s="122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401</v>
      </c>
      <c r="C191" s="12" t="s">
        <v>402</v>
      </c>
      <c r="D191" s="15" t="s">
        <v>393</v>
      </c>
      <c r="E191" s="85">
        <v>86502.5</v>
      </c>
      <c r="F191" s="122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404</v>
      </c>
      <c r="C192" s="12" t="s">
        <v>402</v>
      </c>
      <c r="D192" s="15" t="s">
        <v>393</v>
      </c>
      <c r="E192" s="85">
        <v>86502.5</v>
      </c>
      <c r="F192" s="122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120</v>
      </c>
      <c r="C193" s="28" t="s">
        <v>941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406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1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1:16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:16">
      <c r="J197" s="35"/>
      <c r="K197" s="35"/>
      <c r="M197" s="35">
        <f>M194-M196</f>
        <v>-15359.9999999944</v>
      </c>
    </row>
    <row r="198" ht="20.1" customHeight="1" spans="1:16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464</v>
      </c>
      <c r="B4" s="463" t="s">
        <v>465</v>
      </c>
      <c r="C4" s="464" t="s">
        <v>684</v>
      </c>
      <c r="D4" s="463" t="s">
        <v>466</v>
      </c>
      <c r="E4" s="464" t="s">
        <v>467</v>
      </c>
      <c r="F4" s="464" t="s">
        <v>469</v>
      </c>
      <c r="G4" s="464" t="s">
        <v>470</v>
      </c>
      <c r="H4" s="464" t="s">
        <v>471</v>
      </c>
      <c r="I4" s="464" t="s">
        <v>685</v>
      </c>
      <c r="J4" s="464"/>
      <c r="K4" s="464"/>
      <c r="L4" s="464"/>
      <c r="M4" s="464" t="s">
        <v>686</v>
      </c>
      <c r="N4" s="464" t="s">
        <v>472</v>
      </c>
      <c r="O4" s="464" t="s">
        <v>473</v>
      </c>
      <c r="P4" s="464" t="s">
        <v>687</v>
      </c>
      <c r="Q4" s="464" t="s">
        <v>688</v>
      </c>
      <c r="R4" s="464" t="s">
        <v>689</v>
      </c>
      <c r="S4" s="464" t="s">
        <v>690</v>
      </c>
      <c r="T4" s="464" t="s">
        <v>691</v>
      </c>
      <c r="U4" s="464" t="s">
        <v>692</v>
      </c>
      <c r="V4" s="464" t="s">
        <v>474</v>
      </c>
      <c r="W4" s="464"/>
      <c r="X4" s="464" t="s">
        <v>475</v>
      </c>
      <c r="Y4" s="464" t="s">
        <v>693</v>
      </c>
      <c r="Z4" s="465" t="s">
        <v>694</v>
      </c>
      <c r="AA4" s="466"/>
      <c r="AB4" s="466" t="s">
        <v>883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2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>C6*D6</f>
        <v>23219834.004</v>
      </c>
      <c r="F6" s="470"/>
      <c r="G6" s="470"/>
      <c r="H6" s="470"/>
      <c r="I6" s="470">
        <f t="shared" ref="I6:I32" si="0">E6-F6-G6-H6</f>
        <v>23219834.004</v>
      </c>
      <c r="J6" s="470">
        <v>200000</v>
      </c>
      <c r="K6" s="470">
        <v>0.2</v>
      </c>
      <c r="L6" s="470">
        <f t="shared" ref="L6:L75" si="1">I6*K6</f>
        <v>4643966.8008</v>
      </c>
      <c r="M6" s="470">
        <f t="shared" ref="M6:M75" si="2">J6+L6</f>
        <v>4843966.8008</v>
      </c>
      <c r="N6" s="470">
        <f t="shared" ref="N6:N32" si="3">F6+G6+H6+M6</f>
        <v>4843966.8008</v>
      </c>
      <c r="O6" s="470">
        <f t="shared" ref="O6:O32" si="4">E6-N6</f>
        <v>18375867.2032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</v>
      </c>
      <c r="V6" s="470">
        <f t="shared" ref="V6:V75" si="11">P6+Q6+R6+S6+T6+U6</f>
        <v>4202208.128768</v>
      </c>
      <c r="W6" s="471">
        <v>12</v>
      </c>
      <c r="X6" s="470">
        <f t="shared" ref="X6:X75" si="12">V6/W6</f>
        <v>350184.010730667</v>
      </c>
      <c r="Y6" s="470"/>
      <c r="Z6" s="472">
        <f t="shared" ref="Z6:Z75" si="13">X6</f>
        <v>350184.010730667</v>
      </c>
      <c r="AA6" s="473">
        <v>201165.835946667</v>
      </c>
      <c r="AB6" s="473">
        <f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v>852373.166666667</v>
      </c>
      <c r="D7" s="469">
        <v>12</v>
      </c>
      <c r="E7" s="470">
        <f t="shared" ref="E7:E32" si="14">C7*D7</f>
        <v>10228478</v>
      </c>
      <c r="F7" s="470"/>
      <c r="G7" s="470">
        <v>731878.24</v>
      </c>
      <c r="H7" s="470"/>
      <c r="I7" s="470">
        <f t="shared" si="0"/>
        <v>9496599.76</v>
      </c>
      <c r="J7" s="470">
        <v>200000</v>
      </c>
      <c r="K7" s="470">
        <v>0.2</v>
      </c>
      <c r="L7" s="470">
        <f t="shared" si="1"/>
        <v>1899319.952</v>
      </c>
      <c r="M7" s="470">
        <f t="shared" si="2"/>
        <v>2099319.952</v>
      </c>
      <c r="N7" s="470">
        <f t="shared" si="3"/>
        <v>2831198.192</v>
      </c>
      <c r="O7" s="470">
        <f t="shared" si="4"/>
        <v>7397279.808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1007347.15392</v>
      </c>
      <c r="V7" s="470">
        <f t="shared" si="11"/>
        <v>1567347.15392</v>
      </c>
      <c r="W7" s="471">
        <v>12</v>
      </c>
      <c r="X7" s="470">
        <f t="shared" si="12"/>
        <v>130612.262826667</v>
      </c>
      <c r="Y7" s="470"/>
      <c r="Z7" s="472">
        <f t="shared" si="13"/>
        <v>130612.262826667</v>
      </c>
      <c r="AA7" s="473">
        <v>82627.9514186667</v>
      </c>
      <c r="AB7" s="473">
        <f t="shared" ref="AB7:AB32" si="15">Z7-AA7</f>
        <v>47984.311408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v>1052373.16666667</v>
      </c>
      <c r="D8" s="469">
        <v>12</v>
      </c>
      <c r="E8" s="470">
        <f t="shared" si="14"/>
        <v>12628478</v>
      </c>
      <c r="F8" s="470"/>
      <c r="G8" s="470">
        <v>0</v>
      </c>
      <c r="H8" s="470"/>
      <c r="I8" s="470">
        <f t="shared" si="0"/>
        <v>12628478</v>
      </c>
      <c r="J8" s="470">
        <v>200000</v>
      </c>
      <c r="K8" s="470">
        <v>0.2</v>
      </c>
      <c r="L8" s="470">
        <f t="shared" si="1"/>
        <v>2525695.60000001</v>
      </c>
      <c r="M8" s="470">
        <f t="shared" si="2"/>
        <v>2725695.60000001</v>
      </c>
      <c r="N8" s="470">
        <f t="shared" si="3"/>
        <v>2725695.60000001</v>
      </c>
      <c r="O8" s="470">
        <f t="shared" si="4"/>
        <v>9902782.40000003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1608667.77600001</v>
      </c>
      <c r="V8" s="470">
        <f t="shared" si="11"/>
        <v>2168667.77600001</v>
      </c>
      <c r="W8" s="471">
        <v>12</v>
      </c>
      <c r="X8" s="470">
        <f t="shared" si="12"/>
        <v>180722.314666667</v>
      </c>
      <c r="Y8" s="470"/>
      <c r="Z8" s="472">
        <f t="shared" si="13"/>
        <v>180722.314666667</v>
      </c>
      <c r="AA8" s="473">
        <v>121027.951418667</v>
      </c>
      <c r="AB8" s="473">
        <f t="shared" si="15"/>
        <v>59694.3632480003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14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 t="shared" si="1"/>
        <v>2112760.7618</v>
      </c>
      <c r="M9" s="470">
        <f t="shared" si="2"/>
        <v>2312760.7618</v>
      </c>
      <c r="N9" s="470">
        <f t="shared" si="3"/>
        <v>3057434.9528</v>
      </c>
      <c r="O9" s="470">
        <f t="shared" si="4"/>
        <v>8251043.0472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1212250.331328</v>
      </c>
      <c r="V9" s="470">
        <f t="shared" si="11"/>
        <v>1772250.331328</v>
      </c>
      <c r="W9" s="471">
        <v>12</v>
      </c>
      <c r="X9" s="470">
        <f t="shared" si="12"/>
        <v>147687.527610667</v>
      </c>
      <c r="Y9" s="470"/>
      <c r="Z9" s="472">
        <f t="shared" si="13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300</v>
      </c>
      <c r="C10" s="468">
        <v>1002373.16666667</v>
      </c>
      <c r="D10" s="469">
        <v>12</v>
      </c>
      <c r="E10" s="470">
        <f t="shared" si="14"/>
        <v>12028478</v>
      </c>
      <c r="F10" s="470">
        <f>'[6]JANUARY 2024'!$V$10*12</f>
        <v>12795.951</v>
      </c>
      <c r="G10" s="470">
        <v>731878.24</v>
      </c>
      <c r="H10" s="470"/>
      <c r="I10" s="470">
        <f t="shared" si="0"/>
        <v>11283803.809</v>
      </c>
      <c r="J10" s="470">
        <v>200000</v>
      </c>
      <c r="K10" s="470">
        <v>0.2</v>
      </c>
      <c r="L10" s="470">
        <f t="shared" si="1"/>
        <v>2256760.76180001</v>
      </c>
      <c r="M10" s="470">
        <f t="shared" si="2"/>
        <v>2456760.76180001</v>
      </c>
      <c r="N10" s="470">
        <f t="shared" si="3"/>
        <v>3201434.95280001</v>
      </c>
      <c r="O10" s="470">
        <f t="shared" si="4"/>
        <v>8827043.04720003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1350490.33132801</v>
      </c>
      <c r="V10" s="470">
        <f t="shared" si="11"/>
        <v>1910490.33132801</v>
      </c>
      <c r="W10" s="471">
        <v>12</v>
      </c>
      <c r="X10" s="470">
        <f t="shared" si="12"/>
        <v>159207.527610667</v>
      </c>
      <c r="Y10" s="470"/>
      <c r="Z10" s="472">
        <f t="shared" si="13"/>
        <v>159207.527610667</v>
      </c>
      <c r="AA10" s="473">
        <v>111223.216202667</v>
      </c>
      <c r="AB10" s="473">
        <f t="shared" si="15"/>
        <v>47984.3114080003</v>
      </c>
      <c r="AC10" s="473"/>
      <c r="AD10" s="473"/>
      <c r="AE10" s="473"/>
    </row>
    <row r="11" ht="18" spans="1:31">
      <c r="A11" s="467">
        <v>8</v>
      </c>
      <c r="B11" s="18" t="s">
        <v>908</v>
      </c>
      <c r="C11" s="468">
        <v>952373.166666667</v>
      </c>
      <c r="D11" s="469">
        <v>12</v>
      </c>
      <c r="E11" s="470">
        <f t="shared" si="14"/>
        <v>11428478</v>
      </c>
      <c r="F11" s="470"/>
      <c r="G11" s="470">
        <v>0</v>
      </c>
      <c r="H11" s="470"/>
      <c r="I11" s="470">
        <f t="shared" si="0"/>
        <v>11428478</v>
      </c>
      <c r="J11" s="470">
        <v>200000</v>
      </c>
      <c r="K11" s="470">
        <v>0.2</v>
      </c>
      <c r="L11" s="470">
        <f t="shared" si="1"/>
        <v>2285695.6</v>
      </c>
      <c r="M11" s="470">
        <f t="shared" si="2"/>
        <v>2485695.6</v>
      </c>
      <c r="N11" s="470">
        <f t="shared" si="3"/>
        <v>2485695.6</v>
      </c>
      <c r="O11" s="470">
        <f t="shared" si="4"/>
        <v>8942782.4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1378267.776</v>
      </c>
      <c r="V11" s="470">
        <f t="shared" si="11"/>
        <v>1938267.776</v>
      </c>
      <c r="W11" s="471">
        <v>12</v>
      </c>
      <c r="X11" s="470">
        <f t="shared" si="12"/>
        <v>161522.314666667</v>
      </c>
      <c r="Y11" s="470"/>
      <c r="Z11" s="472">
        <f t="shared" si="13"/>
        <v>161522.314666667</v>
      </c>
      <c r="AA11" s="473">
        <v>101827.951418667</v>
      </c>
      <c r="AB11" s="473">
        <f t="shared" si="15"/>
        <v>59694.3632479997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750675.583333333</v>
      </c>
      <c r="D12" s="469">
        <v>12</v>
      </c>
      <c r="E12" s="470">
        <f t="shared" si="14"/>
        <v>9008107</v>
      </c>
      <c r="F12" s="470">
        <f>'[6]JANUARY 2024'!$V$13*12</f>
        <v>10052.25</v>
      </c>
      <c r="G12" s="470">
        <v>595848.56</v>
      </c>
      <c r="H12" s="470"/>
      <c r="I12" s="470">
        <f t="shared" si="0"/>
        <v>8402206.19</v>
      </c>
      <c r="J12" s="470">
        <v>200000</v>
      </c>
      <c r="K12" s="470">
        <v>0.2</v>
      </c>
      <c r="L12" s="470">
        <f t="shared" si="1"/>
        <v>1680441.238</v>
      </c>
      <c r="M12" s="470">
        <f t="shared" si="2"/>
        <v>1880441.238</v>
      </c>
      <c r="N12" s="470">
        <f t="shared" si="3"/>
        <v>2486342.048</v>
      </c>
      <c r="O12" s="470">
        <f t="shared" si="4"/>
        <v>6521764.952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</v>
      </c>
      <c r="V12" s="470">
        <f t="shared" si="11"/>
        <v>1357223.58848</v>
      </c>
      <c r="W12" s="471">
        <v>12</v>
      </c>
      <c r="X12" s="470">
        <f t="shared" si="12"/>
        <v>113101.965706667</v>
      </c>
      <c r="Y12" s="470"/>
      <c r="Z12" s="472">
        <f t="shared" si="13"/>
        <v>113101.965706667</v>
      </c>
      <c r="AA12" s="473">
        <v>74036.1031466667</v>
      </c>
      <c r="AB12" s="473">
        <f t="shared" si="15"/>
        <v>39065.8625599999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v>842118.083333333</v>
      </c>
      <c r="D13" s="469">
        <v>12</v>
      </c>
      <c r="E13" s="470">
        <f t="shared" si="14"/>
        <v>10105417</v>
      </c>
      <c r="F13" s="470">
        <f>'[6]JANUARY 2024'!$V$14*12</f>
        <v>9305.952</v>
      </c>
      <c r="G13" s="470">
        <v>558833.36</v>
      </c>
      <c r="H13" s="470"/>
      <c r="I13" s="470">
        <f t="shared" si="0"/>
        <v>9537277.688</v>
      </c>
      <c r="J13" s="470">
        <v>200000</v>
      </c>
      <c r="K13" s="470">
        <v>0.2</v>
      </c>
      <c r="L13" s="470">
        <f t="shared" si="1"/>
        <v>1907455.5376</v>
      </c>
      <c r="M13" s="470">
        <f t="shared" si="2"/>
        <v>2107455.5376</v>
      </c>
      <c r="N13" s="470">
        <f t="shared" si="3"/>
        <v>2675594.8496</v>
      </c>
      <c r="O13" s="470">
        <f t="shared" si="4"/>
        <v>7429822.1504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1015157.316096</v>
      </c>
      <c r="V13" s="470">
        <f t="shared" si="11"/>
        <v>1575157.316096</v>
      </c>
      <c r="W13" s="471">
        <v>12</v>
      </c>
      <c r="X13" s="470">
        <f t="shared" si="12"/>
        <v>131263.109674667</v>
      </c>
      <c r="Y13" s="470"/>
      <c r="Z13" s="472">
        <f t="shared" si="13"/>
        <v>131263.109674667</v>
      </c>
      <c r="AA13" s="473">
        <v>94625.7820586667</v>
      </c>
      <c r="AB13" s="473">
        <f t="shared" si="15"/>
        <v>36637.3276159999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14"/>
        <v>6652485</v>
      </c>
      <c r="F14" s="470"/>
      <c r="G14" s="470">
        <v>464998.8</v>
      </c>
      <c r="H14" s="470"/>
      <c r="I14" s="470">
        <f t="shared" si="0"/>
        <v>6187486.2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1">
        <v>12</v>
      </c>
      <c r="X14" s="470">
        <f t="shared" si="12"/>
        <v>77666.4458666667</v>
      </c>
      <c r="Y14" s="470"/>
      <c r="Z14" s="472">
        <f t="shared" si="13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v>660498</v>
      </c>
      <c r="D15" s="469">
        <v>12</v>
      </c>
      <c r="E15" s="470">
        <f t="shared" si="14"/>
        <v>7925976</v>
      </c>
      <c r="F15" s="470"/>
      <c r="G15" s="474">
        <v>451678.08</v>
      </c>
      <c r="H15" s="470"/>
      <c r="I15" s="470">
        <f t="shared" si="0"/>
        <v>7474297.92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2146537.664</v>
      </c>
      <c r="O15" s="470">
        <f t="shared" si="4"/>
        <v>5779438.336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</v>
      </c>
      <c r="V15" s="470">
        <f t="shared" si="11"/>
        <v>1179065.20064</v>
      </c>
      <c r="W15" s="471">
        <v>12</v>
      </c>
      <c r="X15" s="470">
        <f t="shared" si="12"/>
        <v>98255.4333866667</v>
      </c>
      <c r="Y15" s="470"/>
      <c r="Z15" s="472">
        <f t="shared" si="13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v>732746.5</v>
      </c>
      <c r="D16" s="469">
        <v>12</v>
      </c>
      <c r="E16" s="470">
        <f t="shared" si="14"/>
        <v>8792958</v>
      </c>
      <c r="F16" s="470"/>
      <c r="G16" s="470">
        <v>425036.64</v>
      </c>
      <c r="H16" s="470"/>
      <c r="I16" s="470">
        <f t="shared" si="0"/>
        <v>8367921.36</v>
      </c>
      <c r="J16" s="470">
        <v>200000</v>
      </c>
      <c r="K16" s="470">
        <v>0.2</v>
      </c>
      <c r="L16" s="470">
        <f t="shared" si="1"/>
        <v>1673584.272</v>
      </c>
      <c r="M16" s="470">
        <f t="shared" si="2"/>
        <v>1873584.272</v>
      </c>
      <c r="N16" s="470">
        <f t="shared" si="3"/>
        <v>2298620.912</v>
      </c>
      <c r="O16" s="470">
        <f t="shared" si="4"/>
        <v>6494337.088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790640.90112</v>
      </c>
      <c r="V16" s="470">
        <f t="shared" si="11"/>
        <v>1350640.90112</v>
      </c>
      <c r="W16" s="471">
        <v>12</v>
      </c>
      <c r="X16" s="470">
        <f t="shared" si="12"/>
        <v>112553.408426667</v>
      </c>
      <c r="Y16" s="470"/>
      <c r="Z16" s="472">
        <f t="shared" si="13"/>
        <v>112553.408426667</v>
      </c>
      <c r="AA16" s="473">
        <v>46666.6666666667</v>
      </c>
      <c r="AB16" s="473">
        <f t="shared" si="15"/>
        <v>65886.7417599999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</v>
      </c>
      <c r="J17" s="470">
        <v>200000</v>
      </c>
      <c r="K17" s="470">
        <v>0.2</v>
      </c>
      <c r="L17" s="470">
        <f t="shared" si="1"/>
        <v>1143505.256</v>
      </c>
      <c r="M17" s="470">
        <f t="shared" si="2"/>
        <v>1343505.256</v>
      </c>
      <c r="N17" s="470">
        <f t="shared" si="3"/>
        <v>1767637.976</v>
      </c>
      <c r="O17" s="470">
        <f t="shared" si="4"/>
        <v>4374021.024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281765.045760001</v>
      </c>
      <c r="V17" s="470">
        <f t="shared" si="11"/>
        <v>841765.045760001</v>
      </c>
      <c r="W17" s="471">
        <v>12</v>
      </c>
      <c r="X17" s="470">
        <f t="shared" si="12"/>
        <v>70147.0871466667</v>
      </c>
      <c r="Y17" s="470"/>
      <c r="Z17" s="472">
        <f t="shared" si="13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14"/>
        <v>6586991</v>
      </c>
      <c r="F18" s="470"/>
      <c r="G18" s="470">
        <v>411759.28</v>
      </c>
      <c r="H18" s="470"/>
      <c r="I18" s="470">
        <f t="shared" si="0"/>
        <v>6175231.72</v>
      </c>
      <c r="J18" s="470">
        <v>200000</v>
      </c>
      <c r="K18" s="470">
        <v>0.2</v>
      </c>
      <c r="L18" s="470">
        <f t="shared" si="1"/>
        <v>1235046.344</v>
      </c>
      <c r="M18" s="470">
        <f t="shared" si="2"/>
        <v>1435046.344</v>
      </c>
      <c r="N18" s="470">
        <f t="shared" si="3"/>
        <v>1846805.624</v>
      </c>
      <c r="O18" s="470">
        <f t="shared" si="4"/>
        <v>4740185.376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369644.490240001</v>
      </c>
      <c r="V18" s="470">
        <f t="shared" si="11"/>
        <v>929644.490240001</v>
      </c>
      <c r="W18" s="471">
        <v>12</v>
      </c>
      <c r="X18" s="470">
        <f t="shared" si="12"/>
        <v>77470.3741866667</v>
      </c>
      <c r="Y18" s="470"/>
      <c r="Z18" s="472">
        <f t="shared" si="13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v>636026.916666667</v>
      </c>
      <c r="D19" s="469">
        <v>12</v>
      </c>
      <c r="E19" s="470">
        <f t="shared" si="14"/>
        <v>7632323</v>
      </c>
      <c r="F19" s="470">
        <f>618.53*12</f>
        <v>7422.36</v>
      </c>
      <c r="G19" s="470">
        <v>399385.84</v>
      </c>
      <c r="H19" s="470"/>
      <c r="I19" s="470">
        <f t="shared" si="0"/>
        <v>7225514.8</v>
      </c>
      <c r="J19" s="470">
        <v>200000</v>
      </c>
      <c r="K19" s="470">
        <v>0.2</v>
      </c>
      <c r="L19" s="470">
        <f t="shared" si="1"/>
        <v>1445102.96</v>
      </c>
      <c r="M19" s="470">
        <f t="shared" si="2"/>
        <v>1645102.96</v>
      </c>
      <c r="N19" s="470">
        <f t="shared" si="3"/>
        <v>2051911.16</v>
      </c>
      <c r="O19" s="470">
        <f t="shared" si="4"/>
        <v>5580411.84</v>
      </c>
      <c r="P19" s="470">
        <f t="shared" si="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571298.841600001</v>
      </c>
      <c r="V19" s="470">
        <f t="shared" si="11"/>
        <v>1131298.8416</v>
      </c>
      <c r="W19" s="471">
        <v>12</v>
      </c>
      <c r="X19" s="470">
        <f t="shared" si="12"/>
        <v>94274.9034666667</v>
      </c>
      <c r="Y19" s="470"/>
      <c r="Z19" s="472">
        <f t="shared" si="13"/>
        <v>94274.9034666667</v>
      </c>
      <c r="AA19" s="473">
        <v>46666.6666666667</v>
      </c>
      <c r="AB19" s="473">
        <f t="shared" si="15"/>
        <v>47608.2368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14"/>
        <v>6454742</v>
      </c>
      <c r="F20" s="470"/>
      <c r="G20" s="470">
        <v>362779.36</v>
      </c>
      <c r="H20" s="470"/>
      <c r="I20" s="470">
        <f t="shared" si="0"/>
        <v>6091962.64</v>
      </c>
      <c r="J20" s="470">
        <v>200000</v>
      </c>
      <c r="K20" s="470">
        <v>0.2</v>
      </c>
      <c r="L20" s="470">
        <f t="shared" si="1"/>
        <v>1218392.528</v>
      </c>
      <c r="M20" s="470">
        <f t="shared" si="2"/>
        <v>1418392.528</v>
      </c>
      <c r="N20" s="470">
        <f t="shared" si="3"/>
        <v>1781171.888</v>
      </c>
      <c r="O20" s="470">
        <f t="shared" si="4"/>
        <v>4673570.112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353656.826880001</v>
      </c>
      <c r="V20" s="470">
        <f t="shared" si="11"/>
        <v>913656.826880001</v>
      </c>
      <c r="W20" s="471">
        <v>12</v>
      </c>
      <c r="X20" s="470">
        <f t="shared" si="12"/>
        <v>76138.0689066667</v>
      </c>
      <c r="Y20" s="470"/>
      <c r="Z20" s="472">
        <f t="shared" si="13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v>553512.5</v>
      </c>
      <c r="D21" s="469">
        <v>12</v>
      </c>
      <c r="E21" s="470">
        <f t="shared" si="14"/>
        <v>6642150</v>
      </c>
      <c r="F21" s="470"/>
      <c r="G21" s="470">
        <v>339372</v>
      </c>
      <c r="H21" s="470"/>
      <c r="I21" s="470">
        <f t="shared" si="0"/>
        <v>6302778</v>
      </c>
      <c r="J21" s="470">
        <v>200000</v>
      </c>
      <c r="K21" s="470">
        <v>0.2</v>
      </c>
      <c r="L21" s="470">
        <f t="shared" si="1"/>
        <v>1260555.6</v>
      </c>
      <c r="M21" s="470">
        <f t="shared" si="2"/>
        <v>1460555.6</v>
      </c>
      <c r="N21" s="470">
        <f t="shared" si="3"/>
        <v>1799927.6</v>
      </c>
      <c r="O21" s="470">
        <f t="shared" si="4"/>
        <v>4842222.4</v>
      </c>
      <c r="P21" s="470">
        <f t="shared" si="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394133.376</v>
      </c>
      <c r="V21" s="470">
        <f t="shared" si="11"/>
        <v>954133.376</v>
      </c>
      <c r="W21" s="471">
        <v>12</v>
      </c>
      <c r="X21" s="470">
        <f t="shared" si="12"/>
        <v>79511.1146666667</v>
      </c>
      <c r="Y21" s="470"/>
      <c r="Z21" s="472">
        <f t="shared" si="13"/>
        <v>79511.1146666667</v>
      </c>
      <c r="AA21" s="473">
        <v>46666.6666666667</v>
      </c>
      <c r="AB21" s="473">
        <f t="shared" si="15"/>
        <v>32844.448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 t="shared" si="1"/>
        <v>1044555.6</v>
      </c>
      <c r="M22" s="470">
        <f t="shared" si="2"/>
        <v>1244555.6</v>
      </c>
      <c r="N22" s="470">
        <f t="shared" si="3"/>
        <v>1583927.6</v>
      </c>
      <c r="O22" s="470">
        <f t="shared" si="4"/>
        <v>3978222.4</v>
      </c>
      <c r="P22" s="470">
        <f t="shared" si="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186773.376</v>
      </c>
      <c r="V22" s="470">
        <f t="shared" si="11"/>
        <v>746773.376</v>
      </c>
      <c r="W22" s="471">
        <v>12</v>
      </c>
      <c r="X22" s="470">
        <f t="shared" si="12"/>
        <v>62231.1146666667</v>
      </c>
      <c r="Y22" s="470"/>
      <c r="Z22" s="472">
        <f t="shared" si="13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v>453029.666666667</v>
      </c>
      <c r="D23" s="469">
        <v>12</v>
      </c>
      <c r="E23" s="470">
        <f t="shared" si="14"/>
        <v>5436356</v>
      </c>
      <c r="F23" s="470"/>
      <c r="G23" s="470">
        <v>281308.48</v>
      </c>
      <c r="H23" s="470"/>
      <c r="I23" s="470">
        <f t="shared" si="0"/>
        <v>5155047.52</v>
      </c>
      <c r="J23" s="470">
        <v>200000</v>
      </c>
      <c r="K23" s="470">
        <v>0.2</v>
      </c>
      <c r="L23" s="470">
        <f t="shared" si="1"/>
        <v>1031009.504</v>
      </c>
      <c r="M23" s="470">
        <f t="shared" si="2"/>
        <v>1231009.504</v>
      </c>
      <c r="N23" s="470">
        <f t="shared" si="3"/>
        <v>1512317.984</v>
      </c>
      <c r="O23" s="470">
        <f t="shared" si="4"/>
        <v>3924038.016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173769.123840001</v>
      </c>
      <c r="V23" s="470">
        <f t="shared" si="11"/>
        <v>733769.123840001</v>
      </c>
      <c r="W23" s="471">
        <v>12</v>
      </c>
      <c r="X23" s="470">
        <f t="shared" si="12"/>
        <v>61147.4269866667</v>
      </c>
      <c r="Y23" s="470"/>
      <c r="Z23" s="472">
        <f t="shared" si="13"/>
        <v>61147.4269866667</v>
      </c>
      <c r="AA23" s="473">
        <v>42371.8157286667</v>
      </c>
      <c r="AB23" s="473">
        <f t="shared" si="15"/>
        <v>18775.611258</v>
      </c>
      <c r="AC23" s="473"/>
      <c r="AD23" s="473"/>
      <c r="AE23" s="473"/>
    </row>
    <row r="24" ht="18" spans="1:31">
      <c r="A24" s="467">
        <v>21</v>
      </c>
      <c r="B24" s="4" t="s">
        <v>478</v>
      </c>
      <c r="C24" s="468">
        <v>330481.666666667</v>
      </c>
      <c r="D24" s="469">
        <v>12</v>
      </c>
      <c r="E24" s="470">
        <f t="shared" si="14"/>
        <v>3965780</v>
      </c>
      <c r="F24" s="470"/>
      <c r="G24" s="470">
        <v>259662.4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 t="shared" si="1"/>
        <v>741223.520000001</v>
      </c>
      <c r="M24" s="470">
        <f t="shared" si="2"/>
        <v>941223.520000001</v>
      </c>
      <c r="N24" s="470">
        <f t="shared" si="3"/>
        <v>1200885.92</v>
      </c>
      <c r="O24" s="470">
        <f t="shared" si="4"/>
        <v>2764894.08</v>
      </c>
      <c r="P24" s="470">
        <f t="shared" si="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244627.756800001</v>
      </c>
      <c r="U24" s="470"/>
      <c r="V24" s="470">
        <f t="shared" si="11"/>
        <v>468627.756800001</v>
      </c>
      <c r="W24" s="471">
        <v>12</v>
      </c>
      <c r="X24" s="470">
        <f t="shared" si="12"/>
        <v>39052.3130666667</v>
      </c>
      <c r="Y24" s="470"/>
      <c r="Z24" s="472">
        <f t="shared" si="13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14"/>
        <v>3965780</v>
      </c>
      <c r="F25" s="470"/>
      <c r="G25" s="470">
        <v>259662.4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 t="shared" si="1"/>
        <v>741223.520000001</v>
      </c>
      <c r="M25" s="470">
        <f t="shared" si="2"/>
        <v>941223.520000001</v>
      </c>
      <c r="N25" s="470">
        <f t="shared" si="3"/>
        <v>1200885.92</v>
      </c>
      <c r="O25" s="470">
        <f t="shared" si="4"/>
        <v>2764894.08</v>
      </c>
      <c r="P25" s="470">
        <f t="shared" si="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244627.756800001</v>
      </c>
      <c r="U25" s="470"/>
      <c r="V25" s="470">
        <f t="shared" si="11"/>
        <v>468627.756800001</v>
      </c>
      <c r="W25" s="471">
        <v>12</v>
      </c>
      <c r="X25" s="470">
        <f t="shared" si="12"/>
        <v>39052.3130666667</v>
      </c>
      <c r="Y25" s="470"/>
      <c r="Z25" s="472">
        <f t="shared" si="13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14"/>
        <v>4445780</v>
      </c>
      <c r="F26" s="470"/>
      <c r="G26" s="470">
        <v>259662.4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 t="shared" si="1"/>
        <v>837223.520000001</v>
      </c>
      <c r="M26" s="470">
        <f t="shared" si="2"/>
        <v>1037223.52</v>
      </c>
      <c r="N26" s="470">
        <f t="shared" si="3"/>
        <v>1296885.92</v>
      </c>
      <c r="O26" s="470">
        <f t="shared" si="4"/>
        <v>3148894.08</v>
      </c>
      <c r="P26" s="470">
        <f t="shared" si="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325267.756800001</v>
      </c>
      <c r="U26" s="470"/>
      <c r="V26" s="470">
        <f t="shared" si="11"/>
        <v>549267.756800001</v>
      </c>
      <c r="W26" s="471">
        <v>12</v>
      </c>
      <c r="X26" s="470">
        <f t="shared" si="12"/>
        <v>45772.3130666667</v>
      </c>
      <c r="Y26" s="470"/>
      <c r="Z26" s="472">
        <f t="shared" si="13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14"/>
        <v>3877984</v>
      </c>
      <c r="F27" s="470"/>
      <c r="G27" s="470">
        <v>252638.72</v>
      </c>
      <c r="H27" s="470"/>
      <c r="I27" s="470">
        <f t="shared" si="0"/>
        <v>3625345.28</v>
      </c>
      <c r="J27" s="470">
        <v>200000</v>
      </c>
      <c r="K27" s="470">
        <v>0.2</v>
      </c>
      <c r="L27" s="470">
        <f t="shared" ref="L27" si="16">I27*K27</f>
        <v>725069.055999999</v>
      </c>
      <c r="M27" s="470">
        <f t="shared" ref="M27" si="17">J27+L27</f>
        <v>925069.055999999</v>
      </c>
      <c r="N27" s="470">
        <f t="shared" si="3"/>
        <v>1177707.776</v>
      </c>
      <c r="O27" s="470">
        <f t="shared" si="4"/>
        <v>2700276.224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</v>
      </c>
      <c r="U27" s="470"/>
      <c r="V27" s="470">
        <f t="shared" ref="V27" si="23">P27+Q27+R27+S27+T27+U27</f>
        <v>455058.007039999</v>
      </c>
      <c r="W27" s="471">
        <v>12</v>
      </c>
      <c r="X27" s="470">
        <f t="shared" ref="X27" si="24">V27/W27</f>
        <v>37921.5005866666</v>
      </c>
      <c r="Y27" s="470"/>
      <c r="Z27" s="472">
        <f t="shared" ref="Z27" si="25">X27</f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14"/>
        <v>3790188</v>
      </c>
      <c r="F28" s="470"/>
      <c r="G28" s="470">
        <v>245615.04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</v>
      </c>
      <c r="M28" s="470">
        <f t="shared" si="2"/>
        <v>908914.592</v>
      </c>
      <c r="N28" s="470">
        <f t="shared" si="3"/>
        <v>1154529.632</v>
      </c>
      <c r="O28" s="470">
        <f t="shared" si="4"/>
        <v>2635658.368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217488.25728</v>
      </c>
      <c r="U28" s="470"/>
      <c r="V28" s="470">
        <f t="shared" si="11"/>
        <v>441488.25728</v>
      </c>
      <c r="W28" s="471">
        <v>12</v>
      </c>
      <c r="X28" s="470">
        <f t="shared" si="12"/>
        <v>36790.6881066667</v>
      </c>
      <c r="Y28" s="470"/>
      <c r="Z28" s="472">
        <f t="shared" si="13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14"/>
        <v>3790188</v>
      </c>
      <c r="F29" s="470"/>
      <c r="G29" s="470">
        <v>245615.04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</v>
      </c>
      <c r="M29" s="470">
        <f t="shared" si="2"/>
        <v>908914.592</v>
      </c>
      <c r="N29" s="470">
        <f t="shared" si="3"/>
        <v>1154529.632</v>
      </c>
      <c r="O29" s="470">
        <f t="shared" si="4"/>
        <v>2635658.368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217488.25728</v>
      </c>
      <c r="U29" s="470"/>
      <c r="V29" s="470">
        <f t="shared" si="11"/>
        <v>441488.25728</v>
      </c>
      <c r="W29" s="471">
        <v>12</v>
      </c>
      <c r="X29" s="470">
        <f t="shared" si="12"/>
        <v>36790.6881066667</v>
      </c>
      <c r="Y29" s="470"/>
      <c r="Z29" s="472">
        <f t="shared" si="13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14"/>
        <v>3965780</v>
      </c>
      <c r="F30" s="470"/>
      <c r="G30" s="470">
        <v>259662.4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741223.520000001</v>
      </c>
      <c r="M30" s="470">
        <f t="shared" si="2"/>
        <v>941223.520000001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244627.756800001</v>
      </c>
      <c r="U30" s="470"/>
      <c r="V30" s="470">
        <f t="shared" si="11"/>
        <v>468627.756800001</v>
      </c>
      <c r="W30" s="471">
        <v>12</v>
      </c>
      <c r="X30" s="470">
        <f t="shared" si="12"/>
        <v>39052.3130666667</v>
      </c>
      <c r="Y30" s="470"/>
      <c r="Z30" s="472">
        <f t="shared" si="13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14"/>
        <v>3367583</v>
      </c>
      <c r="F31" s="470"/>
      <c r="G31" s="474">
        <v>221406.64</v>
      </c>
      <c r="H31" s="470"/>
      <c r="I31" s="470">
        <f t="shared" si="0"/>
        <v>3146176.36</v>
      </c>
      <c r="J31" s="470">
        <v>200000</v>
      </c>
      <c r="K31" s="470">
        <v>0.2</v>
      </c>
      <c r="L31" s="470">
        <f t="shared" si="1"/>
        <v>629235.272000001</v>
      </c>
      <c r="M31" s="470">
        <f t="shared" si="2"/>
        <v>829235.272000001</v>
      </c>
      <c r="N31" s="470">
        <f t="shared" si="3"/>
        <v>1050641.912</v>
      </c>
      <c r="O31" s="470">
        <f t="shared" si="4"/>
        <v>2316941.088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150557.628480001</v>
      </c>
      <c r="U31" s="470"/>
      <c r="V31" s="470">
        <f t="shared" si="11"/>
        <v>374557.628480001</v>
      </c>
      <c r="W31" s="471">
        <v>12</v>
      </c>
      <c r="X31" s="470">
        <f t="shared" si="12"/>
        <v>31213.1357066667</v>
      </c>
      <c r="Y31" s="470"/>
      <c r="Z31" s="472">
        <f t="shared" si="13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14"/>
        <v>3293517</v>
      </c>
      <c r="F32" s="470"/>
      <c r="G32" s="474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</v>
      </c>
      <c r="M32" s="470">
        <f t="shared" si="2"/>
        <v>815607.128</v>
      </c>
      <c r="N32" s="470">
        <f t="shared" si="3"/>
        <v>1031088.488</v>
      </c>
      <c r="O32" s="470">
        <f t="shared" si="4"/>
        <v>2262428.512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</v>
      </c>
      <c r="U32" s="470"/>
      <c r="V32" s="470">
        <f t="shared" si="11"/>
        <v>363109.98752</v>
      </c>
      <c r="W32" s="471">
        <v>12</v>
      </c>
      <c r="X32" s="470">
        <f t="shared" si="12"/>
        <v>30259.1656266667</v>
      </c>
      <c r="Y32" s="470"/>
      <c r="Z32" s="472">
        <f t="shared" si="13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2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2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>C35*D35</f>
        <v>18428640</v>
      </c>
      <c r="F35" s="470"/>
      <c r="G35" s="474">
        <v>1378291.2</v>
      </c>
      <c r="H35" s="470"/>
      <c r="I35" s="470">
        <f>E35-F35-G35-H35</f>
        <v>17050348.8</v>
      </c>
      <c r="J35" s="470">
        <v>200000</v>
      </c>
      <c r="K35" s="470">
        <v>0.2</v>
      </c>
      <c r="L35" s="470">
        <f>I35*K35</f>
        <v>3410069.76</v>
      </c>
      <c r="M35" s="470">
        <f>J35+L35</f>
        <v>3610069.76</v>
      </c>
      <c r="N35" s="470">
        <f>F35+G35+H35+M35</f>
        <v>4988360.96</v>
      </c>
      <c r="O35" s="470">
        <f>E35-N35</f>
        <v>13440279.04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2457666.9696</v>
      </c>
      <c r="V35" s="470">
        <f>P35+Q35+R35+S35+T35+U35</f>
        <v>3017666.9696</v>
      </c>
      <c r="W35" s="470">
        <v>12</v>
      </c>
      <c r="X35" s="470">
        <f>V35/W35</f>
        <v>251472.247466667</v>
      </c>
      <c r="Y35" s="470"/>
      <c r="Z35" s="472">
        <f>X35</f>
        <v>251472.247466667</v>
      </c>
      <c r="AA35" s="470">
        <v>161106.806858667</v>
      </c>
      <c r="AB35" s="470">
        <f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>C36*D36</f>
        <v>4236356</v>
      </c>
      <c r="F36" s="470"/>
      <c r="G36" s="474">
        <v>281308.48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791009.504000001</v>
      </c>
      <c r="M36" s="470">
        <f>J36+L36</f>
        <v>991009.504000001</v>
      </c>
      <c r="N36" s="470">
        <f>F36+G36+H36+M36</f>
        <v>1272317.984</v>
      </c>
      <c r="O36" s="470">
        <f>E36-N36</f>
        <v>2964038.016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286447.983360001</v>
      </c>
      <c r="U36" s="470"/>
      <c r="V36" s="470">
        <f>P36+Q36+R36+S36+T36+U36</f>
        <v>510447.983360001</v>
      </c>
      <c r="W36" s="470">
        <v>12</v>
      </c>
      <c r="X36" s="470">
        <f>V36/W36</f>
        <v>42537.3319466667</v>
      </c>
      <c r="Y36" s="470"/>
      <c r="Z36" s="472">
        <f>X36</f>
        <v>42537.3319466667</v>
      </c>
      <c r="AA36" s="473">
        <v>17042.7138666667</v>
      </c>
      <c r="AB36" s="470">
        <f t="shared" ref="AB36:AB37" si="30">Z36-AA36</f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>C37*D37</f>
        <v>4331587</v>
      </c>
      <c r="F37" s="470"/>
      <c r="G37" s="474">
        <v>288926.96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808532.007999999</v>
      </c>
      <c r="M37" s="470">
        <f>J37+L37</f>
        <v>1008532.008</v>
      </c>
      <c r="N37" s="470">
        <f>F37+G37+H37+M37</f>
        <v>1297458.968</v>
      </c>
      <c r="O37" s="470">
        <f>E37-N37</f>
        <v>3034128.032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301166.886719999</v>
      </c>
      <c r="U37" s="470"/>
      <c r="V37" s="470">
        <f>P37+Q37+R37+S37+T37+U37</f>
        <v>525166.886719999</v>
      </c>
      <c r="W37" s="470">
        <v>12</v>
      </c>
      <c r="X37" s="470">
        <f>V37/W37</f>
        <v>43763.9072266666</v>
      </c>
      <c r="Y37" s="470"/>
      <c r="Z37" s="472">
        <f>X37</f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2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2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912</v>
      </c>
      <c r="C40" s="468">
        <v>1635720</v>
      </c>
      <c r="D40" s="469">
        <v>12</v>
      </c>
      <c r="E40" s="470">
        <f>C40*D40</f>
        <v>19628640</v>
      </c>
      <c r="F40" s="470"/>
      <c r="G40" s="474">
        <v>1378291.2</v>
      </c>
      <c r="H40" s="470"/>
      <c r="I40" s="470">
        <f t="shared" ref="I40:I50" si="31">E40-F40-G40-H40</f>
        <v>18250348.8</v>
      </c>
      <c r="J40" s="470">
        <v>200000</v>
      </c>
      <c r="K40" s="470">
        <v>0.2</v>
      </c>
      <c r="L40" s="470">
        <f>I40*K40</f>
        <v>3650069.76</v>
      </c>
      <c r="M40" s="470">
        <f>J40+L40</f>
        <v>3850069.76</v>
      </c>
      <c r="N40" s="470">
        <f t="shared" ref="N40:N50" si="32">F40+G40+H40+M40</f>
        <v>5228360.96</v>
      </c>
      <c r="O40" s="470">
        <f t="shared" ref="O40:O50" si="33">E40-N40</f>
        <v>14400279.04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2688066.9696</v>
      </c>
      <c r="V40" s="470">
        <f>P40+Q40+R40+S40+T40+U40</f>
        <v>3248066.9696</v>
      </c>
      <c r="W40" s="471">
        <v>12</v>
      </c>
      <c r="X40" s="470">
        <f>V40/W40</f>
        <v>270672.247466667</v>
      </c>
      <c r="Y40" s="470"/>
      <c r="Z40" s="472">
        <f>X40</f>
        <v>270672.247466667</v>
      </c>
      <c r="AA40" s="473">
        <v>180306.806858667</v>
      </c>
      <c r="AB40" s="473">
        <f>Z40-AA40</f>
        <v>90365.4406079996</v>
      </c>
      <c r="AC40" s="473"/>
      <c r="AD40" s="473"/>
      <c r="AE40" s="473"/>
    </row>
    <row r="41" ht="18" spans="1:31">
      <c r="A41" s="467">
        <v>36</v>
      </c>
      <c r="B41" s="11" t="s">
        <v>914</v>
      </c>
      <c r="C41" s="470">
        <v>780675.583333333</v>
      </c>
      <c r="D41" s="469">
        <v>12</v>
      </c>
      <c r="E41" s="470">
        <f t="shared" ref="E41:E50" si="34">C41*D41</f>
        <v>9368107</v>
      </c>
      <c r="F41" s="476"/>
      <c r="G41" s="474">
        <v>595848.56</v>
      </c>
      <c r="H41" s="476"/>
      <c r="I41" s="470">
        <f t="shared" si="31"/>
        <v>8772258.44</v>
      </c>
      <c r="J41" s="470">
        <v>200000</v>
      </c>
      <c r="K41" s="470">
        <v>0.2</v>
      </c>
      <c r="L41" s="470">
        <f t="shared" si="1"/>
        <v>1754451.688</v>
      </c>
      <c r="M41" s="470">
        <f t="shared" si="2"/>
        <v>1954451.688</v>
      </c>
      <c r="N41" s="470">
        <f t="shared" si="32"/>
        <v>2550300.248</v>
      </c>
      <c r="O41" s="470">
        <f t="shared" si="33"/>
        <v>6817806.752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868273.620479999</v>
      </c>
      <c r="V41" s="470">
        <f t="shared" si="11"/>
        <v>1428273.62048</v>
      </c>
      <c r="W41" s="471">
        <v>12</v>
      </c>
      <c r="X41" s="470">
        <f t="shared" si="12"/>
        <v>119022.801706667</v>
      </c>
      <c r="Y41" s="476"/>
      <c r="Z41" s="472">
        <f t="shared" si="13"/>
        <v>119022.801706667</v>
      </c>
      <c r="AA41" s="473">
        <v>79956.9391466667</v>
      </c>
      <c r="AB41" s="473">
        <f t="shared" ref="AB41:AB50" si="35">Z41-AA41</f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470">
        <v>919203.583333333</v>
      </c>
      <c r="D42" s="469">
        <v>12</v>
      </c>
      <c r="E42" s="470">
        <f t="shared" si="34"/>
        <v>11030443</v>
      </c>
      <c r="F42" s="476"/>
      <c r="G42" s="474">
        <v>709635.44</v>
      </c>
      <c r="H42" s="476"/>
      <c r="I42" s="470">
        <f t="shared" si="31"/>
        <v>10320807.56</v>
      </c>
      <c r="J42" s="470">
        <v>200000</v>
      </c>
      <c r="K42" s="470">
        <v>0.2</v>
      </c>
      <c r="L42" s="470">
        <f t="shared" si="1"/>
        <v>2064161.512</v>
      </c>
      <c r="M42" s="470">
        <f t="shared" si="2"/>
        <v>2264161.512</v>
      </c>
      <c r="N42" s="470">
        <f t="shared" si="32"/>
        <v>2973796.952</v>
      </c>
      <c r="O42" s="470">
        <f t="shared" si="33"/>
        <v>8056646.048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1165595.05152</v>
      </c>
      <c r="V42" s="470">
        <f t="shared" si="11"/>
        <v>1725595.05152</v>
      </c>
      <c r="W42" s="471">
        <v>12</v>
      </c>
      <c r="X42" s="470">
        <f t="shared" si="12"/>
        <v>143799.587626667</v>
      </c>
      <c r="Y42" s="476"/>
      <c r="Z42" s="472">
        <f t="shared" si="13"/>
        <v>143799.587626667</v>
      </c>
      <c r="AA42" s="473">
        <v>97273.5138506667</v>
      </c>
      <c r="AB42" s="473">
        <f t="shared" si="35"/>
        <v>46526.0737759999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4"/>
        <v>9368107</v>
      </c>
      <c r="F43" s="476"/>
      <c r="G43" s="474">
        <v>595848.56</v>
      </c>
      <c r="H43" s="476"/>
      <c r="I43" s="470">
        <f t="shared" si="31"/>
        <v>8772258.44</v>
      </c>
      <c r="J43" s="470">
        <v>200000</v>
      </c>
      <c r="K43" s="470">
        <v>0.2</v>
      </c>
      <c r="L43" s="470">
        <f t="shared" si="1"/>
        <v>1754451.688</v>
      </c>
      <c r="M43" s="470">
        <f t="shared" si="2"/>
        <v>1954451.688</v>
      </c>
      <c r="N43" s="470">
        <f t="shared" si="32"/>
        <v>2550300.248</v>
      </c>
      <c r="O43" s="470">
        <f t="shared" si="33"/>
        <v>6817806.752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868273.620479999</v>
      </c>
      <c r="V43" s="470">
        <f t="shared" si="11"/>
        <v>1428273.62048</v>
      </c>
      <c r="W43" s="471">
        <v>12</v>
      </c>
      <c r="X43" s="470">
        <f t="shared" si="12"/>
        <v>119022.801706667</v>
      </c>
      <c r="Y43" s="476"/>
      <c r="Z43" s="472">
        <f t="shared" si="13"/>
        <v>119022.801706667</v>
      </c>
      <c r="AA43" s="473">
        <v>79956.9391466667</v>
      </c>
      <c r="AB43" s="473">
        <f t="shared" si="3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4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1"/>
        <v>8762206.19</v>
      </c>
      <c r="J44" s="470">
        <v>200000</v>
      </c>
      <c r="K44" s="470">
        <v>0.2</v>
      </c>
      <c r="L44" s="470">
        <f t="shared" si="1"/>
        <v>1752441.238</v>
      </c>
      <c r="M44" s="470">
        <f t="shared" si="2"/>
        <v>1952441.238</v>
      </c>
      <c r="N44" s="470">
        <f t="shared" si="32"/>
        <v>2558342.048</v>
      </c>
      <c r="O44" s="470">
        <f t="shared" si="33"/>
        <v>6809764.952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</v>
      </c>
      <c r="V44" s="470">
        <f t="shared" si="11"/>
        <v>1426343.58848</v>
      </c>
      <c r="W44" s="471">
        <v>12</v>
      </c>
      <c r="X44" s="470">
        <f t="shared" si="12"/>
        <v>118861.965706667</v>
      </c>
      <c r="Y44" s="476"/>
      <c r="Z44" s="472">
        <f t="shared" si="13"/>
        <v>118861.965706667</v>
      </c>
      <c r="AA44" s="473">
        <v>79796.1031466666</v>
      </c>
      <c r="AB44" s="473">
        <f t="shared" si="3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4"/>
        <v>8905417</v>
      </c>
      <c r="F45" s="470"/>
      <c r="G45" s="474">
        <v>558833.36</v>
      </c>
      <c r="H45" s="476"/>
      <c r="I45" s="470">
        <f t="shared" si="31"/>
        <v>8346583.64</v>
      </c>
      <c r="J45" s="470">
        <v>200000</v>
      </c>
      <c r="K45" s="470">
        <v>0.2</v>
      </c>
      <c r="L45" s="470">
        <f t="shared" si="1"/>
        <v>1669316.728</v>
      </c>
      <c r="M45" s="470">
        <f t="shared" si="2"/>
        <v>1869316.728</v>
      </c>
      <c r="N45" s="470">
        <f t="shared" si="32"/>
        <v>2428150.088</v>
      </c>
      <c r="O45" s="470">
        <f t="shared" si="33"/>
        <v>6477266.912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</v>
      </c>
      <c r="V45" s="470">
        <f t="shared" si="11"/>
        <v>1346544.05888</v>
      </c>
      <c r="W45" s="471">
        <v>12</v>
      </c>
      <c r="X45" s="470">
        <f t="shared" si="12"/>
        <v>112212.004906667</v>
      </c>
      <c r="Y45" s="476"/>
      <c r="Z45" s="472">
        <f t="shared" si="13"/>
        <v>112212.004906667</v>
      </c>
      <c r="AA45" s="473">
        <v>75572.9156906667</v>
      </c>
      <c r="AB45" s="473">
        <f t="shared" si="3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4"/>
        <v>7325976</v>
      </c>
      <c r="F46" s="470"/>
      <c r="G46" s="474">
        <v>451678.08</v>
      </c>
      <c r="H46" s="476"/>
      <c r="I46" s="470">
        <f t="shared" si="31"/>
        <v>6874297.92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</v>
      </c>
      <c r="O46" s="470">
        <f t="shared" si="33"/>
        <v>5299438.336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1063865.20064</v>
      </c>
      <c r="W46" s="471">
        <v>12</v>
      </c>
      <c r="X46" s="470">
        <f t="shared" si="12"/>
        <v>88655.4333866667</v>
      </c>
      <c r="Y46" s="476"/>
      <c r="Z46" s="472">
        <f t="shared" si="13"/>
        <v>88655.4333866667</v>
      </c>
      <c r="AA46" s="473">
        <v>58026.6094346667</v>
      </c>
      <c r="AB46" s="473">
        <f t="shared" si="3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4"/>
        <v>4811587</v>
      </c>
      <c r="F47" s="470"/>
      <c r="G47" s="474">
        <v>288926.96</v>
      </c>
      <c r="H47" s="476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904532.007999999</v>
      </c>
      <c r="M47" s="470">
        <f t="shared" si="2"/>
        <v>1104532.008</v>
      </c>
      <c r="N47" s="470">
        <f t="shared" si="32"/>
        <v>1393458.968</v>
      </c>
      <c r="O47" s="470">
        <f t="shared" si="33"/>
        <v>3418128.032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52350.7276799992</v>
      </c>
      <c r="V47" s="470">
        <f t="shared" si="11"/>
        <v>612350.727679999</v>
      </c>
      <c r="W47" s="471">
        <v>12</v>
      </c>
      <c r="X47" s="470">
        <f t="shared" si="12"/>
        <v>51029.2273066666</v>
      </c>
      <c r="Y47" s="476"/>
      <c r="Z47" s="472">
        <f t="shared" si="13"/>
        <v>51029.2273066666</v>
      </c>
      <c r="AA47" s="473">
        <v>33059.0784066667</v>
      </c>
      <c r="AB47" s="473">
        <f t="shared" si="3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4"/>
        <v>4357984</v>
      </c>
      <c r="F48" s="470"/>
      <c r="G48" s="474">
        <v>252638.72</v>
      </c>
      <c r="H48" s="476"/>
      <c r="I48" s="470">
        <f t="shared" si="31"/>
        <v>4105345.28</v>
      </c>
      <c r="J48" s="470">
        <v>200000</v>
      </c>
      <c r="K48" s="470">
        <v>0.2</v>
      </c>
      <c r="L48" s="470">
        <f t="shared" si="1"/>
        <v>821069.055999999</v>
      </c>
      <c r="M48" s="470">
        <f t="shared" si="2"/>
        <v>1021069.056</v>
      </c>
      <c r="N48" s="470">
        <f t="shared" si="32"/>
        <v>1273707.776</v>
      </c>
      <c r="O48" s="470">
        <f t="shared" si="33"/>
        <v>3084276.224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311698.007039999</v>
      </c>
      <c r="U48" s="470"/>
      <c r="V48" s="470">
        <f t="shared" si="11"/>
        <v>535698.007039999</v>
      </c>
      <c r="W48" s="471">
        <v>12</v>
      </c>
      <c r="X48" s="470">
        <f t="shared" si="12"/>
        <v>44641.5005866666</v>
      </c>
      <c r="Y48" s="476"/>
      <c r="Z48" s="472">
        <f t="shared" si="13"/>
        <v>44641.5005866666</v>
      </c>
      <c r="AA48" s="473">
        <v>29058.4826046667</v>
      </c>
      <c r="AB48" s="473">
        <f t="shared" si="3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915</v>
      </c>
      <c r="C49" s="470">
        <v>363165.333333333</v>
      </c>
      <c r="D49" s="469">
        <v>12</v>
      </c>
      <c r="E49" s="470">
        <f t="shared" si="34"/>
        <v>4357984</v>
      </c>
      <c r="F49" s="470"/>
      <c r="G49" s="474">
        <v>252638.72</v>
      </c>
      <c r="H49" s="476"/>
      <c r="I49" s="470">
        <f t="shared" si="31"/>
        <v>4105345.28</v>
      </c>
      <c r="J49" s="470">
        <v>200000</v>
      </c>
      <c r="K49" s="470">
        <v>0.2</v>
      </c>
      <c r="L49" s="470">
        <f t="shared" si="1"/>
        <v>821069.055999999</v>
      </c>
      <c r="M49" s="470">
        <f t="shared" si="2"/>
        <v>1021069.056</v>
      </c>
      <c r="N49" s="470">
        <f t="shared" si="32"/>
        <v>1273707.776</v>
      </c>
      <c r="O49" s="470">
        <f t="shared" si="33"/>
        <v>3084276.224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311698.007039999</v>
      </c>
      <c r="U49" s="470"/>
      <c r="V49" s="470">
        <f t="shared" si="11"/>
        <v>535698.007039999</v>
      </c>
      <c r="W49" s="471">
        <v>12</v>
      </c>
      <c r="X49" s="470">
        <f t="shared" si="12"/>
        <v>44641.5005866666</v>
      </c>
      <c r="Y49" s="476"/>
      <c r="Z49" s="472">
        <f t="shared" si="13"/>
        <v>44641.5005866666</v>
      </c>
      <c r="AA49" s="473">
        <v>28360.9528626667</v>
      </c>
      <c r="AB49" s="473">
        <f t="shared" si="3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4"/>
        <v>4357984</v>
      </c>
      <c r="F50" s="470"/>
      <c r="G50" s="474">
        <v>252638.72</v>
      </c>
      <c r="H50" s="476"/>
      <c r="I50" s="470">
        <f t="shared" si="31"/>
        <v>4105345.28</v>
      </c>
      <c r="J50" s="470">
        <v>200000</v>
      </c>
      <c r="K50" s="470">
        <v>0.2</v>
      </c>
      <c r="L50" s="470">
        <f t="shared" si="1"/>
        <v>821069.055999999</v>
      </c>
      <c r="M50" s="470">
        <f t="shared" si="2"/>
        <v>1021069.056</v>
      </c>
      <c r="N50" s="470">
        <f t="shared" si="32"/>
        <v>1273707.776</v>
      </c>
      <c r="O50" s="470">
        <f t="shared" si="33"/>
        <v>3084276.224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311698.007039999</v>
      </c>
      <c r="U50" s="470"/>
      <c r="V50" s="470">
        <f t="shared" si="11"/>
        <v>535698.007039999</v>
      </c>
      <c r="W50" s="471">
        <v>12</v>
      </c>
      <c r="X50" s="470">
        <f t="shared" si="12"/>
        <v>44641.5005866666</v>
      </c>
      <c r="Y50" s="476"/>
      <c r="Z50" s="472">
        <f t="shared" si="13"/>
        <v>44641.5005866666</v>
      </c>
      <c r="AA50" s="473">
        <v>29058.4826046667</v>
      </c>
      <c r="AB50" s="473">
        <f t="shared" si="3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2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2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>C53*D53</f>
        <v>19628640</v>
      </c>
      <c r="F53" s="470"/>
      <c r="G53" s="474">
        <v>1378291.2</v>
      </c>
      <c r="H53" s="476"/>
      <c r="I53" s="470">
        <f>E53-F53-G53-H53</f>
        <v>18250348.8</v>
      </c>
      <c r="J53" s="470">
        <v>200000</v>
      </c>
      <c r="K53" s="470">
        <v>0.2</v>
      </c>
      <c r="L53" s="470">
        <f t="shared" si="1"/>
        <v>3650069.76</v>
      </c>
      <c r="M53" s="470">
        <f t="shared" si="2"/>
        <v>3850069.76</v>
      </c>
      <c r="N53" s="470">
        <f>F53+G53+H53+M53</f>
        <v>5228360.96</v>
      </c>
      <c r="O53" s="470">
        <f>E53-N53</f>
        <v>14400279.04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2688066.9696</v>
      </c>
      <c r="V53" s="470">
        <f t="shared" si="11"/>
        <v>3248066.9696</v>
      </c>
      <c r="W53" s="471">
        <v>12</v>
      </c>
      <c r="X53" s="470">
        <f t="shared" si="12"/>
        <v>270672.247466667</v>
      </c>
      <c r="Y53" s="476"/>
      <c r="Z53" s="472">
        <f t="shared" si="13"/>
        <v>270672.247466667</v>
      </c>
      <c r="AA53" s="473">
        <v>180306.806858667</v>
      </c>
      <c r="AB53" s="473">
        <f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>C54*D54</f>
        <v>8408107</v>
      </c>
      <c r="F54" s="470"/>
      <c r="G54" s="470">
        <v>595848.56</v>
      </c>
      <c r="H54" s="476"/>
      <c r="I54" s="470">
        <f>E54-F54-G54-H54</f>
        <v>7812258.44</v>
      </c>
      <c r="J54" s="470">
        <v>200000</v>
      </c>
      <c r="K54" s="470">
        <v>0.2</v>
      </c>
      <c r="L54" s="470">
        <f t="shared" si="1"/>
        <v>1562451.688</v>
      </c>
      <c r="M54" s="470">
        <f t="shared" si="2"/>
        <v>1762451.688</v>
      </c>
      <c r="N54" s="470">
        <f>F54+G54+H54+M54</f>
        <v>2358300.248</v>
      </c>
      <c r="O54" s="470">
        <f>E54-N54</f>
        <v>6049806.752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683953.620479999</v>
      </c>
      <c r="V54" s="470">
        <f t="shared" si="11"/>
        <v>1243953.62048</v>
      </c>
      <c r="W54" s="471">
        <v>12</v>
      </c>
      <c r="X54" s="470">
        <f t="shared" si="12"/>
        <v>103662.801706667</v>
      </c>
      <c r="Y54" s="476"/>
      <c r="Z54" s="472">
        <f t="shared" si="13"/>
        <v>103662.801706667</v>
      </c>
      <c r="AA54" s="473">
        <v>64596.9391466667</v>
      </c>
      <c r="AB54" s="473">
        <f>Z54-AA54</f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2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2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917</v>
      </c>
      <c r="C57" s="470">
        <v>1635720</v>
      </c>
      <c r="D57" s="469">
        <v>12</v>
      </c>
      <c r="E57" s="470">
        <f>C57*D57</f>
        <v>19628640</v>
      </c>
      <c r="F57" s="470"/>
      <c r="G57" s="474">
        <v>0</v>
      </c>
      <c r="H57" s="476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3512698.88</v>
      </c>
      <c r="W57" s="471">
        <v>12</v>
      </c>
      <c r="X57" s="470">
        <f t="shared" si="12"/>
        <v>292724.906666667</v>
      </c>
      <c r="Y57" s="476"/>
      <c r="Z57" s="472">
        <f t="shared" si="13"/>
        <v>292724.906666667</v>
      </c>
      <c r="AA57" s="473">
        <v>180306.806858667</v>
      </c>
      <c r="AB57" s="473">
        <f>Z57-AA57</f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919</v>
      </c>
      <c r="C58" s="470">
        <v>761396.833333333</v>
      </c>
      <c r="D58" s="469">
        <v>12</v>
      </c>
      <c r="E58" s="470">
        <f t="shared" ref="E58:E66" si="39">C58*D58</f>
        <v>9136762</v>
      </c>
      <c r="F58" s="470"/>
      <c r="G58" s="479">
        <f>48111.7466666667*12</f>
        <v>577340.96</v>
      </c>
      <c r="H58" s="476"/>
      <c r="I58" s="470">
        <f t="shared" si="36"/>
        <v>8559421.04</v>
      </c>
      <c r="J58" s="470">
        <v>200000</v>
      </c>
      <c r="K58" s="470">
        <v>0.2</v>
      </c>
      <c r="L58" s="470">
        <f t="shared" si="1"/>
        <v>1711884.208</v>
      </c>
      <c r="M58" s="470">
        <f t="shared" si="2"/>
        <v>1911884.208</v>
      </c>
      <c r="N58" s="470">
        <f t="shared" si="37"/>
        <v>2489225.168</v>
      </c>
      <c r="O58" s="470">
        <f t="shared" si="38"/>
        <v>6647536.832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</v>
      </c>
      <c r="V58" s="470">
        <f t="shared" si="11"/>
        <v>1387408.83968</v>
      </c>
      <c r="W58" s="471">
        <v>12</v>
      </c>
      <c r="X58" s="470">
        <f t="shared" si="12"/>
        <v>115617.403306667</v>
      </c>
      <c r="Y58" s="476"/>
      <c r="Z58" s="472">
        <f t="shared" si="13"/>
        <v>115617.403306667</v>
      </c>
      <c r="AA58" s="473">
        <v>77764.9802666667</v>
      </c>
      <c r="AB58" s="473">
        <f t="shared" ref="AB58:AB66" si="40">Z58-AA58</f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39"/>
        <v>6992958</v>
      </c>
      <c r="F59" s="470"/>
      <c r="G59" s="474">
        <v>425036.64</v>
      </c>
      <c r="H59" s="476"/>
      <c r="I59" s="470">
        <f t="shared" si="36"/>
        <v>6567921.36</v>
      </c>
      <c r="J59" s="470">
        <v>200000</v>
      </c>
      <c r="K59" s="470">
        <v>0.2</v>
      </c>
      <c r="L59" s="470">
        <f t="shared" si="1"/>
        <v>1313584.272</v>
      </c>
      <c r="M59" s="470">
        <f t="shared" si="2"/>
        <v>1513584.272</v>
      </c>
      <c r="N59" s="470">
        <f t="shared" si="37"/>
        <v>1938620.912</v>
      </c>
      <c r="O59" s="470">
        <f t="shared" si="38"/>
        <v>5054337.088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445040.90112</v>
      </c>
      <c r="V59" s="470">
        <f t="shared" si="11"/>
        <v>1005040.90112</v>
      </c>
      <c r="W59" s="471">
        <v>12</v>
      </c>
      <c r="X59" s="470">
        <f t="shared" si="12"/>
        <v>83753.4084266666</v>
      </c>
      <c r="Y59" s="476"/>
      <c r="Z59" s="472">
        <f t="shared" si="13"/>
        <v>83753.4084266666</v>
      </c>
      <c r="AA59" s="473">
        <v>54931.2492266667</v>
      </c>
      <c r="AB59" s="473">
        <f t="shared" si="40"/>
        <v>28822.1591999999</v>
      </c>
      <c r="AC59" s="473"/>
      <c r="AD59" s="473"/>
      <c r="AE59" s="473"/>
    </row>
    <row r="60" ht="18" spans="1:31">
      <c r="A60" s="467">
        <v>53</v>
      </c>
      <c r="B60" s="18" t="s">
        <v>921</v>
      </c>
      <c r="C60" s="470">
        <v>548915.916666667</v>
      </c>
      <c r="D60" s="469">
        <v>12</v>
      </c>
      <c r="E60" s="470">
        <f t="shared" si="39"/>
        <v>6586991</v>
      </c>
      <c r="F60" s="470"/>
      <c r="G60" s="474">
        <v>411759.28</v>
      </c>
      <c r="H60" s="476"/>
      <c r="I60" s="470">
        <f t="shared" si="36"/>
        <v>6175231.72</v>
      </c>
      <c r="J60" s="470">
        <v>200000</v>
      </c>
      <c r="K60" s="470">
        <v>0.2</v>
      </c>
      <c r="L60" s="470">
        <f t="shared" si="1"/>
        <v>1235046.344</v>
      </c>
      <c r="M60" s="470">
        <f t="shared" si="2"/>
        <v>1435046.344</v>
      </c>
      <c r="N60" s="470">
        <f t="shared" si="37"/>
        <v>1846805.624</v>
      </c>
      <c r="O60" s="470">
        <f t="shared" si="38"/>
        <v>4740185.376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369644.490240001</v>
      </c>
      <c r="V60" s="470">
        <f t="shared" si="11"/>
        <v>929644.490240001</v>
      </c>
      <c r="W60" s="471">
        <v>12</v>
      </c>
      <c r="X60" s="470">
        <f t="shared" si="12"/>
        <v>77470.3741866667</v>
      </c>
      <c r="Y60" s="476"/>
      <c r="Z60" s="472">
        <f t="shared" si="13"/>
        <v>77470.3741866667</v>
      </c>
      <c r="AA60" s="473">
        <v>49548.7761866667</v>
      </c>
      <c r="AB60" s="473">
        <f t="shared" si="40"/>
        <v>27921.598</v>
      </c>
      <c r="AC60" s="473"/>
      <c r="AD60" s="473"/>
      <c r="AE60" s="473"/>
    </row>
    <row r="61" ht="18" spans="1:31">
      <c r="A61" s="467">
        <v>54</v>
      </c>
      <c r="B61" s="14" t="s">
        <v>922</v>
      </c>
      <c r="C61" s="470">
        <v>624373.75</v>
      </c>
      <c r="D61" s="469">
        <v>12</v>
      </c>
      <c r="E61" s="470">
        <f t="shared" si="39"/>
        <v>7492485</v>
      </c>
      <c r="F61" s="470"/>
      <c r="G61" s="474">
        <v>464998.8</v>
      </c>
      <c r="H61" s="476"/>
      <c r="I61" s="470">
        <f t="shared" si="36"/>
        <v>7027486.2</v>
      </c>
      <c r="J61" s="470">
        <v>200000</v>
      </c>
      <c r="K61" s="470">
        <v>0.2</v>
      </c>
      <c r="L61" s="470">
        <f t="shared" si="1"/>
        <v>1405497.24</v>
      </c>
      <c r="M61" s="470">
        <f t="shared" si="2"/>
        <v>1605497.24</v>
      </c>
      <c r="N61" s="470">
        <f t="shared" si="37"/>
        <v>2070496.04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1093277.3504</v>
      </c>
      <c r="W61" s="471">
        <v>12</v>
      </c>
      <c r="X61" s="470">
        <f t="shared" si="12"/>
        <v>91106.4458666667</v>
      </c>
      <c r="Y61" s="476"/>
      <c r="Z61" s="472">
        <f t="shared" si="13"/>
        <v>91106.4458666667</v>
      </c>
      <c r="AA61" s="473">
        <v>46666.6666666667</v>
      </c>
      <c r="AB61" s="473">
        <f t="shared" si="40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39"/>
        <v>5708446</v>
      </c>
      <c r="F62" s="470"/>
      <c r="G62" s="474">
        <v>351075.68</v>
      </c>
      <c r="H62" s="476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1622549.744</v>
      </c>
      <c r="O62" s="470">
        <f t="shared" si="38"/>
        <v>4085896.256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212615.101439999</v>
      </c>
      <c r="V62" s="470">
        <f t="shared" si="11"/>
        <v>772615.101439999</v>
      </c>
      <c r="W62" s="471">
        <v>12</v>
      </c>
      <c r="X62" s="470">
        <f t="shared" si="12"/>
        <v>64384.5917866666</v>
      </c>
      <c r="Y62" s="476"/>
      <c r="Z62" s="472">
        <f t="shared" si="13"/>
        <v>64384.5917866666</v>
      </c>
      <c r="AA62" s="473">
        <v>41338.9510986667</v>
      </c>
      <c r="AB62" s="473">
        <f t="shared" si="40"/>
        <v>23045.6406879999</v>
      </c>
      <c r="AC62" s="473"/>
      <c r="AD62" s="473"/>
      <c r="AE62" s="473"/>
    </row>
    <row r="63" ht="18" spans="1:31">
      <c r="A63" s="467">
        <v>56</v>
      </c>
      <c r="B63" s="11" t="s">
        <v>172</v>
      </c>
      <c r="C63" s="470">
        <v>475703.833333333</v>
      </c>
      <c r="D63" s="469">
        <v>12</v>
      </c>
      <c r="E63" s="470">
        <f t="shared" si="39"/>
        <v>5708446</v>
      </c>
      <c r="F63" s="470"/>
      <c r="G63" s="474">
        <v>351075.68</v>
      </c>
      <c r="H63" s="476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1622549.744</v>
      </c>
      <c r="O63" s="470">
        <f t="shared" si="38"/>
        <v>4085896.256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212615.101439999</v>
      </c>
      <c r="V63" s="470">
        <f t="shared" si="11"/>
        <v>772615.101439999</v>
      </c>
      <c r="W63" s="471">
        <v>12</v>
      </c>
      <c r="X63" s="470">
        <f t="shared" si="12"/>
        <v>64384.5917866666</v>
      </c>
      <c r="Y63" s="476"/>
      <c r="Z63" s="472">
        <f t="shared" si="13"/>
        <v>64384.5917866666</v>
      </c>
      <c r="AA63" s="473">
        <v>41338.9510986667</v>
      </c>
      <c r="AB63" s="473">
        <f t="shared" si="40"/>
        <v>23045.6406879999</v>
      </c>
      <c r="AC63" s="473"/>
      <c r="AD63" s="473"/>
      <c r="AE63" s="473"/>
    </row>
    <row r="64" ht="18" spans="1:31">
      <c r="A64" s="467">
        <v>57</v>
      </c>
      <c r="B64" s="11" t="s">
        <v>174</v>
      </c>
      <c r="C64" s="470">
        <v>475703.833333333</v>
      </c>
      <c r="D64" s="469">
        <v>12</v>
      </c>
      <c r="E64" s="470">
        <f t="shared" si="39"/>
        <v>5708446</v>
      </c>
      <c r="F64" s="470"/>
      <c r="G64" s="474">
        <v>351075.68</v>
      </c>
      <c r="H64" s="476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1622549.744</v>
      </c>
      <c r="O64" s="470">
        <f t="shared" si="38"/>
        <v>4085896.256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212615.101439999</v>
      </c>
      <c r="V64" s="470">
        <f t="shared" si="11"/>
        <v>772615.101439999</v>
      </c>
      <c r="W64" s="471">
        <v>12</v>
      </c>
      <c r="X64" s="470">
        <f t="shared" si="12"/>
        <v>64384.5917866666</v>
      </c>
      <c r="Y64" s="476"/>
      <c r="Z64" s="472">
        <f t="shared" si="13"/>
        <v>64384.5917866666</v>
      </c>
      <c r="AA64" s="473">
        <v>41338.9510986667</v>
      </c>
      <c r="AB64" s="473">
        <f t="shared" si="40"/>
        <v>23045.6406879999</v>
      </c>
      <c r="AC64" s="473"/>
      <c r="AD64" s="473"/>
      <c r="AE64" s="473"/>
    </row>
    <row r="65" ht="18" spans="1:31">
      <c r="A65" s="467">
        <v>58</v>
      </c>
      <c r="B65" s="11" t="s">
        <v>175</v>
      </c>
      <c r="C65" s="470">
        <v>487895.166666667</v>
      </c>
      <c r="D65" s="469">
        <v>12</v>
      </c>
      <c r="E65" s="470">
        <f t="shared" si="39"/>
        <v>5854742</v>
      </c>
      <c r="F65" s="470"/>
      <c r="G65" s="474">
        <v>362779.36</v>
      </c>
      <c r="H65" s="476"/>
      <c r="I65" s="470">
        <f t="shared" si="36"/>
        <v>5491962.64</v>
      </c>
      <c r="J65" s="470">
        <v>200000</v>
      </c>
      <c r="K65" s="470">
        <v>0.2</v>
      </c>
      <c r="L65" s="470">
        <f t="shared" si="1"/>
        <v>1098392.528</v>
      </c>
      <c r="M65" s="470">
        <f t="shared" si="2"/>
        <v>1298392.528</v>
      </c>
      <c r="N65" s="470">
        <f t="shared" si="37"/>
        <v>1661171.888</v>
      </c>
      <c r="O65" s="470">
        <f t="shared" si="38"/>
        <v>4193570.112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238456.826880001</v>
      </c>
      <c r="V65" s="470">
        <f t="shared" si="11"/>
        <v>798456.826880001</v>
      </c>
      <c r="W65" s="471">
        <v>12</v>
      </c>
      <c r="X65" s="470">
        <f t="shared" si="12"/>
        <v>66538.0689066667</v>
      </c>
      <c r="Y65" s="476"/>
      <c r="Z65" s="472">
        <f t="shared" si="13"/>
        <v>66538.0689066667</v>
      </c>
      <c r="AA65" s="473">
        <v>43368.8824146667</v>
      </c>
      <c r="AB65" s="473">
        <f t="shared" si="40"/>
        <v>23169.186492</v>
      </c>
      <c r="AC65" s="473"/>
      <c r="AD65" s="473"/>
      <c r="AE65" s="473"/>
    </row>
    <row r="66" ht="18" spans="1:31">
      <c r="A66" s="467">
        <v>59</v>
      </c>
      <c r="B66" s="11" t="s">
        <v>179</v>
      </c>
      <c r="C66" s="470">
        <v>400965.583333333</v>
      </c>
      <c r="D66" s="469">
        <v>12</v>
      </c>
      <c r="E66" s="470">
        <f t="shared" si="39"/>
        <v>4811587</v>
      </c>
      <c r="F66" s="470"/>
      <c r="G66" s="478">
        <v>288926.96</v>
      </c>
      <c r="H66" s="476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904532.007999999</v>
      </c>
      <c r="M66" s="470">
        <f t="shared" si="2"/>
        <v>1104532.008</v>
      </c>
      <c r="N66" s="470">
        <f t="shared" si="37"/>
        <v>1393458.968</v>
      </c>
      <c r="O66" s="470">
        <f t="shared" si="38"/>
        <v>3418128.032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52350.7276799992</v>
      </c>
      <c r="V66" s="470">
        <f t="shared" si="11"/>
        <v>612350.727679999</v>
      </c>
      <c r="W66" s="471">
        <v>12</v>
      </c>
      <c r="X66" s="470">
        <f t="shared" si="12"/>
        <v>51029.2273066666</v>
      </c>
      <c r="Y66" s="476"/>
      <c r="Z66" s="472">
        <f t="shared" si="13"/>
        <v>51029.2273066666</v>
      </c>
      <c r="AA66" s="473">
        <v>33825.9865626667</v>
      </c>
      <c r="AB66" s="473">
        <f t="shared" si="40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2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2"/>
      <c r="AA68" s="473"/>
      <c r="AB68" s="473"/>
      <c r="AC68" s="473"/>
      <c r="AD68" s="473"/>
      <c r="AE68" s="473"/>
    </row>
    <row r="69" ht="17.5" spans="1:31">
      <c r="A69" s="467"/>
      <c r="B69" s="20" t="s">
        <v>183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2"/>
      <c r="AA69" s="473"/>
      <c r="AB69" s="473"/>
      <c r="AC69" s="473"/>
      <c r="AD69" s="473"/>
      <c r="AE69" s="473"/>
    </row>
    <row r="70" ht="18" spans="1:31">
      <c r="A70" s="467"/>
      <c r="B70" s="11" t="s">
        <v>184</v>
      </c>
      <c r="C70" s="470">
        <v>1635720</v>
      </c>
      <c r="D70" s="469">
        <v>12</v>
      </c>
      <c r="E70" s="470">
        <f>C70*D70</f>
        <v>19628640</v>
      </c>
      <c r="F70" s="470"/>
      <c r="G70" s="474">
        <v>1378291.2</v>
      </c>
      <c r="H70" s="476"/>
      <c r="I70" s="470">
        <f t="shared" ref="I70:I76" si="41">E70-F70-G70-H70</f>
        <v>18250348.8</v>
      </c>
      <c r="J70" s="470">
        <v>200000</v>
      </c>
      <c r="K70" s="470">
        <v>0.2</v>
      </c>
      <c r="L70" s="470">
        <f t="shared" ref="L70" si="42">I70*K70</f>
        <v>3650069.76</v>
      </c>
      <c r="M70" s="470">
        <f t="shared" ref="M70" si="43">J70+L70</f>
        <v>3850069.76</v>
      </c>
      <c r="N70" s="470">
        <f t="shared" ref="N70:N76" si="44">F70+G70+H70+M70</f>
        <v>5228360.96</v>
      </c>
      <c r="O70" s="470">
        <f t="shared" ref="O70:O76" si="45">E70-N70</f>
        <v>14400279.04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2688066.9696</v>
      </c>
      <c r="V70" s="470">
        <f t="shared" ref="V70" si="52">P70+Q70+R70+S70+T70+U70</f>
        <v>3248066.9696</v>
      </c>
      <c r="W70" s="471">
        <v>12</v>
      </c>
      <c r="X70" s="470">
        <f t="shared" ref="X70" si="53">V70/W70</f>
        <v>270672.247466667</v>
      </c>
      <c r="Y70" s="476"/>
      <c r="Z70" s="472">
        <f t="shared" ref="Z70" si="54">X70</f>
        <v>270672.247466667</v>
      </c>
      <c r="AA70" s="473">
        <v>180306.806858667</v>
      </c>
      <c r="AB70" s="473">
        <f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923</v>
      </c>
      <c r="C71" s="470">
        <v>761396.833333333</v>
      </c>
      <c r="D71" s="469">
        <v>12</v>
      </c>
      <c r="E71" s="470">
        <f t="shared" ref="E71:E76" si="55">C71*D71</f>
        <v>9136762</v>
      </c>
      <c r="F71" s="470"/>
      <c r="G71" s="474">
        <v>0</v>
      </c>
      <c r="H71" s="476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</v>
      </c>
      <c r="M71" s="470">
        <f t="shared" si="2"/>
        <v>2027352.4</v>
      </c>
      <c r="N71" s="470">
        <f t="shared" si="44"/>
        <v>2027352.4</v>
      </c>
      <c r="O71" s="470">
        <f t="shared" si="45"/>
        <v>7109409.6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</v>
      </c>
      <c r="V71" s="470">
        <f t="shared" si="11"/>
        <v>1498258.304</v>
      </c>
      <c r="W71" s="471">
        <v>12</v>
      </c>
      <c r="X71" s="470">
        <f t="shared" si="12"/>
        <v>124854.858666667</v>
      </c>
      <c r="Y71" s="476"/>
      <c r="Z71" s="472">
        <f t="shared" si="13"/>
        <v>124854.858666667</v>
      </c>
      <c r="AA71" s="473">
        <v>77764.9802666667</v>
      </c>
      <c r="AB71" s="473">
        <f t="shared" ref="AB71:AB76" si="56">Z71-AA71</f>
        <v>47089.8783999999</v>
      </c>
      <c r="AC71" s="473"/>
      <c r="AD71" s="473"/>
      <c r="AE71" s="473"/>
    </row>
    <row r="72" ht="36" spans="1:31">
      <c r="A72" s="467">
        <v>63</v>
      </c>
      <c r="B72" s="18" t="s">
        <v>186</v>
      </c>
      <c r="C72" s="470">
        <f>700675.583333333+80000</f>
        <v>780675.583333333</v>
      </c>
      <c r="D72" s="469">
        <v>12</v>
      </c>
      <c r="E72" s="470">
        <f t="shared" si="55"/>
        <v>9368107</v>
      </c>
      <c r="F72" s="470"/>
      <c r="G72" s="474">
        <v>0</v>
      </c>
      <c r="H72" s="476"/>
      <c r="I72" s="470">
        <f t="shared" si="41"/>
        <v>9368107</v>
      </c>
      <c r="J72" s="470">
        <v>200000</v>
      </c>
      <c r="K72" s="470">
        <v>0.2</v>
      </c>
      <c r="L72" s="470">
        <f t="shared" si="1"/>
        <v>1873621.4</v>
      </c>
      <c r="M72" s="470">
        <f t="shared" si="2"/>
        <v>2073621.4</v>
      </c>
      <c r="N72" s="470">
        <f t="shared" si="44"/>
        <v>2073621.4</v>
      </c>
      <c r="O72" s="470">
        <f t="shared" si="45"/>
        <v>7294485.6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</v>
      </c>
      <c r="V72" s="470">
        <f t="shared" si="11"/>
        <v>1542676.544</v>
      </c>
      <c r="W72" s="471">
        <v>12</v>
      </c>
      <c r="X72" s="470">
        <f t="shared" si="12"/>
        <v>128556.378666667</v>
      </c>
      <c r="Y72" s="476"/>
      <c r="Z72" s="472">
        <f t="shared" si="13"/>
        <v>128556.378666667</v>
      </c>
      <c r="AA72" s="473">
        <v>64596.9391466667</v>
      </c>
      <c r="AB72" s="473">
        <f t="shared" si="56"/>
        <v>63959.4395199999</v>
      </c>
      <c r="AC72" s="473"/>
      <c r="AD72" s="473"/>
      <c r="AE72" s="473"/>
    </row>
    <row r="73" ht="18" spans="1:31">
      <c r="A73" s="467">
        <v>64</v>
      </c>
      <c r="B73" s="11" t="s">
        <v>190</v>
      </c>
      <c r="C73" s="470">
        <v>596622.25</v>
      </c>
      <c r="D73" s="469">
        <v>12</v>
      </c>
      <c r="E73" s="470">
        <f t="shared" si="55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41"/>
        <v>6713089.845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</v>
      </c>
      <c r="O73" s="470">
        <f t="shared" si="45"/>
        <v>5170471.876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</v>
      </c>
      <c r="V73" s="470">
        <f t="shared" si="11"/>
        <v>1032913.25024</v>
      </c>
      <c r="W73" s="471">
        <v>12</v>
      </c>
      <c r="X73" s="470">
        <f t="shared" si="12"/>
        <v>86076.1041866667</v>
      </c>
      <c r="Y73" s="476"/>
      <c r="Z73" s="472">
        <f t="shared" si="13"/>
        <v>86076.1041866667</v>
      </c>
      <c r="AA73" s="473">
        <v>56350.5861866667</v>
      </c>
      <c r="AB73" s="473">
        <f t="shared" si="56"/>
        <v>29725.518</v>
      </c>
      <c r="AC73" s="473"/>
      <c r="AD73" s="473"/>
      <c r="AE73" s="473"/>
    </row>
    <row r="74" ht="18" spans="1:31">
      <c r="A74" s="467">
        <v>65</v>
      </c>
      <c r="B74" s="11" t="s">
        <v>197</v>
      </c>
      <c r="C74" s="470">
        <v>408901.5</v>
      </c>
      <c r="D74" s="469">
        <v>12</v>
      </c>
      <c r="E74" s="470">
        <f t="shared" si="55"/>
        <v>4906818</v>
      </c>
      <c r="F74" s="470"/>
      <c r="G74" s="474">
        <v>296545.44</v>
      </c>
      <c r="H74" s="476"/>
      <c r="I74" s="470">
        <f t="shared" si="41"/>
        <v>4610272.56</v>
      </c>
      <c r="J74" s="470">
        <v>200000</v>
      </c>
      <c r="K74" s="470">
        <v>0.2</v>
      </c>
      <c r="L74" s="470">
        <f t="shared" si="1"/>
        <v>922054.512</v>
      </c>
      <c r="M74" s="470">
        <f t="shared" si="2"/>
        <v>1122054.512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69172.33152</v>
      </c>
      <c r="V74" s="470">
        <f t="shared" si="11"/>
        <v>629172.33152</v>
      </c>
      <c r="W74" s="471">
        <v>12</v>
      </c>
      <c r="X74" s="470">
        <f t="shared" si="12"/>
        <v>52431.0276266667</v>
      </c>
      <c r="Y74" s="476"/>
      <c r="Z74" s="472">
        <f t="shared" si="13"/>
        <v>52431.0276266667</v>
      </c>
      <c r="AA74" s="473">
        <v>17507.5489666667</v>
      </c>
      <c r="AB74" s="473">
        <f t="shared" si="56"/>
        <v>34923.47866</v>
      </c>
      <c r="AC74" s="473"/>
      <c r="AD74" s="473"/>
      <c r="AE74" s="473"/>
    </row>
    <row r="75" ht="24.75" customHeight="1" spans="1:31">
      <c r="A75" s="467"/>
      <c r="B75" s="11" t="s">
        <v>201</v>
      </c>
      <c r="C75" s="470">
        <v>363165.333333333</v>
      </c>
      <c r="D75" s="469">
        <v>12</v>
      </c>
      <c r="E75" s="470">
        <f t="shared" si="55"/>
        <v>4357984</v>
      </c>
      <c r="F75" s="470"/>
      <c r="G75" s="474">
        <v>252638.72</v>
      </c>
      <c r="H75" s="476"/>
      <c r="I75" s="470">
        <f t="shared" si="41"/>
        <v>4105345.28</v>
      </c>
      <c r="J75" s="470">
        <v>200000</v>
      </c>
      <c r="K75" s="470">
        <v>0.2</v>
      </c>
      <c r="L75" s="470">
        <f t="shared" si="1"/>
        <v>821069.055999999</v>
      </c>
      <c r="M75" s="470">
        <f t="shared" si="2"/>
        <v>1021069.056</v>
      </c>
      <c r="N75" s="470">
        <f t="shared" si="44"/>
        <v>1273707.776</v>
      </c>
      <c r="O75" s="470">
        <f t="shared" si="45"/>
        <v>3084276.224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311698.007039999</v>
      </c>
      <c r="U75" s="470"/>
      <c r="V75" s="470">
        <f t="shared" si="11"/>
        <v>535698.007039999</v>
      </c>
      <c r="W75" s="471">
        <v>12</v>
      </c>
      <c r="X75" s="470">
        <f t="shared" si="12"/>
        <v>44641.5005866666</v>
      </c>
      <c r="Y75" s="476"/>
      <c r="Z75" s="472">
        <f t="shared" si="13"/>
        <v>44641.5005866666</v>
      </c>
      <c r="AA75" s="473">
        <v>29058.4826046667</v>
      </c>
      <c r="AB75" s="473">
        <f t="shared" si="56"/>
        <v>15583.0179819999</v>
      </c>
      <c r="AC75" s="473"/>
      <c r="AD75" s="473"/>
      <c r="AE75" s="473"/>
    </row>
    <row r="76" ht="18" spans="1:31">
      <c r="A76" s="467"/>
      <c r="B76" s="11" t="s">
        <v>203</v>
      </c>
      <c r="C76" s="470">
        <v>324459.75</v>
      </c>
      <c r="D76" s="469">
        <v>12</v>
      </c>
      <c r="E76" s="470">
        <f t="shared" si="55"/>
        <v>3893517</v>
      </c>
      <c r="F76" s="470"/>
      <c r="G76" s="474">
        <v>215481.36</v>
      </c>
      <c r="H76" s="476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</v>
      </c>
      <c r="M76" s="470">
        <f t="shared" ref="M76" si="58">J76+L76</f>
        <v>935607.128</v>
      </c>
      <c r="N76" s="470">
        <f t="shared" si="44"/>
        <v>1151088.488</v>
      </c>
      <c r="O76" s="470">
        <f t="shared" si="45"/>
        <v>2742428.512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</v>
      </c>
      <c r="U76" s="470"/>
      <c r="V76" s="470">
        <f t="shared" ref="V76" si="64">P76+Q76+R76+S76+T76+U76</f>
        <v>463909.98752</v>
      </c>
      <c r="W76" s="471">
        <v>12</v>
      </c>
      <c r="X76" s="470">
        <f t="shared" ref="X76" si="65">V76/W76</f>
        <v>38659.1656266667</v>
      </c>
      <c r="Y76" s="476"/>
      <c r="Z76" s="472">
        <f t="shared" ref="Z76" si="66">X76</f>
        <v>38659.1656266667</v>
      </c>
      <c r="AA76" s="473">
        <v>24751.1704626667</v>
      </c>
      <c r="AB76" s="473">
        <f t="shared" si="56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2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2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205</v>
      </c>
      <c r="C79" s="470"/>
      <c r="Z79" s="480"/>
      <c r="AB79" s="296" t="s">
        <v>1010</v>
      </c>
      <c r="AC79" s="473"/>
      <c r="AD79" s="473"/>
      <c r="AE79" s="473"/>
    </row>
    <row r="80" ht="18" spans="1:31">
      <c r="A80" s="467">
        <v>68</v>
      </c>
      <c r="B80" s="11" t="s">
        <v>208</v>
      </c>
      <c r="C80" s="470">
        <v>880675.583333333</v>
      </c>
      <c r="D80" s="469">
        <v>12</v>
      </c>
      <c r="E80" s="470">
        <f>C80*D80</f>
        <v>10568107</v>
      </c>
      <c r="F80" s="470"/>
      <c r="G80" s="474">
        <v>595848.56</v>
      </c>
      <c r="H80" s="476"/>
      <c r="I80" s="470">
        <f t="shared" ref="I80:I89" si="67">E80-F80-G80-H80</f>
        <v>9972258.44</v>
      </c>
      <c r="J80" s="470">
        <v>200000</v>
      </c>
      <c r="K80" s="470">
        <v>0.2</v>
      </c>
      <c r="L80" s="470">
        <f t="shared" ref="L80:L89" si="68">I80*K80</f>
        <v>1994451.688</v>
      </c>
      <c r="M80" s="470">
        <f t="shared" ref="M80:M89" si="69">J80+L80</f>
        <v>2194451.688</v>
      </c>
      <c r="N80" s="470">
        <f t="shared" ref="N80:N89" si="70">F80+G80+H80+M80</f>
        <v>2790300.248</v>
      </c>
      <c r="O80" s="470">
        <f t="shared" ref="O80:O89" si="71">E80-N80</f>
        <v>7777806.752</v>
      </c>
      <c r="P80" s="470">
        <f t="shared" ref="P80:P89" si="72">IF(O80&lt;300000,0.07*O80,21000)</f>
        <v>21000</v>
      </c>
      <c r="Q80" s="470">
        <f t="shared" ref="Q80:Q89" si="73">IF((O80-300000)&lt;0,0,IF((O80-300000)&lt;300000,0.11*(O80-300000),33000))</f>
        <v>33000</v>
      </c>
      <c r="R80" s="470">
        <f t="shared" ref="R80:R89" si="74">IF((O80-600000)&lt;0,0,IF((O80-600000)&lt;500000,0.15*(O80-600000),75000))</f>
        <v>75000</v>
      </c>
      <c r="S80" s="470">
        <f t="shared" ref="S80:S89" si="75">IF((O80-1100000)&lt;0,0,IF((O80-1100000)&lt;500000,0.19*(O80-1100000),95000))</f>
        <v>95000</v>
      </c>
      <c r="T80" s="470">
        <f t="shared" ref="T80:T89" si="76">IF((O80-1600000)&lt;0,0,IF((O80-1600000)&lt;1600000,0.21*(O80-1600000),336000))</f>
        <v>336000</v>
      </c>
      <c r="U80" s="470">
        <f t="shared" ref="U80:U88" si="77">24%*(O80-3200000)</f>
        <v>1098673.62048</v>
      </c>
      <c r="V80" s="470">
        <f t="shared" ref="V80:V89" si="78">P80+Q80+R80+S80+T80+U80</f>
        <v>1658673.62048</v>
      </c>
      <c r="W80" s="471">
        <v>12</v>
      </c>
      <c r="X80" s="470">
        <f t="shared" ref="X80:X89" si="79">V80/W80</f>
        <v>138222.801706667</v>
      </c>
      <c r="Y80" s="476"/>
      <c r="Z80" s="472">
        <f t="shared" ref="Z80:Z89" si="80">X80</f>
        <v>138222.801706667</v>
      </c>
      <c r="AA80" s="470">
        <v>99156.9391466667</v>
      </c>
      <c r="AB80" s="473">
        <f>Z80-AA80</f>
        <v>39065.8625599999</v>
      </c>
      <c r="AC80" s="473" t="s">
        <v>208</v>
      </c>
      <c r="AD80" s="473"/>
      <c r="AE80" s="473"/>
    </row>
    <row r="81" ht="18" spans="1:31">
      <c r="A81" s="467">
        <v>69</v>
      </c>
      <c r="B81" s="11" t="s">
        <v>206</v>
      </c>
      <c r="C81" s="470">
        <v>780675.583333333</v>
      </c>
      <c r="D81" s="469">
        <v>12</v>
      </c>
      <c r="E81" s="470">
        <f t="shared" ref="E81:E87" si="81">C81*D81</f>
        <v>9368107</v>
      </c>
      <c r="F81" s="470">
        <f>'[6]JANUARY 2024'!$V$86*12</f>
        <v>10052.25</v>
      </c>
      <c r="G81" s="474">
        <v>595848.56</v>
      </c>
      <c r="H81" s="476"/>
      <c r="I81" s="470">
        <f t="shared" si="67"/>
        <v>8762206.19</v>
      </c>
      <c r="J81" s="470">
        <v>200000</v>
      </c>
      <c r="K81" s="470">
        <v>0.2</v>
      </c>
      <c r="L81" s="470">
        <f t="shared" si="68"/>
        <v>1752441.238</v>
      </c>
      <c r="M81" s="470">
        <f t="shared" si="69"/>
        <v>1952441.238</v>
      </c>
      <c r="N81" s="470">
        <f t="shared" si="70"/>
        <v>2558342.048</v>
      </c>
      <c r="O81" s="470">
        <f t="shared" si="71"/>
        <v>6809764.952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866343.588479999</v>
      </c>
      <c r="V81" s="470">
        <f t="shared" si="78"/>
        <v>1426343.58848</v>
      </c>
      <c r="W81" s="471">
        <v>12</v>
      </c>
      <c r="X81" s="470">
        <f t="shared" si="79"/>
        <v>118861.965706667</v>
      </c>
      <c r="Y81" s="476"/>
      <c r="Z81" s="472">
        <f t="shared" si="80"/>
        <v>118861.965706667</v>
      </c>
      <c r="AA81" s="470">
        <v>98996.1031466667</v>
      </c>
      <c r="AB81" s="473">
        <f t="shared" ref="AB81:AB87" si="82">Z81-AA81</f>
        <v>19865.8625599999</v>
      </c>
      <c r="AC81" s="473" t="s">
        <v>206</v>
      </c>
      <c r="AD81" s="473"/>
      <c r="AE81" s="473"/>
    </row>
    <row r="82" ht="36" spans="1:31">
      <c r="A82" s="467">
        <v>70</v>
      </c>
      <c r="B82" s="11" t="s">
        <v>479</v>
      </c>
      <c r="C82" s="470">
        <v>742118.083333333</v>
      </c>
      <c r="D82" s="469">
        <v>12</v>
      </c>
      <c r="E82" s="470">
        <f t="shared" si="81"/>
        <v>8905417</v>
      </c>
      <c r="F82" s="470"/>
      <c r="G82" s="474">
        <v>558833.36</v>
      </c>
      <c r="H82" s="476"/>
      <c r="I82" s="470">
        <f t="shared" si="67"/>
        <v>8346583.64</v>
      </c>
      <c r="J82" s="470">
        <v>200000</v>
      </c>
      <c r="K82" s="470">
        <v>0.2</v>
      </c>
      <c r="L82" s="470">
        <f t="shared" si="68"/>
        <v>1669316.728</v>
      </c>
      <c r="M82" s="470">
        <f t="shared" si="69"/>
        <v>1869316.728</v>
      </c>
      <c r="N82" s="470">
        <f t="shared" si="70"/>
        <v>2428150.088</v>
      </c>
      <c r="O82" s="470">
        <f t="shared" si="71"/>
        <v>6477266.912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786544.058879999</v>
      </c>
      <c r="V82" s="470">
        <f t="shared" si="78"/>
        <v>1346544.05888</v>
      </c>
      <c r="W82" s="471">
        <v>12</v>
      </c>
      <c r="X82" s="470">
        <f t="shared" si="79"/>
        <v>112212.004906667</v>
      </c>
      <c r="Y82" s="476"/>
      <c r="Z82" s="472">
        <f t="shared" si="80"/>
        <v>112212.004906667</v>
      </c>
      <c r="AA82" s="470">
        <v>79956.9391466667</v>
      </c>
      <c r="AB82" s="473">
        <f t="shared" si="82"/>
        <v>32255.0657599999</v>
      </c>
      <c r="AC82" s="473" t="s">
        <v>479</v>
      </c>
      <c r="AD82" s="473"/>
      <c r="AE82" s="473"/>
    </row>
    <row r="83" ht="18" spans="1:31">
      <c r="A83" s="467">
        <v>71</v>
      </c>
      <c r="B83" s="11" t="s">
        <v>211</v>
      </c>
      <c r="C83" s="470">
        <v>561804.916666667</v>
      </c>
      <c r="D83" s="469">
        <v>12</v>
      </c>
      <c r="E83" s="470">
        <f t="shared" si="81"/>
        <v>6741659</v>
      </c>
      <c r="F83" s="470"/>
      <c r="G83" s="474">
        <v>424132.72</v>
      </c>
      <c r="H83" s="476"/>
      <c r="I83" s="470">
        <f t="shared" si="67"/>
        <v>6317526.28</v>
      </c>
      <c r="J83" s="470">
        <v>200000</v>
      </c>
      <c r="K83" s="470">
        <v>0.2</v>
      </c>
      <c r="L83" s="470">
        <f t="shared" si="68"/>
        <v>1263505.256</v>
      </c>
      <c r="M83" s="470">
        <f t="shared" si="69"/>
        <v>1463505.256</v>
      </c>
      <c r="N83" s="470">
        <f t="shared" si="70"/>
        <v>1887637.976</v>
      </c>
      <c r="O83" s="470">
        <f t="shared" si="71"/>
        <v>4854021.024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396965.045760001</v>
      </c>
      <c r="V83" s="470">
        <f t="shared" si="78"/>
        <v>956965.045760001</v>
      </c>
      <c r="W83" s="471">
        <v>12</v>
      </c>
      <c r="X83" s="470">
        <f t="shared" si="79"/>
        <v>79747.0871466667</v>
      </c>
      <c r="Y83" s="476"/>
      <c r="Z83" s="472">
        <f t="shared" si="80"/>
        <v>79747.0871466667</v>
      </c>
      <c r="AA83" s="470">
        <v>75574.6772906667</v>
      </c>
      <c r="AB83" s="473">
        <f t="shared" si="82"/>
        <v>4172.40985600003</v>
      </c>
      <c r="AC83" s="473" t="s">
        <v>211</v>
      </c>
      <c r="AD83" s="473"/>
      <c r="AE83" s="473"/>
    </row>
    <row r="84" ht="18" spans="1:31">
      <c r="A84" s="467">
        <v>72</v>
      </c>
      <c r="B84" s="11" t="s">
        <v>212</v>
      </c>
      <c r="C84" s="470">
        <v>548915.916666667</v>
      </c>
      <c r="D84" s="469">
        <v>12</v>
      </c>
      <c r="E84" s="470">
        <f t="shared" si="81"/>
        <v>6586991</v>
      </c>
      <c r="F84" s="470"/>
      <c r="G84" s="474">
        <v>411759.28</v>
      </c>
      <c r="H84" s="476"/>
      <c r="I84" s="470">
        <f t="shared" si="67"/>
        <v>6175231.72</v>
      </c>
      <c r="J84" s="470">
        <v>200000</v>
      </c>
      <c r="K84" s="470">
        <v>0.2</v>
      </c>
      <c r="L84" s="470">
        <f t="shared" si="68"/>
        <v>1235046.344</v>
      </c>
      <c r="M84" s="470">
        <f t="shared" si="69"/>
        <v>1435046.344</v>
      </c>
      <c r="N84" s="470">
        <f t="shared" si="70"/>
        <v>1846805.624</v>
      </c>
      <c r="O84" s="470">
        <f t="shared" si="71"/>
        <v>4740185.376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369644.490240001</v>
      </c>
      <c r="V84" s="470">
        <f t="shared" si="78"/>
        <v>929644.490240001</v>
      </c>
      <c r="W84" s="471">
        <v>12</v>
      </c>
      <c r="X84" s="470">
        <f t="shared" si="79"/>
        <v>77470.3741866667</v>
      </c>
      <c r="Y84" s="476"/>
      <c r="Z84" s="472">
        <f t="shared" si="80"/>
        <v>77470.3741866667</v>
      </c>
      <c r="AA84" s="470">
        <v>50985.9775466667</v>
      </c>
      <c r="AB84" s="473">
        <f t="shared" si="82"/>
        <v>26484.39664</v>
      </c>
      <c r="AC84" s="473" t="s">
        <v>212</v>
      </c>
      <c r="AD84" s="473"/>
      <c r="AE84" s="473"/>
    </row>
    <row r="85" ht="36" spans="1:31">
      <c r="A85" s="467">
        <v>73</v>
      </c>
      <c r="B85" s="11" t="s">
        <v>213</v>
      </c>
      <c r="C85" s="470">
        <v>568870.75</v>
      </c>
      <c r="D85" s="469">
        <v>12</v>
      </c>
      <c r="E85" s="470">
        <f t="shared" si="81"/>
        <v>6826449</v>
      </c>
      <c r="F85" s="470"/>
      <c r="G85" s="474">
        <v>411715.92</v>
      </c>
      <c r="H85" s="476"/>
      <c r="I85" s="470">
        <f t="shared" si="67"/>
        <v>6414733.08</v>
      </c>
      <c r="J85" s="470">
        <v>200000</v>
      </c>
      <c r="K85" s="470">
        <v>0.2</v>
      </c>
      <c r="L85" s="470">
        <f t="shared" si="68"/>
        <v>1282946.616</v>
      </c>
      <c r="M85" s="470">
        <f t="shared" si="69"/>
        <v>1482946.616</v>
      </c>
      <c r="N85" s="470">
        <f t="shared" si="70"/>
        <v>1894662.536</v>
      </c>
      <c r="O85" s="470">
        <f t="shared" si="71"/>
        <v>4931786.464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415628.75136</v>
      </c>
      <c r="V85" s="470">
        <f t="shared" si="78"/>
        <v>975628.75136</v>
      </c>
      <c r="W85" s="471">
        <v>12</v>
      </c>
      <c r="X85" s="470">
        <f t="shared" si="79"/>
        <v>81302.3959466667</v>
      </c>
      <c r="Y85" s="476"/>
      <c r="Z85" s="470">
        <f t="shared" si="80"/>
        <v>81302.3959466667</v>
      </c>
      <c r="AA85" s="472">
        <v>49548.7761866667</v>
      </c>
      <c r="AB85" s="473">
        <f t="shared" si="82"/>
        <v>31753.61976</v>
      </c>
      <c r="AC85" s="473" t="s">
        <v>213</v>
      </c>
      <c r="AD85" s="473"/>
      <c r="AE85" s="473"/>
    </row>
    <row r="86" ht="18" spans="1:31">
      <c r="A86" s="467">
        <v>74</v>
      </c>
      <c r="B86" s="11" t="s">
        <v>215</v>
      </c>
      <c r="C86" s="470">
        <v>475703.833333333</v>
      </c>
      <c r="D86" s="469">
        <v>12</v>
      </c>
      <c r="E86" s="470">
        <f t="shared" si="81"/>
        <v>5708446</v>
      </c>
      <c r="F86" s="470"/>
      <c r="G86" s="479">
        <f>29256.3066666667*12</f>
        <v>351075.68</v>
      </c>
      <c r="H86" s="476"/>
      <c r="I86" s="470">
        <f t="shared" si="67"/>
        <v>5357370.32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</v>
      </c>
      <c r="O86" s="470">
        <f t="shared" si="71"/>
        <v>4085896.256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</v>
      </c>
      <c r="V86" s="470">
        <f t="shared" si="78"/>
        <v>772615.101439999</v>
      </c>
      <c r="W86" s="471">
        <v>12</v>
      </c>
      <c r="X86" s="470">
        <f t="shared" si="79"/>
        <v>64384.5917866666</v>
      </c>
      <c r="Y86" s="476"/>
      <c r="Z86" s="472">
        <f t="shared" si="80"/>
        <v>64384.5917866666</v>
      </c>
      <c r="AA86" s="470">
        <v>53384.0535626667</v>
      </c>
      <c r="AB86" s="473">
        <f t="shared" si="82"/>
        <v>11000.5382239999</v>
      </c>
      <c r="AC86" s="473" t="s">
        <v>215</v>
      </c>
      <c r="AD86" s="473"/>
      <c r="AE86" s="473"/>
    </row>
    <row r="87" ht="24" customHeight="1" spans="1:31">
      <c r="A87" s="467">
        <v>75</v>
      </c>
      <c r="B87" s="11" t="s">
        <v>216</v>
      </c>
      <c r="C87" s="470">
        <v>510248.916666667</v>
      </c>
      <c r="D87" s="469">
        <v>12</v>
      </c>
      <c r="E87" s="470">
        <f t="shared" si="81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67"/>
        <v>5741425.543</v>
      </c>
      <c r="J87" s="470">
        <v>200000</v>
      </c>
      <c r="K87" s="470">
        <v>0.2</v>
      </c>
      <c r="L87" s="470">
        <f t="shared" si="68"/>
        <v>1148285.1086</v>
      </c>
      <c r="M87" s="470">
        <f t="shared" si="69"/>
        <v>1348285.1086</v>
      </c>
      <c r="N87" s="470">
        <f t="shared" si="70"/>
        <v>1729846.5656</v>
      </c>
      <c r="O87" s="470">
        <f t="shared" si="71"/>
        <v>4393140.4344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286353.704256001</v>
      </c>
      <c r="V87" s="470">
        <f t="shared" si="78"/>
        <v>846353.704256001</v>
      </c>
      <c r="W87" s="471">
        <v>12</v>
      </c>
      <c r="X87" s="470">
        <f t="shared" si="79"/>
        <v>70529.4753546667</v>
      </c>
      <c r="Y87" s="476"/>
      <c r="Z87" s="470">
        <f t="shared" si="80"/>
        <v>70529.4753546667</v>
      </c>
      <c r="AA87" s="481">
        <v>41242.0361406667</v>
      </c>
      <c r="AB87" s="473">
        <f t="shared" si="82"/>
        <v>29287.439214</v>
      </c>
      <c r="AC87" s="473" t="s">
        <v>216</v>
      </c>
      <c r="AD87" s="473"/>
      <c r="AE87" s="473"/>
    </row>
    <row r="88" ht="18" spans="1:31">
      <c r="A88" s="467">
        <v>76</v>
      </c>
      <c r="B88" s="11" t="s">
        <v>220</v>
      </c>
      <c r="C88" s="470">
        <v>400965.583333333</v>
      </c>
      <c r="D88" s="469">
        <v>12</v>
      </c>
      <c r="E88" s="470">
        <f t="shared" ref="E88:E89" si="83">C88*D88</f>
        <v>4811587</v>
      </c>
      <c r="F88" s="470"/>
      <c r="G88" s="474">
        <v>288926.96</v>
      </c>
      <c r="H88" s="476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904532.007999999</v>
      </c>
      <c r="M88" s="470">
        <f t="shared" si="69"/>
        <v>1104532.008</v>
      </c>
      <c r="N88" s="470">
        <f t="shared" si="70"/>
        <v>1393458.968</v>
      </c>
      <c r="O88" s="470">
        <f t="shared" si="71"/>
        <v>3418128.032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52350.7276799992</v>
      </c>
      <c r="V88" s="470">
        <f t="shared" si="78"/>
        <v>612350.727679999</v>
      </c>
      <c r="W88" s="471">
        <v>12</v>
      </c>
      <c r="X88" s="470">
        <f t="shared" si="79"/>
        <v>51029.2273066666</v>
      </c>
      <c r="Y88" s="476"/>
      <c r="Z88" s="472">
        <f t="shared" si="80"/>
        <v>51029.2273066666</v>
      </c>
      <c r="AA88" s="470">
        <v>45414.4562526667</v>
      </c>
      <c r="AB88" s="473">
        <f t="shared" ref="AB88:AB89" si="84">Z88-AA88</f>
        <v>5614.7710539999</v>
      </c>
      <c r="AC88" s="473" t="s">
        <v>220</v>
      </c>
      <c r="AD88" s="473"/>
      <c r="AE88" s="473"/>
    </row>
    <row r="89" ht="18" spans="1:31">
      <c r="A89" s="467"/>
      <c r="B89" s="11" t="s">
        <v>224</v>
      </c>
      <c r="C89" s="470">
        <v>330631.916666667</v>
      </c>
      <c r="D89" s="469">
        <v>12</v>
      </c>
      <c r="E89" s="470">
        <f t="shared" si="83"/>
        <v>3967583</v>
      </c>
      <c r="F89" s="470"/>
      <c r="G89" s="474">
        <v>221406.64</v>
      </c>
      <c r="H89" s="476"/>
      <c r="I89" s="470">
        <f t="shared" si="67"/>
        <v>3746176.36</v>
      </c>
      <c r="J89" s="470">
        <v>200000</v>
      </c>
      <c r="K89" s="470">
        <v>0.2</v>
      </c>
      <c r="L89" s="470">
        <f t="shared" si="68"/>
        <v>749235.272000001</v>
      </c>
      <c r="M89" s="470">
        <f t="shared" si="69"/>
        <v>949235.272000001</v>
      </c>
      <c r="N89" s="470">
        <f t="shared" si="70"/>
        <v>1170641.912</v>
      </c>
      <c r="O89" s="470">
        <f t="shared" si="71"/>
        <v>2796941.088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251357.628480001</v>
      </c>
      <c r="U89" s="470"/>
      <c r="V89" s="470">
        <f t="shared" si="78"/>
        <v>475357.628480001</v>
      </c>
      <c r="W89" s="471">
        <v>12</v>
      </c>
      <c r="X89" s="470">
        <f t="shared" si="79"/>
        <v>39613.1357066667</v>
      </c>
      <c r="Y89" s="476"/>
      <c r="Z89" s="472">
        <f t="shared" si="80"/>
        <v>39613.1357066667</v>
      </c>
      <c r="AA89" s="470">
        <v>33825.9865626667</v>
      </c>
      <c r="AB89" s="473">
        <f t="shared" si="84"/>
        <v>5787.14914400001</v>
      </c>
      <c r="AC89" s="473" t="s">
        <v>224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2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2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226</v>
      </c>
      <c r="C92" s="470"/>
      <c r="Z92" s="480"/>
      <c r="AC92" s="473"/>
      <c r="AD92" s="473"/>
      <c r="AE92" s="473"/>
    </row>
    <row r="93" ht="18" spans="1:31">
      <c r="A93" s="467">
        <v>79</v>
      </c>
      <c r="B93" s="14" t="s">
        <v>227</v>
      </c>
      <c r="C93" s="470">
        <v>852373.166666667</v>
      </c>
      <c r="D93" s="469">
        <v>12</v>
      </c>
      <c r="E93" s="470">
        <f>C93*D93</f>
        <v>10228478</v>
      </c>
      <c r="F93" s="470">
        <f>'[6]JANUARY 2024'!$V$98*12</f>
        <v>12795.951</v>
      </c>
      <c r="G93" s="474">
        <v>731878.24</v>
      </c>
      <c r="H93" s="476"/>
      <c r="I93" s="470">
        <f>E93-F93-G93-H93</f>
        <v>9483803.809</v>
      </c>
      <c r="J93" s="470">
        <v>200000</v>
      </c>
      <c r="K93" s="470">
        <v>0.2</v>
      </c>
      <c r="L93" s="470">
        <f>I93*K93</f>
        <v>1896760.7618</v>
      </c>
      <c r="M93" s="470">
        <f>J93+L93</f>
        <v>2096760.7618</v>
      </c>
      <c r="N93" s="470">
        <f>F93+G93+H93+M93</f>
        <v>2841434.9528</v>
      </c>
      <c r="O93" s="470">
        <f>E93-N93</f>
        <v>7387043.0472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1004890.331328</v>
      </c>
      <c r="V93" s="470">
        <f>P93+Q93+R93+S93+T93+U93</f>
        <v>1564890.331328</v>
      </c>
      <c r="W93" s="471">
        <v>12</v>
      </c>
      <c r="X93" s="470">
        <f>V93/W93</f>
        <v>130407.527610667</v>
      </c>
      <c r="Y93" s="476"/>
      <c r="Z93" s="472">
        <f>X93</f>
        <v>130407.527610667</v>
      </c>
      <c r="AA93" s="473">
        <v>82423.2162026667</v>
      </c>
      <c r="AB93" s="473">
        <f>Z93-AA93</f>
        <v>47984.311408</v>
      </c>
      <c r="AC93" s="473" t="s">
        <v>227</v>
      </c>
      <c r="AD93" s="473"/>
      <c r="AE93" s="473"/>
    </row>
    <row r="94" ht="18" spans="1:31">
      <c r="A94" s="467">
        <v>80</v>
      </c>
      <c r="B94" s="11" t="s">
        <v>229</v>
      </c>
      <c r="C94" s="470">
        <v>526622.25</v>
      </c>
      <c r="D94" s="469">
        <v>12</v>
      </c>
      <c r="E94" s="470">
        <f t="shared" ref="E94:E96" si="85">C94*D94</f>
        <v>6319467</v>
      </c>
      <c r="F94" s="470"/>
      <c r="G94" s="474">
        <v>438357.36</v>
      </c>
      <c r="H94" s="476"/>
      <c r="I94" s="470">
        <f>E94-F94-G94-H94</f>
        <v>5881109.64</v>
      </c>
      <c r="J94" s="470">
        <v>200000</v>
      </c>
      <c r="K94" s="470">
        <v>0.2</v>
      </c>
      <c r="L94" s="470">
        <f>I94*K94</f>
        <v>1176221.928</v>
      </c>
      <c r="M94" s="470">
        <f>J94+L94</f>
        <v>1376221.928</v>
      </c>
      <c r="N94" s="470">
        <f>F94+G94+H94+M94</f>
        <v>1814579.288</v>
      </c>
      <c r="O94" s="470">
        <f>E94-N94</f>
        <v>4504887.712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313173.05088</v>
      </c>
      <c r="V94" s="470">
        <f>P94+Q94+R94+S94+T94+U94</f>
        <v>873173.05088</v>
      </c>
      <c r="W94" s="471">
        <v>12</v>
      </c>
      <c r="X94" s="470">
        <f>V94/W94</f>
        <v>72764.4209066667</v>
      </c>
      <c r="Y94" s="476"/>
      <c r="Z94" s="472">
        <f>X94</f>
        <v>72764.4209066667</v>
      </c>
      <c r="AA94" s="473">
        <v>82627.9514186667</v>
      </c>
      <c r="AB94" s="473">
        <f t="shared" ref="AB94:AB96" si="87">Z94-AA94</f>
        <v>-9863.53051200004</v>
      </c>
      <c r="AC94" s="473" t="s">
        <v>229</v>
      </c>
      <c r="AD94" s="473"/>
      <c r="AE94" s="473"/>
    </row>
    <row r="95" ht="18" spans="1:31">
      <c r="A95" s="467">
        <v>81</v>
      </c>
      <c r="B95" s="11" t="s">
        <v>235</v>
      </c>
      <c r="C95" s="470">
        <v>437895.166666667</v>
      </c>
      <c r="D95" s="469">
        <v>12</v>
      </c>
      <c r="E95" s="470">
        <f t="shared" si="85"/>
        <v>5254742</v>
      </c>
      <c r="F95" s="470"/>
      <c r="G95" s="474">
        <v>362779.36</v>
      </c>
      <c r="H95" s="476"/>
      <c r="I95" s="470">
        <f>E95-F95-G95-H95</f>
        <v>4891962.64</v>
      </c>
      <c r="J95" s="470">
        <v>200000</v>
      </c>
      <c r="K95" s="470">
        <v>0.2</v>
      </c>
      <c r="L95" s="470">
        <f>I95*K95</f>
        <v>978392.528000001</v>
      </c>
      <c r="M95" s="470">
        <f>J95+L95</f>
        <v>1178392.528</v>
      </c>
      <c r="N95" s="470">
        <f>F95+G95+H95+M95</f>
        <v>1541171.888</v>
      </c>
      <c r="O95" s="470">
        <f>E95-N95</f>
        <v>3713570.112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123256.826880001</v>
      </c>
      <c r="V95" s="470">
        <f>P95+Q95+R95+S95+T95+U95</f>
        <v>683256.826880001</v>
      </c>
      <c r="W95" s="471">
        <v>12</v>
      </c>
      <c r="X95" s="470">
        <f>V95/W95</f>
        <v>56938.0689066667</v>
      </c>
      <c r="Y95" s="476"/>
      <c r="Z95" s="472">
        <f>X95</f>
        <v>56938.0689066667</v>
      </c>
      <c r="AA95" s="473">
        <v>43492.3733766667</v>
      </c>
      <c r="AB95" s="473">
        <f t="shared" si="87"/>
        <v>13445.69553</v>
      </c>
      <c r="AC95" s="473" t="s">
        <v>235</v>
      </c>
      <c r="AD95" s="473"/>
      <c r="AE95" s="473"/>
    </row>
    <row r="96" ht="18" spans="1:31">
      <c r="A96" s="467"/>
      <c r="B96" s="11" t="s">
        <v>236</v>
      </c>
      <c r="C96" s="470">
        <v>360965.583333333</v>
      </c>
      <c r="D96" s="469">
        <v>12</v>
      </c>
      <c r="E96" s="470">
        <f t="shared" si="85"/>
        <v>4331587</v>
      </c>
      <c r="F96" s="470"/>
      <c r="G96" s="474">
        <v>288926.96</v>
      </c>
      <c r="H96" s="476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808532.007999999</v>
      </c>
      <c r="M96" s="470">
        <f>J96+L96</f>
        <v>1008532.008</v>
      </c>
      <c r="N96" s="470">
        <f>F96+G96+H96+M96</f>
        <v>1297458.968</v>
      </c>
      <c r="O96" s="470">
        <f>E96-N96</f>
        <v>3034128.032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301166.886719999</v>
      </c>
      <c r="U96" s="470"/>
      <c r="V96" s="470">
        <f>P96+Q96+R96+S96+T96+U96</f>
        <v>525166.886719999</v>
      </c>
      <c r="W96" s="471">
        <v>12</v>
      </c>
      <c r="X96" s="470">
        <f>V96/W96</f>
        <v>43763.9072266666</v>
      </c>
      <c r="Y96" s="476"/>
      <c r="Z96" s="472">
        <f>X96</f>
        <v>43763.9072266666</v>
      </c>
      <c r="AA96" s="473">
        <v>34968.8824146667</v>
      </c>
      <c r="AB96" s="473">
        <f t="shared" si="87"/>
        <v>8795.02481199991</v>
      </c>
      <c r="AC96" s="473" t="s">
        <v>236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2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Z98" s="480"/>
      <c r="AC98" s="473"/>
      <c r="AD98" s="473"/>
      <c r="AE98" s="473"/>
    </row>
    <row r="99" ht="35" spans="1:31">
      <c r="A99" s="467">
        <v>84</v>
      </c>
      <c r="B99" s="20" t="s">
        <v>239</v>
      </c>
      <c r="C99" s="470"/>
      <c r="G99" s="296">
        <v>0</v>
      </c>
      <c r="Z99" s="480"/>
      <c r="AB99" s="296" t="s">
        <v>883</v>
      </c>
      <c r="AC99" s="473"/>
      <c r="AD99" s="473"/>
      <c r="AE99" s="473"/>
    </row>
    <row r="100" ht="18" spans="1:31">
      <c r="A100" s="467">
        <v>85</v>
      </c>
      <c r="B100" s="11" t="s">
        <v>652</v>
      </c>
      <c r="C100" s="470">
        <v>1635720</v>
      </c>
      <c r="D100" s="469">
        <v>12</v>
      </c>
      <c r="E100" s="470">
        <f>C100*D100</f>
        <v>19628640</v>
      </c>
      <c r="F100" s="470"/>
      <c r="G100" s="474">
        <v>1378291.2</v>
      </c>
      <c r="H100" s="476"/>
      <c r="I100" s="470">
        <f t="shared" ref="I100:I105" si="88">E100-F100-G100-H100</f>
        <v>18250348.8</v>
      </c>
      <c r="J100" s="470">
        <v>200000</v>
      </c>
      <c r="K100" s="470">
        <v>0.2</v>
      </c>
      <c r="L100" s="470">
        <f t="shared" ref="L100:L106" si="89">I100*K100</f>
        <v>3650069.76</v>
      </c>
      <c r="M100" s="470">
        <f t="shared" ref="M100:M106" si="90">J100+L100</f>
        <v>3850069.76</v>
      </c>
      <c r="N100" s="470">
        <f t="shared" ref="N100:N105" si="91">F100+G100+H100+M100</f>
        <v>5228360.96</v>
      </c>
      <c r="O100" s="470">
        <f t="shared" ref="O100:O106" si="92">E100-N100</f>
        <v>14400279.04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2688066.9696</v>
      </c>
      <c r="V100" s="470">
        <f t="shared" ref="V100:V106" si="98">P100+Q100+R100+S100+T100+U100</f>
        <v>3248066.9696</v>
      </c>
      <c r="W100" s="471">
        <v>12</v>
      </c>
      <c r="X100" s="470">
        <f t="shared" ref="X100:X106" si="99">V100/W100</f>
        <v>270672.247466667</v>
      </c>
      <c r="Y100" s="476"/>
      <c r="Z100" s="472">
        <f t="shared" ref="Z100:Z106" si="100">X100</f>
        <v>270672.247466667</v>
      </c>
      <c r="AA100" s="473">
        <v>180306.806858667</v>
      </c>
      <c r="AB100" s="473">
        <f>Z100-AA100</f>
        <v>90365.4406079996</v>
      </c>
      <c r="AC100" s="473" t="s">
        <v>652</v>
      </c>
      <c r="AD100" s="473"/>
      <c r="AE100" s="473"/>
    </row>
    <row r="101" ht="18" spans="1:31">
      <c r="A101" s="467">
        <v>86</v>
      </c>
      <c r="B101" s="11" t="s">
        <v>242</v>
      </c>
      <c r="C101" s="470">
        <v>942373.166666667</v>
      </c>
      <c r="D101" s="469">
        <v>12</v>
      </c>
      <c r="E101" s="470">
        <f t="shared" ref="E101:E106" si="101">C101*D101</f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</v>
      </c>
      <c r="O101" s="470">
        <f t="shared" si="92"/>
        <v>8251043.0472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1212250.331328</v>
      </c>
      <c r="V101" s="470">
        <f t="shared" si="98"/>
        <v>1772250.331328</v>
      </c>
      <c r="W101" s="471">
        <v>12</v>
      </c>
      <c r="X101" s="470">
        <f t="shared" si="99"/>
        <v>147687.527610667</v>
      </c>
      <c r="Y101" s="476"/>
      <c r="Z101" s="472">
        <f t="shared" si="100"/>
        <v>147687.527610667</v>
      </c>
      <c r="AA101" s="473">
        <v>99703.2162026667</v>
      </c>
      <c r="AB101" s="473">
        <f t="shared" ref="AB101:AB106" si="102">Z101-AA101</f>
        <v>47984.311408</v>
      </c>
      <c r="AC101" s="473" t="s">
        <v>242</v>
      </c>
      <c r="AD101" s="473"/>
      <c r="AE101" s="473"/>
    </row>
    <row r="102" ht="18" spans="1:31">
      <c r="A102" s="467">
        <v>87</v>
      </c>
      <c r="B102" s="11" t="s">
        <v>244</v>
      </c>
      <c r="C102" s="470">
        <v>603237.855191667</v>
      </c>
      <c r="D102" s="469">
        <v>12</v>
      </c>
      <c r="E102" s="470">
        <f t="shared" si="101"/>
        <v>7238854.2623</v>
      </c>
      <c r="F102" s="470">
        <f>'[6]JANUARY 2024'!$V$107*12</f>
        <v>7901.79</v>
      </c>
      <c r="G102" s="474">
        <v>424132.72</v>
      </c>
      <c r="H102" s="476"/>
      <c r="I102" s="470">
        <f t="shared" si="88"/>
        <v>6806819.7523</v>
      </c>
      <c r="J102" s="470">
        <v>200000</v>
      </c>
      <c r="K102" s="470">
        <v>0.2</v>
      </c>
      <c r="L102" s="470">
        <f t="shared" si="89"/>
        <v>1361363.95046</v>
      </c>
      <c r="M102" s="470">
        <f t="shared" si="90"/>
        <v>1561363.95046</v>
      </c>
      <c r="N102" s="470">
        <f t="shared" si="91"/>
        <v>1993398.46046</v>
      </c>
      <c r="O102" s="470">
        <f t="shared" si="92"/>
        <v>5245455.80184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490909.392441601</v>
      </c>
      <c r="V102" s="470">
        <f t="shared" si="98"/>
        <v>1050909.3924416</v>
      </c>
      <c r="W102" s="471">
        <v>12</v>
      </c>
      <c r="X102" s="470">
        <f t="shared" si="99"/>
        <v>87575.7827034667</v>
      </c>
      <c r="Y102" s="476"/>
      <c r="Z102" s="472">
        <f t="shared" si="100"/>
        <v>87575.7827034667</v>
      </c>
      <c r="AA102" s="473">
        <v>180180.378218667</v>
      </c>
      <c r="AB102" s="473">
        <f t="shared" si="102"/>
        <v>-92604.5955152003</v>
      </c>
      <c r="AC102" s="473" t="s">
        <v>244</v>
      </c>
      <c r="AD102" s="473"/>
      <c r="AE102" s="473"/>
    </row>
    <row r="103" ht="18" spans="1:31">
      <c r="A103" s="467">
        <v>88</v>
      </c>
      <c r="B103" s="11" t="s">
        <v>246</v>
      </c>
      <c r="C103" s="470">
        <v>601625.033321667</v>
      </c>
      <c r="D103" s="469">
        <v>12</v>
      </c>
      <c r="E103" s="470">
        <f t="shared" si="101"/>
        <v>7219500.39986</v>
      </c>
      <c r="F103" s="470"/>
      <c r="G103" s="474">
        <v>424132.72</v>
      </c>
      <c r="H103" s="476"/>
      <c r="I103" s="470">
        <f t="shared" si="88"/>
        <v>6795367.67986</v>
      </c>
      <c r="J103" s="470">
        <v>200000</v>
      </c>
      <c r="K103" s="470">
        <v>0.2</v>
      </c>
      <c r="L103" s="470">
        <f t="shared" si="89"/>
        <v>1359073.535972</v>
      </c>
      <c r="M103" s="470">
        <f t="shared" si="90"/>
        <v>1559073.535972</v>
      </c>
      <c r="N103" s="470">
        <f t="shared" si="91"/>
        <v>1983206.255972</v>
      </c>
      <c r="O103" s="470">
        <f t="shared" si="92"/>
        <v>5236294.143888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488710.594533121</v>
      </c>
      <c r="V103" s="470">
        <f t="shared" si="98"/>
        <v>1048710.59453312</v>
      </c>
      <c r="W103" s="471">
        <v>12</v>
      </c>
      <c r="X103" s="470">
        <f t="shared" si="99"/>
        <v>87392.5495444267</v>
      </c>
      <c r="Y103" s="476"/>
      <c r="Z103" s="472">
        <f t="shared" si="100"/>
        <v>87392.5495444267</v>
      </c>
      <c r="AA103" s="473">
        <v>99907.9514186667</v>
      </c>
      <c r="AB103" s="473">
        <f t="shared" si="102"/>
        <v>-12515.40187424</v>
      </c>
      <c r="AC103" s="473" t="s">
        <v>246</v>
      </c>
      <c r="AD103" s="473"/>
      <c r="AE103" s="473"/>
    </row>
    <row r="104" ht="18" spans="1:31">
      <c r="A104" s="467">
        <v>89</v>
      </c>
      <c r="B104" s="11" t="s">
        <v>249</v>
      </c>
      <c r="C104" s="470">
        <v>374481.864146667</v>
      </c>
      <c r="D104" s="469">
        <v>12</v>
      </c>
      <c r="E104" s="470">
        <f t="shared" si="101"/>
        <v>4493782.36976</v>
      </c>
      <c r="F104" s="470"/>
      <c r="G104" s="474">
        <v>239182.48</v>
      </c>
      <c r="H104" s="476"/>
      <c r="I104" s="470">
        <f t="shared" si="88"/>
        <v>4254599.88976</v>
      </c>
      <c r="J104" s="470">
        <v>200000</v>
      </c>
      <c r="K104" s="470">
        <v>0.2</v>
      </c>
      <c r="L104" s="470">
        <f t="shared" si="89"/>
        <v>850919.977952001</v>
      </c>
      <c r="M104" s="470">
        <f t="shared" si="90"/>
        <v>1050919.977952</v>
      </c>
      <c r="N104" s="470">
        <f t="shared" si="91"/>
        <v>1290102.457952</v>
      </c>
      <c r="O104" s="470">
        <f t="shared" si="92"/>
        <v>3203679.911808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883.178833920769</v>
      </c>
      <c r="V104" s="470">
        <f t="shared" si="98"/>
        <v>560883.178833921</v>
      </c>
      <c r="W104" s="471">
        <v>12</v>
      </c>
      <c r="X104" s="470">
        <f t="shared" si="99"/>
        <v>46740.2649028267</v>
      </c>
      <c r="Y104" s="476"/>
      <c r="Z104" s="472">
        <f t="shared" si="100"/>
        <v>46740.2649028267</v>
      </c>
      <c r="AA104" s="473">
        <v>58941.1017434667</v>
      </c>
      <c r="AB104" s="473">
        <f t="shared" si="102"/>
        <v>-12200.83684064</v>
      </c>
      <c r="AC104" s="473" t="s">
        <v>249</v>
      </c>
      <c r="AD104" s="473"/>
      <c r="AE104" s="473"/>
    </row>
    <row r="105" ht="36" spans="1:31">
      <c r="A105" s="467"/>
      <c r="B105" s="18" t="s">
        <v>252</v>
      </c>
      <c r="C105" s="470">
        <v>367926.021</v>
      </c>
      <c r="D105" s="469">
        <v>12</v>
      </c>
      <c r="E105" s="470">
        <f t="shared" si="101"/>
        <v>4415112.252</v>
      </c>
      <c r="F105" s="470"/>
      <c r="G105" s="474">
        <v>233257.2</v>
      </c>
      <c r="H105" s="476"/>
      <c r="I105" s="470">
        <f t="shared" si="88"/>
        <v>4181855.052</v>
      </c>
      <c r="J105" s="470">
        <v>200000</v>
      </c>
      <c r="K105" s="470">
        <v>0.2</v>
      </c>
      <c r="L105" s="470">
        <f t="shared" si="89"/>
        <v>836371.0104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</v>
      </c>
      <c r="W105" s="471">
        <v>12</v>
      </c>
      <c r="X105" s="470">
        <f t="shared" si="99"/>
        <v>45712.6373946667</v>
      </c>
      <c r="Y105" s="476"/>
      <c r="Z105" s="472">
        <f t="shared" si="100"/>
        <v>45712.6373946667</v>
      </c>
      <c r="AA105" s="473">
        <v>58631.4399444267</v>
      </c>
      <c r="AB105" s="473">
        <f t="shared" si="102"/>
        <v>-12918.80254976</v>
      </c>
      <c r="AC105" s="473" t="s">
        <v>252</v>
      </c>
      <c r="AD105" s="473"/>
      <c r="AE105" s="473"/>
    </row>
    <row r="106" ht="18" spans="1:31">
      <c r="A106" s="467"/>
      <c r="B106" s="18" t="s">
        <v>253</v>
      </c>
      <c r="C106" s="470">
        <v>355198.112111667</v>
      </c>
      <c r="D106" s="469">
        <v>12</v>
      </c>
      <c r="E106" s="470">
        <f t="shared" si="10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89"/>
        <v>808194.141068001</v>
      </c>
      <c r="M106" s="470">
        <f t="shared" si="90"/>
        <v>1008194.141068</v>
      </c>
      <c r="N106" s="470">
        <f>F107+G106+H106+M106</f>
        <v>1229600.781068</v>
      </c>
      <c r="O106" s="470">
        <f t="shared" si="92"/>
        <v>3032776.564272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300883.078497121</v>
      </c>
      <c r="U106" s="470"/>
      <c r="V106" s="470">
        <f t="shared" si="98"/>
        <v>524883.078497121</v>
      </c>
      <c r="W106" s="471">
        <v>12</v>
      </c>
      <c r="X106" s="470">
        <f t="shared" si="99"/>
        <v>43740.2565414267</v>
      </c>
      <c r="Y106" s="476"/>
      <c r="Z106" s="472">
        <f t="shared" si="100"/>
        <v>43740.2565414267</v>
      </c>
      <c r="AA106" s="473">
        <v>31871.3352033067</v>
      </c>
      <c r="AB106" s="473">
        <f t="shared" si="102"/>
        <v>11868.92133812</v>
      </c>
      <c r="AC106" s="473" t="s">
        <v>253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2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Z108" s="480"/>
      <c r="AC108" s="473"/>
      <c r="AD108" s="473"/>
      <c r="AE108" s="473"/>
    </row>
    <row r="109" ht="35" spans="1:31">
      <c r="A109" s="467">
        <v>91</v>
      </c>
      <c r="B109" s="20" t="s">
        <v>257</v>
      </c>
      <c r="C109" s="470"/>
      <c r="G109" s="474"/>
      <c r="U109" s="470"/>
      <c r="Z109" s="48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761396.833333333</v>
      </c>
      <c r="D110" s="469">
        <v>12</v>
      </c>
      <c r="E110" s="470">
        <f>C110*D110</f>
        <v>9136762</v>
      </c>
      <c r="F110" s="470">
        <f>'[6]JANUARY 2024'!$V$115*12</f>
        <v>9678.96</v>
      </c>
      <c r="G110" s="474">
        <v>577340.96</v>
      </c>
      <c r="H110" s="476"/>
      <c r="I110" s="470">
        <f>E110-F110-G110-H110</f>
        <v>8549742.07999999</v>
      </c>
      <c r="J110" s="470">
        <v>200000</v>
      </c>
      <c r="K110" s="470">
        <v>0.2</v>
      </c>
      <c r="L110" s="470">
        <f>I110*K110</f>
        <v>1709948.416</v>
      </c>
      <c r="M110" s="470">
        <f>J110+L110</f>
        <v>1909948.416</v>
      </c>
      <c r="N110" s="470">
        <f>F110+G110+H110+M110</f>
        <v>2496968.336</v>
      </c>
      <c r="O110" s="470">
        <f>E110-N110</f>
        <v>6639793.664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825550.479359999</v>
      </c>
      <c r="V110" s="470">
        <f>P110+Q110+R110+S110+T110+U110</f>
        <v>1385550.47936</v>
      </c>
      <c r="W110" s="471">
        <v>12</v>
      </c>
      <c r="X110" s="470">
        <f>V110/W110</f>
        <v>115462.539946667</v>
      </c>
      <c r="Y110" s="476"/>
      <c r="Z110" s="472">
        <f>X110</f>
        <v>115462.539946667</v>
      </c>
      <c r="AA110" s="473">
        <v>77610.1169066667</v>
      </c>
      <c r="AB110" s="473">
        <f>Z110-AA110</f>
        <v>37852.4230399999</v>
      </c>
      <c r="AC110" s="473"/>
      <c r="AD110" s="473"/>
      <c r="AE110" s="473"/>
    </row>
    <row r="111" ht="18" spans="1:31">
      <c r="A111" s="467">
        <v>93</v>
      </c>
      <c r="B111" s="11" t="s">
        <v>259</v>
      </c>
      <c r="C111" s="470">
        <v>487895.166666667</v>
      </c>
      <c r="D111" s="469">
        <v>12</v>
      </c>
      <c r="E111" s="470">
        <f t="shared" ref="E111:E112" si="104">C111*D111</f>
        <v>5854742</v>
      </c>
      <c r="F111" s="470"/>
      <c r="G111" s="474">
        <v>362779.36</v>
      </c>
      <c r="H111" s="476"/>
      <c r="I111" s="470">
        <f>E111-F111-G111-H111</f>
        <v>5491962.64</v>
      </c>
      <c r="J111" s="470">
        <v>200000</v>
      </c>
      <c r="K111" s="470">
        <v>0.2</v>
      </c>
      <c r="L111" s="470">
        <f>I111*K111</f>
        <v>1098392.528</v>
      </c>
      <c r="M111" s="470">
        <f>J111+L111</f>
        <v>1298392.528</v>
      </c>
      <c r="N111" s="470">
        <f>F111+G111+H111+M111</f>
        <v>1661171.888</v>
      </c>
      <c r="O111" s="470">
        <f>E111-N111</f>
        <v>4193570.112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238456.826880001</v>
      </c>
      <c r="V111" s="470">
        <f>P111+Q111+R111+S111+T111+U111</f>
        <v>798456.826880001</v>
      </c>
      <c r="W111" s="471">
        <v>12</v>
      </c>
      <c r="X111" s="470">
        <f>V111/W111</f>
        <v>66538.0689066667</v>
      </c>
      <c r="Y111" s="476"/>
      <c r="Z111" s="472">
        <f>X111</f>
        <v>66538.0689066667</v>
      </c>
      <c r="AA111" s="473">
        <v>43368.8824146667</v>
      </c>
      <c r="AB111" s="473">
        <f t="shared" ref="AB111:AB112" si="105">Z111-AA111</f>
        <v>23169.186492</v>
      </c>
      <c r="AC111" s="473"/>
      <c r="AD111" s="473"/>
      <c r="AE111" s="473"/>
    </row>
    <row r="112" ht="18" spans="1:31">
      <c r="A112" s="467">
        <v>94</v>
      </c>
      <c r="B112" s="11" t="s">
        <v>193</v>
      </c>
      <c r="C112" s="479">
        <v>450086.5</v>
      </c>
      <c r="D112" s="469">
        <v>12</v>
      </c>
      <c r="E112" s="470">
        <f t="shared" si="104"/>
        <v>5401038</v>
      </c>
      <c r="F112" s="470">
        <f>'[6]JANUARY 2024'!$V$117*12</f>
        <v>6919.455</v>
      </c>
      <c r="G112" s="474">
        <v>374483.04</v>
      </c>
      <c r="H112" s="476"/>
      <c r="I112" s="470">
        <f>E112-F112-G112-H112</f>
        <v>5019635.505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</v>
      </c>
      <c r="O112" s="470">
        <f>E112-N112</f>
        <v>3815708.404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</v>
      </c>
      <c r="V112" s="470">
        <f>P112+Q112+R112+S112+T112+U112</f>
        <v>707770.01696</v>
      </c>
      <c r="W112" s="471">
        <v>12</v>
      </c>
      <c r="X112" s="470">
        <f>V112/W112</f>
        <v>58980.8347466667</v>
      </c>
      <c r="Y112" s="476"/>
      <c r="Z112" s="472">
        <f>X112</f>
        <v>58980.8347466667</v>
      </c>
      <c r="AA112" s="473">
        <v>35221.9540866667</v>
      </c>
      <c r="AB112" s="473">
        <f t="shared" si="105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2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Z114" s="480"/>
      <c r="AC114" s="473"/>
      <c r="AD114" s="473"/>
      <c r="AE114" s="473"/>
    </row>
    <row r="115" ht="17.5" spans="1:31">
      <c r="A115" s="467">
        <v>97</v>
      </c>
      <c r="B115" s="20" t="s">
        <v>278</v>
      </c>
      <c r="C115" s="470"/>
      <c r="U115" s="482"/>
      <c r="Z115" s="480"/>
      <c r="AC115" s="473"/>
      <c r="AD115" s="473"/>
      <c r="AE115" s="473"/>
    </row>
    <row r="116" ht="18" spans="1:31">
      <c r="A116" s="467">
        <v>98</v>
      </c>
      <c r="B116" s="11" t="s">
        <v>279</v>
      </c>
      <c r="C116" s="470">
        <v>1635720</v>
      </c>
      <c r="D116" s="469">
        <v>12</v>
      </c>
      <c r="E116" s="470">
        <f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</v>
      </c>
      <c r="V116" s="470">
        <f>P116+Q116+R116+S116+T116+U116</f>
        <v>3243358.744448</v>
      </c>
      <c r="W116" s="471">
        <v>12</v>
      </c>
      <c r="X116" s="470">
        <f>V116/W116</f>
        <v>270279.895370667</v>
      </c>
      <c r="Y116" s="476"/>
      <c r="Z116" s="472">
        <f>X116</f>
        <v>270279.895370667</v>
      </c>
      <c r="AA116" s="473">
        <v>179914.454762667</v>
      </c>
      <c r="AB116" s="473">
        <f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281</v>
      </c>
      <c r="C117" s="470">
        <v>929203.583333333</v>
      </c>
      <c r="D117" s="469">
        <v>12</v>
      </c>
      <c r="E117" s="470">
        <f t="shared" ref="E117:E125" si="109">C117*D117</f>
        <v>11150443</v>
      </c>
      <c r="F117" s="470">
        <f>1028.94225*12</f>
        <v>12347.307</v>
      </c>
      <c r="G117" s="474">
        <v>709635.44</v>
      </c>
      <c r="H117" s="476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</v>
      </c>
      <c r="M117" s="470">
        <f>J117+L117</f>
        <v>2285692.0506</v>
      </c>
      <c r="N117" s="470">
        <f t="shared" si="107"/>
        <v>3007674.7976</v>
      </c>
      <c r="O117" s="470">
        <f t="shared" si="108"/>
        <v>8142768.2024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1">
        <v>12</v>
      </c>
      <c r="X117" s="470">
        <f>V117/W117</f>
        <v>145522.030714667</v>
      </c>
      <c r="Y117" s="476"/>
      <c r="Z117" s="472">
        <f>X117</f>
        <v>145522.030714667</v>
      </c>
      <c r="AA117" s="473">
        <v>98995.9569386667</v>
      </c>
      <c r="AB117" s="473">
        <f t="shared" ref="AB117:AB125" si="110">Z117-AA117</f>
        <v>46526.0737759999</v>
      </c>
      <c r="AC117" s="473"/>
      <c r="AD117" s="473"/>
      <c r="AE117" s="473"/>
    </row>
    <row r="118" ht="18" spans="1:31">
      <c r="A118" s="467"/>
      <c r="B118" s="14" t="s">
        <v>283</v>
      </c>
      <c r="C118" s="470">
        <v>830675.583333333</v>
      </c>
      <c r="D118" s="469">
        <v>12</v>
      </c>
      <c r="E118" s="470">
        <f t="shared" si="109"/>
        <v>9968107</v>
      </c>
      <c r="F118" s="470">
        <f>837.6875*12</f>
        <v>10052.25</v>
      </c>
      <c r="G118" s="474">
        <v>595848.56</v>
      </c>
      <c r="H118" s="476"/>
      <c r="I118" s="470">
        <f t="shared" si="106"/>
        <v>9362206.19</v>
      </c>
      <c r="J118" s="470">
        <v>200000</v>
      </c>
      <c r="K118" s="470">
        <v>0.2</v>
      </c>
      <c r="L118" s="470">
        <f>I118*K118</f>
        <v>1872441.238</v>
      </c>
      <c r="M118" s="470">
        <f>J118+L118</f>
        <v>2072441.238</v>
      </c>
      <c r="N118" s="470">
        <f t="shared" si="107"/>
        <v>2678342.048</v>
      </c>
      <c r="O118" s="470">
        <f t="shared" si="108"/>
        <v>7289764.952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</v>
      </c>
      <c r="V118" s="470">
        <f>P118+Q118+R118+S118+T118+U118</f>
        <v>1541543.58848</v>
      </c>
      <c r="W118" s="471">
        <v>12</v>
      </c>
      <c r="X118" s="470">
        <f>V118/W118</f>
        <v>128461.965706667</v>
      </c>
      <c r="Y118" s="476"/>
      <c r="Z118" s="472">
        <f>X118</f>
        <v>128461.965706667</v>
      </c>
      <c r="AA118" s="473">
        <v>89396.1031466666</v>
      </c>
      <c r="AB118" s="473">
        <f t="shared" si="110"/>
        <v>39065.86256</v>
      </c>
      <c r="AC118" s="473"/>
      <c r="AD118" s="473"/>
      <c r="AE118" s="473"/>
    </row>
    <row r="119" ht="18" spans="1:31">
      <c r="A119" s="467"/>
      <c r="B119" s="14" t="s">
        <v>930</v>
      </c>
      <c r="C119" s="470">
        <v>662118.083333333</v>
      </c>
      <c r="D119" s="469">
        <v>12</v>
      </c>
      <c r="E119" s="470">
        <f t="shared" si="109"/>
        <v>7945417</v>
      </c>
      <c r="F119" s="470"/>
      <c r="G119" s="474">
        <v>0</v>
      </c>
      <c r="H119" s="476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</v>
      </c>
      <c r="M119" s="470">
        <f>J119+L119</f>
        <v>1789083.4</v>
      </c>
      <c r="N119" s="470">
        <f t="shared" si="107"/>
        <v>1789083.4</v>
      </c>
      <c r="O119" s="470">
        <f t="shared" si="108"/>
        <v>6156333.6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</v>
      </c>
      <c r="V119" s="470">
        <f>P119+Q119+R119+S119+T119+U119</f>
        <v>1269520.064</v>
      </c>
      <c r="W119" s="471">
        <v>12</v>
      </c>
      <c r="X119" s="470">
        <f>V119/W119</f>
        <v>105793.338666667</v>
      </c>
      <c r="Y119" s="476"/>
      <c r="Z119" s="472">
        <f>X119</f>
        <v>105793.338666667</v>
      </c>
      <c r="AA119" s="473">
        <v>60214.6772906667</v>
      </c>
      <c r="AB119" s="473">
        <f t="shared" si="110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286</v>
      </c>
      <c r="C120" s="470">
        <v>540498</v>
      </c>
      <c r="D120" s="469">
        <v>12</v>
      </c>
      <c r="E120" s="470">
        <f t="shared" si="109"/>
        <v>6485976</v>
      </c>
      <c r="F120" s="470"/>
      <c r="G120" s="474">
        <v>451678.08</v>
      </c>
      <c r="H120" s="476"/>
      <c r="I120" s="470">
        <f t="shared" si="106"/>
        <v>6034297.92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</v>
      </c>
      <c r="O120" s="470">
        <f t="shared" si="108"/>
        <v>4627438.336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902585.20064</v>
      </c>
      <c r="W120" s="471">
        <v>12</v>
      </c>
      <c r="X120" s="470">
        <f t="shared" ref="X120:X125" si="119">V120/W120</f>
        <v>75215.4333866667</v>
      </c>
      <c r="Y120" s="476"/>
      <c r="Z120" s="472">
        <f t="shared" ref="Z120:Z125" si="120">X120</f>
        <v>75215.4333866667</v>
      </c>
      <c r="AA120" s="473">
        <v>44846.6165886667</v>
      </c>
      <c r="AB120" s="473">
        <f t="shared" si="110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287</v>
      </c>
      <c r="C121" s="470">
        <v>512746.5</v>
      </c>
      <c r="D121" s="469">
        <v>12</v>
      </c>
      <c r="E121" s="470">
        <f t="shared" si="109"/>
        <v>6152958</v>
      </c>
      <c r="F121" s="479">
        <f>646.3525*12</f>
        <v>7756.23</v>
      </c>
      <c r="G121" s="474">
        <v>425036.64</v>
      </c>
      <c r="H121" s="476"/>
      <c r="I121" s="470">
        <f t="shared" si="106"/>
        <v>5720165.13</v>
      </c>
      <c r="J121" s="470">
        <v>200000</v>
      </c>
      <c r="K121" s="470">
        <v>0.2</v>
      </c>
      <c r="L121" s="470">
        <f t="shared" si="111"/>
        <v>1144033.026</v>
      </c>
      <c r="M121" s="470">
        <f t="shared" si="112"/>
        <v>1344033.026</v>
      </c>
      <c r="N121" s="470">
        <f t="shared" si="107"/>
        <v>1776825.896</v>
      </c>
      <c r="O121" s="470">
        <f t="shared" si="108"/>
        <v>4376132.104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</v>
      </c>
      <c r="V121" s="470">
        <f t="shared" si="118"/>
        <v>842271.70496</v>
      </c>
      <c r="W121" s="471">
        <v>12</v>
      </c>
      <c r="X121" s="470">
        <f t="shared" si="119"/>
        <v>70189.3087466667</v>
      </c>
      <c r="Y121" s="476"/>
      <c r="Z121" s="472">
        <f t="shared" si="120"/>
        <v>70189.3087466667</v>
      </c>
      <c r="AA121" s="473">
        <v>42029.5891866667</v>
      </c>
      <c r="AB121" s="473">
        <f t="shared" si="110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289</v>
      </c>
      <c r="C122" s="470">
        <v>526622.25</v>
      </c>
      <c r="D122" s="469">
        <v>12</v>
      </c>
      <c r="E122" s="470">
        <f t="shared" si="109"/>
        <v>6319467</v>
      </c>
      <c r="F122" s="479">
        <f>668.31625*12</f>
        <v>8019.795</v>
      </c>
      <c r="G122" s="474">
        <v>438357.36</v>
      </c>
      <c r="H122" s="476"/>
      <c r="I122" s="470">
        <f t="shared" si="106"/>
        <v>5873089.845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</v>
      </c>
      <c r="O122" s="470">
        <f t="shared" si="108"/>
        <v>4498471.876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</v>
      </c>
      <c r="V122" s="470">
        <f t="shared" si="118"/>
        <v>871633.25024</v>
      </c>
      <c r="W122" s="471">
        <v>12</v>
      </c>
      <c r="X122" s="470">
        <f t="shared" si="119"/>
        <v>72636.1041866667</v>
      </c>
      <c r="Y122" s="476"/>
      <c r="Z122" s="472">
        <f t="shared" si="120"/>
        <v>72636.1041866667</v>
      </c>
      <c r="AA122" s="473">
        <v>43380.0962466667</v>
      </c>
      <c r="AB122" s="473">
        <f t="shared" si="110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292</v>
      </c>
      <c r="C123" s="470">
        <v>330481.666666667</v>
      </c>
      <c r="D123" s="469">
        <v>12</v>
      </c>
      <c r="E123" s="470">
        <f t="shared" si="109"/>
        <v>3965780</v>
      </c>
      <c r="F123" s="470"/>
      <c r="G123" s="474">
        <v>259662.4</v>
      </c>
      <c r="H123" s="476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741223.520000001</v>
      </c>
      <c r="M123" s="470">
        <f t="shared" si="112"/>
        <v>941223.520000001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244627.756800001</v>
      </c>
      <c r="U123" s="470"/>
      <c r="V123" s="470">
        <f t="shared" si="118"/>
        <v>468627.756800001</v>
      </c>
      <c r="W123" s="471">
        <v>12</v>
      </c>
      <c r="X123" s="470">
        <f t="shared" si="119"/>
        <v>39052.3130666667</v>
      </c>
      <c r="Y123" s="476"/>
      <c r="Z123" s="472">
        <f t="shared" si="120"/>
        <v>39052.3130666667</v>
      </c>
      <c r="AA123" s="473">
        <v>23036.0123466667</v>
      </c>
      <c r="AB123" s="473">
        <f t="shared" si="110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294</v>
      </c>
      <c r="C124" s="470">
        <v>274459.75</v>
      </c>
      <c r="D124" s="469">
        <v>12</v>
      </c>
      <c r="E124" s="470">
        <f t="shared" si="109"/>
        <v>3293517</v>
      </c>
      <c r="F124" s="470"/>
      <c r="G124" s="474">
        <v>215481.36</v>
      </c>
      <c r="H124" s="476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</v>
      </c>
      <c r="M124" s="470">
        <f t="shared" si="112"/>
        <v>815607.128</v>
      </c>
      <c r="N124" s="470">
        <f t="shared" si="107"/>
        <v>1031088.488</v>
      </c>
      <c r="O124" s="470">
        <f t="shared" si="108"/>
        <v>2262428.512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</v>
      </c>
      <c r="U124" s="470"/>
      <c r="V124" s="470">
        <f t="shared" si="118"/>
        <v>363109.98752</v>
      </c>
      <c r="W124" s="471">
        <v>12</v>
      </c>
      <c r="X124" s="470">
        <f t="shared" si="119"/>
        <v>30259.1656266667</v>
      </c>
      <c r="Y124" s="476"/>
      <c r="Z124" s="472">
        <f t="shared" si="120"/>
        <v>30259.1656266667</v>
      </c>
      <c r="AA124" s="473">
        <v>17042.7138666667</v>
      </c>
      <c r="AB124" s="473">
        <f t="shared" si="110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296</v>
      </c>
      <c r="C125" s="470">
        <v>274459.75</v>
      </c>
      <c r="D125" s="469">
        <v>12</v>
      </c>
      <c r="E125" s="470">
        <f t="shared" si="109"/>
        <v>3293517</v>
      </c>
      <c r="F125" s="470"/>
      <c r="G125" s="474">
        <v>215481.36</v>
      </c>
      <c r="H125" s="476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</v>
      </c>
      <c r="M125" s="470">
        <f t="shared" si="112"/>
        <v>815607.128</v>
      </c>
      <c r="N125" s="470">
        <f t="shared" si="107"/>
        <v>1031088.488</v>
      </c>
      <c r="O125" s="470">
        <f t="shared" si="108"/>
        <v>2262428.512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</v>
      </c>
      <c r="U125" s="470"/>
      <c r="V125" s="470">
        <f t="shared" si="118"/>
        <v>363109.98752</v>
      </c>
      <c r="W125" s="471">
        <v>12</v>
      </c>
      <c r="X125" s="470">
        <f t="shared" si="119"/>
        <v>30259.1656266667</v>
      </c>
      <c r="Y125" s="476"/>
      <c r="Z125" s="472">
        <f t="shared" si="120"/>
        <v>30259.1656266667</v>
      </c>
      <c r="AA125" s="473">
        <v>17042.7138666667</v>
      </c>
      <c r="AB125" s="473">
        <f t="shared" si="110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2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Z127" s="480"/>
      <c r="AC127" s="473"/>
      <c r="AD127" s="473"/>
      <c r="AE127" s="473"/>
    </row>
    <row r="128" ht="17.5" spans="1:31">
      <c r="A128" s="467">
        <v>111</v>
      </c>
      <c r="B128" s="20" t="s">
        <v>299</v>
      </c>
      <c r="C128" s="470"/>
      <c r="U128" s="482"/>
      <c r="Z128" s="480"/>
      <c r="AC128" s="473"/>
      <c r="AD128" s="473"/>
      <c r="AE128" s="473"/>
    </row>
    <row r="129" ht="18" spans="1:31">
      <c r="A129" s="467">
        <v>112</v>
      </c>
      <c r="B129" s="11" t="s">
        <v>931</v>
      </c>
      <c r="C129" s="470">
        <v>1535720</v>
      </c>
      <c r="D129" s="469">
        <v>12</v>
      </c>
      <c r="E129" s="470">
        <f>C129*D129</f>
        <v>18428640</v>
      </c>
      <c r="F129" s="470"/>
      <c r="G129" s="474">
        <v>1378291.2</v>
      </c>
      <c r="H129" s="476"/>
      <c r="I129" s="470">
        <f t="shared" ref="I129:I187" si="121">E129-F129-G129-H129</f>
        <v>17050348.8</v>
      </c>
      <c r="J129" s="470">
        <v>200000</v>
      </c>
      <c r="K129" s="470">
        <v>0.2</v>
      </c>
      <c r="L129" s="470">
        <f t="shared" ref="L129:L187" si="122">I129*K129</f>
        <v>3410069.76</v>
      </c>
      <c r="M129" s="470">
        <f t="shared" ref="M129:M187" si="123">J129+L129</f>
        <v>3610069.76</v>
      </c>
      <c r="N129" s="470">
        <f t="shared" ref="N129:N187" si="124">F129+G129+H129+M129</f>
        <v>4988360.96</v>
      </c>
      <c r="O129" s="470">
        <f t="shared" ref="O129:O187" si="125">E129-N129</f>
        <v>13440279.04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2457666.9696</v>
      </c>
      <c r="V129" s="470">
        <f>P129+Q129+R129+S129+T129+U129</f>
        <v>3017666.9696</v>
      </c>
      <c r="W129" s="471">
        <v>12</v>
      </c>
      <c r="X129" s="470">
        <f t="shared" ref="X129:X187" si="131">V129/W129</f>
        <v>251472.247466667</v>
      </c>
      <c r="Y129" s="476"/>
      <c r="Z129" s="472">
        <f t="shared" ref="Z129:Z187" si="132">X129</f>
        <v>251472.247466667</v>
      </c>
      <c r="AA129" s="473">
        <v>161106.806858667</v>
      </c>
      <c r="AB129" s="473">
        <f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933</v>
      </c>
      <c r="C130" s="470">
        <v>852373.166666667</v>
      </c>
      <c r="D130" s="469">
        <v>12</v>
      </c>
      <c r="E130" s="470">
        <f t="shared" ref="E130:E187" si="133">C130*D130</f>
        <v>10228478</v>
      </c>
      <c r="F130" s="470"/>
      <c r="G130" s="474">
        <v>0</v>
      </c>
      <c r="H130" s="476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</v>
      </c>
      <c r="V130" s="470">
        <f>P130+Q130+R130+S130+T130+U130</f>
        <v>1707867.776</v>
      </c>
      <c r="W130" s="471">
        <v>12</v>
      </c>
      <c r="X130" s="470">
        <f t="shared" si="131"/>
        <v>142322.314666667</v>
      </c>
      <c r="Y130" s="476"/>
      <c r="Z130" s="472">
        <f t="shared" si="132"/>
        <v>142322.314666667</v>
      </c>
      <c r="AA130" s="473">
        <v>82627.9514186667</v>
      </c>
      <c r="AB130" s="473">
        <f t="shared" ref="AB130:AB187" si="134">Z130-AA130</f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302</v>
      </c>
      <c r="C131" s="470">
        <v>902373.166666667</v>
      </c>
      <c r="D131" s="469">
        <v>12</v>
      </c>
      <c r="E131" s="470">
        <f t="shared" si="133"/>
        <v>10828478</v>
      </c>
      <c r="F131" s="470">
        <f>1066.32925*12</f>
        <v>12795.951</v>
      </c>
      <c r="G131" s="474">
        <v>731878.24</v>
      </c>
      <c r="H131" s="476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</v>
      </c>
      <c r="M131" s="470">
        <f t="shared" si="123"/>
        <v>2216760.7618</v>
      </c>
      <c r="N131" s="470">
        <f t="shared" si="124"/>
        <v>2961434.9528</v>
      </c>
      <c r="O131" s="470">
        <f t="shared" si="125"/>
        <v>7867043.0472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1120090.331328</v>
      </c>
      <c r="V131" s="470">
        <f>P131+Q131+R131+S131+T131+U131</f>
        <v>1680090.331328</v>
      </c>
      <c r="W131" s="471">
        <v>12</v>
      </c>
      <c r="X131" s="470">
        <f t="shared" si="131"/>
        <v>140007.527610667</v>
      </c>
      <c r="Y131" s="476"/>
      <c r="Z131" s="472">
        <f t="shared" si="132"/>
        <v>140007.527610667</v>
      </c>
      <c r="AA131" s="473">
        <v>92023.2162026667</v>
      </c>
      <c r="AB131" s="473">
        <f t="shared" si="134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305</v>
      </c>
      <c r="C132" s="470">
        <v>554373.75</v>
      </c>
      <c r="D132" s="469">
        <v>12</v>
      </c>
      <c r="E132" s="470">
        <f t="shared" si="133"/>
        <v>6652485</v>
      </c>
      <c r="F132" s="470">
        <f>712.24525*12</f>
        <v>8546.943</v>
      </c>
      <c r="G132" s="474">
        <v>464998.8</v>
      </c>
      <c r="H132" s="476"/>
      <c r="I132" s="470">
        <f t="shared" si="121"/>
        <v>6178939.257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</v>
      </c>
      <c r="O132" s="470">
        <f t="shared" si="125"/>
        <v>4743151.4056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1">
        <v>12</v>
      </c>
      <c r="X132" s="470">
        <f t="shared" si="131"/>
        <v>77529.6947786667</v>
      </c>
      <c r="Y132" s="476"/>
      <c r="Z132" s="472">
        <f t="shared" si="132"/>
        <v>77529.6947786667</v>
      </c>
      <c r="AA132" s="473">
        <v>46081.2025986667</v>
      </c>
      <c r="AB132" s="473">
        <f t="shared" si="134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307</v>
      </c>
      <c r="C133" s="470">
        <v>554373.75</v>
      </c>
      <c r="D133" s="469">
        <v>12</v>
      </c>
      <c r="E133" s="470">
        <f t="shared" si="133"/>
        <v>6652485</v>
      </c>
      <c r="F133" s="470">
        <f>712.24525*12</f>
        <v>8546.943</v>
      </c>
      <c r="G133" s="474">
        <v>464998.8</v>
      </c>
      <c r="H133" s="476"/>
      <c r="I133" s="470">
        <f t="shared" si="121"/>
        <v>6178939.257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</v>
      </c>
      <c r="O133" s="470">
        <f t="shared" si="125"/>
        <v>4743151.4056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1">
        <v>12</v>
      </c>
      <c r="X133" s="470">
        <f t="shared" si="131"/>
        <v>77529.6947786667</v>
      </c>
      <c r="Y133" s="476"/>
      <c r="Z133" s="472">
        <f t="shared" si="132"/>
        <v>77529.6947786667</v>
      </c>
      <c r="AA133" s="473">
        <v>46081.2025986667</v>
      </c>
      <c r="AB133" s="473">
        <f t="shared" si="134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309</v>
      </c>
      <c r="C134" s="470">
        <v>554373.75</v>
      </c>
      <c r="D134" s="469">
        <v>12</v>
      </c>
      <c r="E134" s="470">
        <f t="shared" si="133"/>
        <v>6652485</v>
      </c>
      <c r="F134" s="470">
        <f>712.24525*12</f>
        <v>8546.943</v>
      </c>
      <c r="G134" s="474">
        <v>464998.8</v>
      </c>
      <c r="H134" s="476"/>
      <c r="I134" s="470">
        <f t="shared" si="121"/>
        <v>6178939.257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</v>
      </c>
      <c r="O134" s="470">
        <f t="shared" si="125"/>
        <v>4743151.4056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1">
        <v>12</v>
      </c>
      <c r="X134" s="470">
        <f t="shared" si="131"/>
        <v>77529.6947786667</v>
      </c>
      <c r="Y134" s="476"/>
      <c r="Z134" s="472">
        <f t="shared" si="132"/>
        <v>77529.6947786667</v>
      </c>
      <c r="AA134" s="473">
        <v>46081.2025986667</v>
      </c>
      <c r="AB134" s="473">
        <f t="shared" si="134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231</v>
      </c>
      <c r="C135" s="470">
        <v>450086.5</v>
      </c>
      <c r="D135" s="469">
        <v>12</v>
      </c>
      <c r="E135" s="470">
        <f t="shared" si="133"/>
        <v>5401038</v>
      </c>
      <c r="F135" s="470">
        <f>576.62125*12</f>
        <v>6919.455</v>
      </c>
      <c r="G135" s="474">
        <v>374483.04</v>
      </c>
      <c r="H135" s="476"/>
      <c r="I135" s="470">
        <f t="shared" si="121"/>
        <v>5019635.505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</v>
      </c>
      <c r="O135" s="470">
        <f t="shared" si="125"/>
        <v>3815708.404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</v>
      </c>
      <c r="V135" s="470">
        <f t="shared" si="135"/>
        <v>707770.01696</v>
      </c>
      <c r="W135" s="471">
        <v>12</v>
      </c>
      <c r="X135" s="470">
        <f t="shared" si="131"/>
        <v>58980.8347466667</v>
      </c>
      <c r="Y135" s="476"/>
      <c r="Z135" s="472">
        <f t="shared" si="132"/>
        <v>58980.8347466667</v>
      </c>
      <c r="AA135" s="473">
        <v>35221.9540866667</v>
      </c>
      <c r="AB135" s="473">
        <f t="shared" si="134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312</v>
      </c>
      <c r="C136" s="470">
        <v>450086.5</v>
      </c>
      <c r="D136" s="469">
        <v>12</v>
      </c>
      <c r="E136" s="470">
        <f t="shared" si="133"/>
        <v>5401038</v>
      </c>
      <c r="F136" s="470"/>
      <c r="G136" s="474">
        <v>374483.04</v>
      </c>
      <c r="H136" s="476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</v>
      </c>
      <c r="M136" s="470">
        <f t="shared" si="123"/>
        <v>1205310.992</v>
      </c>
      <c r="N136" s="470">
        <f t="shared" si="124"/>
        <v>1579794.032</v>
      </c>
      <c r="O136" s="470">
        <f t="shared" si="125"/>
        <v>3821243.968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149098.55232</v>
      </c>
      <c r="V136" s="470">
        <f t="shared" si="135"/>
        <v>709098.55232</v>
      </c>
      <c r="W136" s="471">
        <v>12</v>
      </c>
      <c r="X136" s="470">
        <f t="shared" si="131"/>
        <v>59091.5460266667</v>
      </c>
      <c r="Y136" s="476"/>
      <c r="Z136" s="472">
        <f t="shared" si="132"/>
        <v>59091.5460266667</v>
      </c>
      <c r="AA136" s="473">
        <v>35318.8264566667</v>
      </c>
      <c r="AB136" s="473">
        <f t="shared" si="134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313</v>
      </c>
      <c r="C137" s="470">
        <v>450086.5</v>
      </c>
      <c r="D137" s="469">
        <v>12</v>
      </c>
      <c r="E137" s="470">
        <f t="shared" si="133"/>
        <v>5401038</v>
      </c>
      <c r="F137" s="470"/>
      <c r="G137" s="474">
        <v>374483.04</v>
      </c>
      <c r="H137" s="476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</v>
      </c>
      <c r="M137" s="470">
        <f t="shared" si="123"/>
        <v>1205310.992</v>
      </c>
      <c r="N137" s="470">
        <f t="shared" si="124"/>
        <v>1579794.032</v>
      </c>
      <c r="O137" s="470">
        <f t="shared" si="125"/>
        <v>3821243.968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149098.55232</v>
      </c>
      <c r="V137" s="470">
        <f t="shared" si="135"/>
        <v>709098.55232</v>
      </c>
      <c r="W137" s="471">
        <v>12</v>
      </c>
      <c r="X137" s="470">
        <f t="shared" si="131"/>
        <v>59091.5460266667</v>
      </c>
      <c r="Y137" s="476"/>
      <c r="Z137" s="472">
        <f t="shared" si="132"/>
        <v>59091.5460266667</v>
      </c>
      <c r="AA137" s="473">
        <v>35318.8264566667</v>
      </c>
      <c r="AB137" s="473">
        <f t="shared" si="134"/>
        <v>23772.71957</v>
      </c>
      <c r="AC137" s="473"/>
      <c r="AD137" s="473"/>
      <c r="AE137" s="473"/>
    </row>
    <row r="138" ht="18" spans="1:31">
      <c r="A138" s="467">
        <v>121</v>
      </c>
      <c r="B138" s="11" t="s">
        <v>315</v>
      </c>
      <c r="C138" s="470">
        <v>437895.166666667</v>
      </c>
      <c r="D138" s="469">
        <v>12</v>
      </c>
      <c r="E138" s="470">
        <f t="shared" si="133"/>
        <v>5254742</v>
      </c>
      <c r="F138" s="470"/>
      <c r="G138" s="474">
        <v>362779.36</v>
      </c>
      <c r="H138" s="476"/>
      <c r="I138" s="470">
        <f t="shared" si="121"/>
        <v>4891962.64</v>
      </c>
      <c r="J138" s="470">
        <v>200000</v>
      </c>
      <c r="K138" s="470">
        <v>0.2</v>
      </c>
      <c r="L138" s="470">
        <f t="shared" si="122"/>
        <v>978392.528000001</v>
      </c>
      <c r="M138" s="470">
        <f t="shared" si="123"/>
        <v>1178392.528</v>
      </c>
      <c r="N138" s="470">
        <f t="shared" si="124"/>
        <v>1541171.888</v>
      </c>
      <c r="O138" s="470">
        <f t="shared" si="125"/>
        <v>3713570.112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123256.826880001</v>
      </c>
      <c r="V138" s="470">
        <f t="shared" si="135"/>
        <v>683256.826880001</v>
      </c>
      <c r="W138" s="471">
        <v>12</v>
      </c>
      <c r="X138" s="470">
        <f t="shared" si="131"/>
        <v>56938.0689066667</v>
      </c>
      <c r="Y138" s="476"/>
      <c r="Z138" s="472">
        <f t="shared" si="132"/>
        <v>56938.0689066667</v>
      </c>
      <c r="AA138" s="473">
        <v>34968.8824146667</v>
      </c>
      <c r="AB138" s="473">
        <f t="shared" si="134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317</v>
      </c>
      <c r="C139" s="470">
        <v>425703.833333333</v>
      </c>
      <c r="D139" s="469">
        <v>12</v>
      </c>
      <c r="E139" s="470">
        <f t="shared" si="133"/>
        <v>5108446</v>
      </c>
      <c r="F139" s="470">
        <f>538.022*12</f>
        <v>6456.264</v>
      </c>
      <c r="G139" s="474">
        <v>351075.68</v>
      </c>
      <c r="H139" s="476"/>
      <c r="I139" s="470">
        <f t="shared" si="121"/>
        <v>4750914.056</v>
      </c>
      <c r="J139" s="470">
        <v>200000</v>
      </c>
      <c r="K139" s="470">
        <v>0.2</v>
      </c>
      <c r="L139" s="470">
        <f t="shared" si="122"/>
        <v>950182.811199999</v>
      </c>
      <c r="M139" s="470">
        <f t="shared" si="123"/>
        <v>1150182.8112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96175.4987519992</v>
      </c>
      <c r="V139" s="470">
        <f t="shared" si="135"/>
        <v>656175.498751999</v>
      </c>
      <c r="W139" s="471">
        <v>12</v>
      </c>
      <c r="X139" s="470">
        <f t="shared" si="131"/>
        <v>54681.2915626666</v>
      </c>
      <c r="Y139" s="476"/>
      <c r="Z139" s="472">
        <f t="shared" si="132"/>
        <v>54681.2915626666</v>
      </c>
      <c r="AA139" s="473">
        <v>32848.5634026667</v>
      </c>
      <c r="AB139" s="473">
        <f t="shared" si="134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470">
        <v>450086.5</v>
      </c>
      <c r="D140" s="469">
        <v>12</v>
      </c>
      <c r="E140" s="470">
        <f t="shared" si="133"/>
        <v>5401038</v>
      </c>
      <c r="F140" s="470">
        <f>576.62125*12</f>
        <v>6919.455</v>
      </c>
      <c r="G140" s="474">
        <v>374483.04</v>
      </c>
      <c r="H140" s="476"/>
      <c r="I140" s="470">
        <f t="shared" si="121"/>
        <v>5019635.505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</v>
      </c>
      <c r="O140" s="470">
        <f t="shared" si="125"/>
        <v>3815708.404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</v>
      </c>
      <c r="V140" s="470">
        <f t="shared" si="135"/>
        <v>707770.01696</v>
      </c>
      <c r="W140" s="471">
        <v>12</v>
      </c>
      <c r="X140" s="470">
        <f t="shared" si="131"/>
        <v>58980.8347466667</v>
      </c>
      <c r="Y140" s="476"/>
      <c r="Z140" s="472">
        <f t="shared" si="132"/>
        <v>58980.8347466667</v>
      </c>
      <c r="AA140" s="473">
        <v>35221.9540866667</v>
      </c>
      <c r="AB140" s="473">
        <f t="shared" si="134"/>
        <v>23758.88066</v>
      </c>
      <c r="AC140" s="473"/>
      <c r="AD140" s="473"/>
      <c r="AE140" s="473"/>
    </row>
    <row r="141" ht="18" spans="1:31">
      <c r="A141" s="467">
        <v>124</v>
      </c>
      <c r="B141" s="18" t="s">
        <v>319</v>
      </c>
      <c r="C141" s="470">
        <v>413512.5</v>
      </c>
      <c r="D141" s="469">
        <v>12</v>
      </c>
      <c r="E141" s="470">
        <f t="shared" si="133"/>
        <v>4962150</v>
      </c>
      <c r="F141" s="470">
        <v>0</v>
      </c>
      <c r="G141" s="474">
        <v>339372</v>
      </c>
      <c r="H141" s="476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</v>
      </c>
      <c r="M141" s="470">
        <f t="shared" si="123"/>
        <v>1124555.6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71573.376</v>
      </c>
      <c r="V141" s="470">
        <f t="shared" si="135"/>
        <v>631573.376</v>
      </c>
      <c r="W141" s="471">
        <v>12</v>
      </c>
      <c r="X141" s="470">
        <f t="shared" si="131"/>
        <v>52631.1146666667</v>
      </c>
      <c r="Y141" s="476"/>
      <c r="Z141" s="472">
        <f t="shared" si="132"/>
        <v>52631.1146666667</v>
      </c>
      <c r="AA141" s="473">
        <v>31749.1752666667</v>
      </c>
      <c r="AB141" s="473">
        <f t="shared" si="134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321</v>
      </c>
      <c r="C142" s="470">
        <v>368901.5</v>
      </c>
      <c r="D142" s="469">
        <v>12</v>
      </c>
      <c r="E142" s="470">
        <f t="shared" si="133"/>
        <v>4426818</v>
      </c>
      <c r="F142" s="470"/>
      <c r="G142" s="474">
        <v>296545.44</v>
      </c>
      <c r="H142" s="476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</v>
      </c>
      <c r="M142" s="470">
        <f t="shared" si="123"/>
        <v>1026054.512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</v>
      </c>
      <c r="U142" s="470"/>
      <c r="V142" s="470">
        <f t="shared" si="135"/>
        <v>539885.79008</v>
      </c>
      <c r="W142" s="471">
        <v>12</v>
      </c>
      <c r="X142" s="470">
        <f t="shared" si="131"/>
        <v>44990.4825066667</v>
      </c>
      <c r="Y142" s="476"/>
      <c r="Z142" s="472">
        <f t="shared" si="132"/>
        <v>44990.4825066667</v>
      </c>
      <c r="AA142" s="473">
        <v>27105.9865626667</v>
      </c>
      <c r="AB142" s="473">
        <f t="shared" si="134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322</v>
      </c>
      <c r="C143" s="470">
        <v>376837.416666667</v>
      </c>
      <c r="D143" s="469">
        <v>12</v>
      </c>
      <c r="E143" s="470">
        <f t="shared" si="133"/>
        <v>4522049</v>
      </c>
      <c r="F143" s="470">
        <f>469.4825*12</f>
        <v>5633.79</v>
      </c>
      <c r="G143" s="474">
        <v>304163.92</v>
      </c>
      <c r="H143" s="476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842450.258000001</v>
      </c>
      <c r="M143" s="470">
        <f t="shared" si="123"/>
        <v>1042450.258</v>
      </c>
      <c r="N143" s="470">
        <f t="shared" si="124"/>
        <v>1352247.968</v>
      </c>
      <c r="O143" s="470">
        <f t="shared" si="125"/>
        <v>3169801.032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329658.216720001</v>
      </c>
      <c r="U143" s="470"/>
      <c r="V143" s="470">
        <f t="shared" si="135"/>
        <v>553658.216720001</v>
      </c>
      <c r="W143" s="471">
        <v>12</v>
      </c>
      <c r="X143" s="470">
        <f t="shared" si="131"/>
        <v>46138.1847266667</v>
      </c>
      <c r="Y143" s="476"/>
      <c r="Z143" s="472">
        <f t="shared" si="132"/>
        <v>46138.1847266667</v>
      </c>
      <c r="AA143" s="473">
        <v>27794.2066266667</v>
      </c>
      <c r="AB143" s="473">
        <f t="shared" si="134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324</v>
      </c>
      <c r="C144" s="470">
        <v>376837.416666667</v>
      </c>
      <c r="D144" s="469">
        <v>12</v>
      </c>
      <c r="E144" s="470">
        <f t="shared" si="133"/>
        <v>4522049</v>
      </c>
      <c r="F144" s="470"/>
      <c r="G144" s="474">
        <v>304163.92</v>
      </c>
      <c r="H144" s="476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843577.016000001</v>
      </c>
      <c r="M144" s="470">
        <f t="shared" si="123"/>
        <v>1043577.016</v>
      </c>
      <c r="N144" s="470">
        <f t="shared" si="124"/>
        <v>1347740.936</v>
      </c>
      <c r="O144" s="470">
        <f t="shared" si="125"/>
        <v>3174308.064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330604.693440001</v>
      </c>
      <c r="U144" s="470"/>
      <c r="V144" s="470">
        <f t="shared" si="135"/>
        <v>554604.693440001</v>
      </c>
      <c r="W144" s="471">
        <v>12</v>
      </c>
      <c r="X144" s="470">
        <f t="shared" si="131"/>
        <v>46217.0577866667</v>
      </c>
      <c r="Y144" s="476"/>
      <c r="Z144" s="472">
        <f t="shared" si="132"/>
        <v>46217.0577866667</v>
      </c>
      <c r="AA144" s="473">
        <v>27873.0796866667</v>
      </c>
      <c r="AB144" s="473">
        <f t="shared" si="134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325</v>
      </c>
      <c r="C145" s="470">
        <v>360965.583333333</v>
      </c>
      <c r="D145" s="469">
        <v>12</v>
      </c>
      <c r="E145" s="470">
        <f t="shared" si="133"/>
        <v>4331587</v>
      </c>
      <c r="F145" s="470"/>
      <c r="G145" s="474">
        <v>288926.96</v>
      </c>
      <c r="H145" s="476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808532.007999999</v>
      </c>
      <c r="M145" s="470">
        <f t="shared" si="123"/>
        <v>1008532.008</v>
      </c>
      <c r="N145" s="470">
        <f t="shared" si="124"/>
        <v>1297458.968</v>
      </c>
      <c r="O145" s="470">
        <f t="shared" si="125"/>
        <v>3034128.032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301166.886719999</v>
      </c>
      <c r="U145" s="470"/>
      <c r="V145" s="470">
        <f t="shared" si="135"/>
        <v>525166.886719999</v>
      </c>
      <c r="W145" s="471">
        <v>12</v>
      </c>
      <c r="X145" s="470">
        <f t="shared" si="131"/>
        <v>43763.9072266666</v>
      </c>
      <c r="Y145" s="476"/>
      <c r="Z145" s="472">
        <f t="shared" si="132"/>
        <v>43763.9072266666</v>
      </c>
      <c r="AA145" s="473">
        <v>27105.9865626667</v>
      </c>
      <c r="AB145" s="473">
        <f t="shared" si="134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327</v>
      </c>
      <c r="C146" s="470">
        <v>323165.333333333</v>
      </c>
      <c r="D146" s="469">
        <v>12</v>
      </c>
      <c r="E146" s="470">
        <f t="shared" si="133"/>
        <v>3877984</v>
      </c>
      <c r="F146" s="470"/>
      <c r="G146" s="474">
        <v>252638.72</v>
      </c>
      <c r="H146" s="476"/>
      <c r="I146" s="470">
        <f t="shared" si="121"/>
        <v>3625345.28</v>
      </c>
      <c r="J146" s="470">
        <v>200000</v>
      </c>
      <c r="K146" s="470">
        <v>0.2</v>
      </c>
      <c r="L146" s="470">
        <f t="shared" si="122"/>
        <v>725069.055999999</v>
      </c>
      <c r="M146" s="470">
        <f t="shared" si="123"/>
        <v>925069.055999999</v>
      </c>
      <c r="N146" s="470">
        <f t="shared" si="124"/>
        <v>1177707.776</v>
      </c>
      <c r="O146" s="470">
        <f t="shared" si="125"/>
        <v>2700276.224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</v>
      </c>
      <c r="U146" s="470"/>
      <c r="V146" s="470">
        <f t="shared" si="135"/>
        <v>455058.007039999</v>
      </c>
      <c r="W146" s="471">
        <v>12</v>
      </c>
      <c r="X146" s="470">
        <f t="shared" si="131"/>
        <v>37921.5005866666</v>
      </c>
      <c r="Y146" s="476"/>
      <c r="Z146" s="472">
        <f t="shared" si="132"/>
        <v>37921.5005866666</v>
      </c>
      <c r="AA146" s="473">
        <v>22338.4826046667</v>
      </c>
      <c r="AB146" s="473">
        <f t="shared" si="134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329</v>
      </c>
      <c r="C147" s="470">
        <v>368901.5</v>
      </c>
      <c r="D147" s="469">
        <v>12</v>
      </c>
      <c r="E147" s="470">
        <f t="shared" si="133"/>
        <v>4426818</v>
      </c>
      <c r="F147" s="470"/>
      <c r="G147" s="474">
        <v>296545.44</v>
      </c>
      <c r="H147" s="476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</v>
      </c>
      <c r="M147" s="470">
        <f t="shared" si="123"/>
        <v>1026054.512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</v>
      </c>
      <c r="U147" s="470"/>
      <c r="V147" s="470">
        <f t="shared" si="135"/>
        <v>539885.79008</v>
      </c>
      <c r="W147" s="471">
        <v>12</v>
      </c>
      <c r="X147" s="470">
        <f t="shared" si="131"/>
        <v>44990.4825066667</v>
      </c>
      <c r="Y147" s="476"/>
      <c r="Z147" s="472">
        <f t="shared" si="132"/>
        <v>44990.4825066667</v>
      </c>
      <c r="AA147" s="473">
        <v>27105.9865626667</v>
      </c>
      <c r="AB147" s="473">
        <f t="shared" si="134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331</v>
      </c>
      <c r="C148" s="470">
        <v>330481.666666667</v>
      </c>
      <c r="D148" s="469">
        <v>12</v>
      </c>
      <c r="E148" s="470">
        <f t="shared" si="133"/>
        <v>3965780</v>
      </c>
      <c r="F148" s="470"/>
      <c r="G148" s="474">
        <v>259662.4</v>
      </c>
      <c r="H148" s="476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741223.520000001</v>
      </c>
      <c r="M148" s="470">
        <f t="shared" si="123"/>
        <v>941223.520000001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244627.756800001</v>
      </c>
      <c r="U148" s="470"/>
      <c r="V148" s="470">
        <f t="shared" si="135"/>
        <v>468627.756800001</v>
      </c>
      <c r="W148" s="471">
        <v>12</v>
      </c>
      <c r="X148" s="470">
        <f t="shared" si="131"/>
        <v>39052.3130666667</v>
      </c>
      <c r="Y148" s="476"/>
      <c r="Z148" s="472">
        <f t="shared" si="132"/>
        <v>39052.3130666667</v>
      </c>
      <c r="AA148" s="473">
        <v>23036.0123466667</v>
      </c>
      <c r="AB148" s="473">
        <f t="shared" si="134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333</v>
      </c>
      <c r="C149" s="470">
        <v>368901.5</v>
      </c>
      <c r="D149" s="469">
        <v>12</v>
      </c>
      <c r="E149" s="470">
        <f t="shared" si="133"/>
        <v>4426818</v>
      </c>
      <c r="F149" s="470">
        <f>457.041*12</f>
        <v>5484.492</v>
      </c>
      <c r="G149" s="474">
        <v>296545.44</v>
      </c>
      <c r="H149" s="476"/>
      <c r="I149" s="470">
        <f t="shared" si="121"/>
        <v>4124788.068</v>
      </c>
      <c r="J149" s="470">
        <v>200000</v>
      </c>
      <c r="K149" s="470">
        <v>0.2</v>
      </c>
      <c r="L149" s="470">
        <f t="shared" si="122"/>
        <v>824957.6136</v>
      </c>
      <c r="M149" s="470">
        <f t="shared" si="123"/>
        <v>1024957.6136</v>
      </c>
      <c r="N149" s="470">
        <f t="shared" si="124"/>
        <v>1326987.5456</v>
      </c>
      <c r="O149" s="470">
        <f t="shared" si="125"/>
        <v>3099830.4544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314964.395424</v>
      </c>
      <c r="U149" s="470"/>
      <c r="V149" s="470">
        <f t="shared" si="135"/>
        <v>538964.395424</v>
      </c>
      <c r="W149" s="471">
        <v>12</v>
      </c>
      <c r="X149" s="470">
        <f t="shared" si="131"/>
        <v>44913.6996186667</v>
      </c>
      <c r="Y149" s="476"/>
      <c r="Z149" s="472">
        <f t="shared" si="132"/>
        <v>44913.6996186667</v>
      </c>
      <c r="AA149" s="473">
        <v>27029.2036746667</v>
      </c>
      <c r="AB149" s="473">
        <f t="shared" si="134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334</v>
      </c>
      <c r="C150" s="470">
        <v>330481.666666667</v>
      </c>
      <c r="D150" s="469">
        <v>12</v>
      </c>
      <c r="E150" s="470">
        <f t="shared" si="133"/>
        <v>3965780</v>
      </c>
      <c r="F150" s="470"/>
      <c r="G150" s="474">
        <v>259662.4</v>
      </c>
      <c r="H150" s="476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741223.520000001</v>
      </c>
      <c r="M150" s="470">
        <f t="shared" si="123"/>
        <v>941223.520000001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244627.756800001</v>
      </c>
      <c r="U150" s="470"/>
      <c r="V150" s="470">
        <f t="shared" si="135"/>
        <v>468627.756800001</v>
      </c>
      <c r="W150" s="471">
        <v>12</v>
      </c>
      <c r="X150" s="470">
        <f t="shared" si="131"/>
        <v>39052.3130666667</v>
      </c>
      <c r="Y150" s="476"/>
      <c r="Z150" s="472">
        <f t="shared" si="132"/>
        <v>39052.3130666667</v>
      </c>
      <c r="AA150" s="473">
        <v>22338.4826046667</v>
      </c>
      <c r="AB150" s="473">
        <f t="shared" si="134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336</v>
      </c>
      <c r="C151" s="470">
        <v>315849</v>
      </c>
      <c r="D151" s="469">
        <v>12</v>
      </c>
      <c r="E151" s="470">
        <f t="shared" si="133"/>
        <v>3790188</v>
      </c>
      <c r="F151" s="470"/>
      <c r="G151" s="474">
        <v>245615.04</v>
      </c>
      <c r="H151" s="476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</v>
      </c>
      <c r="M151" s="470">
        <f t="shared" si="123"/>
        <v>908914.592</v>
      </c>
      <c r="N151" s="470">
        <f t="shared" si="124"/>
        <v>1154529.632</v>
      </c>
      <c r="O151" s="470">
        <f t="shared" si="125"/>
        <v>2635658.368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217488.25728</v>
      </c>
      <c r="U151" s="470"/>
      <c r="V151" s="470">
        <f t="shared" si="135"/>
        <v>441488.25728</v>
      </c>
      <c r="W151" s="471">
        <v>12</v>
      </c>
      <c r="X151" s="470">
        <f t="shared" si="131"/>
        <v>36790.6881066667</v>
      </c>
      <c r="Y151" s="476"/>
      <c r="Z151" s="472">
        <f t="shared" si="132"/>
        <v>36790.6881066667</v>
      </c>
      <c r="AA151" s="473">
        <v>21640.9528626667</v>
      </c>
      <c r="AB151" s="473">
        <f t="shared" si="134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343</v>
      </c>
      <c r="C152" s="470">
        <v>274459.75</v>
      </c>
      <c r="D152" s="469">
        <v>12</v>
      </c>
      <c r="E152" s="470">
        <f t="shared" si="133"/>
        <v>3293517</v>
      </c>
      <c r="F152" s="470">
        <v>0</v>
      </c>
      <c r="G152" s="474">
        <v>215481.36</v>
      </c>
      <c r="H152" s="476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</v>
      </c>
      <c r="M152" s="470">
        <f t="shared" si="123"/>
        <v>815607.128</v>
      </c>
      <c r="N152" s="470">
        <f t="shared" si="124"/>
        <v>1031088.488</v>
      </c>
      <c r="O152" s="470">
        <f t="shared" si="125"/>
        <v>2262428.512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</v>
      </c>
      <c r="U152" s="470"/>
      <c r="V152" s="470">
        <f t="shared" si="135"/>
        <v>363109.98752</v>
      </c>
      <c r="W152" s="471">
        <v>12</v>
      </c>
      <c r="X152" s="470">
        <f t="shared" si="131"/>
        <v>30259.1656266667</v>
      </c>
      <c r="Y152" s="476"/>
      <c r="Z152" s="472">
        <f t="shared" si="132"/>
        <v>30259.1656266667</v>
      </c>
      <c r="AA152" s="473">
        <v>17042.7138666667</v>
      </c>
      <c r="AB152" s="473">
        <f t="shared" si="134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345</v>
      </c>
      <c r="C153" s="470">
        <v>274459.75</v>
      </c>
      <c r="D153" s="469">
        <v>12</v>
      </c>
      <c r="E153" s="470">
        <f t="shared" si="133"/>
        <v>3293517</v>
      </c>
      <c r="F153" s="470">
        <v>0</v>
      </c>
      <c r="G153" s="474">
        <v>215481.36</v>
      </c>
      <c r="H153" s="476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</v>
      </c>
      <c r="M153" s="470">
        <f t="shared" si="123"/>
        <v>815607.128</v>
      </c>
      <c r="N153" s="470">
        <f t="shared" si="124"/>
        <v>1031088.488</v>
      </c>
      <c r="O153" s="470">
        <f t="shared" si="125"/>
        <v>2262428.512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</v>
      </c>
      <c r="U153" s="470"/>
      <c r="V153" s="470">
        <f t="shared" si="135"/>
        <v>363109.98752</v>
      </c>
      <c r="W153" s="471">
        <v>12</v>
      </c>
      <c r="X153" s="470">
        <f t="shared" si="131"/>
        <v>30259.1656266667</v>
      </c>
      <c r="Y153" s="476"/>
      <c r="Z153" s="472">
        <f t="shared" si="132"/>
        <v>30259.1656266667</v>
      </c>
      <c r="AA153" s="473">
        <v>17042.7138666667</v>
      </c>
      <c r="AB153" s="473">
        <f t="shared" si="134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347</v>
      </c>
      <c r="C154" s="470">
        <v>274459.75</v>
      </c>
      <c r="D154" s="469">
        <v>12</v>
      </c>
      <c r="E154" s="470">
        <f t="shared" si="133"/>
        <v>3293517</v>
      </c>
      <c r="F154" s="470">
        <v>0</v>
      </c>
      <c r="G154" s="474">
        <v>215481.36</v>
      </c>
      <c r="H154" s="476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</v>
      </c>
      <c r="M154" s="470">
        <f t="shared" si="123"/>
        <v>815607.128</v>
      </c>
      <c r="N154" s="470">
        <f t="shared" si="124"/>
        <v>1031088.488</v>
      </c>
      <c r="O154" s="470">
        <f t="shared" si="125"/>
        <v>2262428.512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</v>
      </c>
      <c r="U154" s="470"/>
      <c r="V154" s="470">
        <f t="shared" si="135"/>
        <v>363109.98752</v>
      </c>
      <c r="W154" s="471">
        <v>12</v>
      </c>
      <c r="X154" s="470">
        <f t="shared" si="131"/>
        <v>30259.1656266667</v>
      </c>
      <c r="Y154" s="476"/>
      <c r="Z154" s="472">
        <f t="shared" si="132"/>
        <v>30259.1656266667</v>
      </c>
      <c r="AA154" s="473">
        <v>17042.7138666667</v>
      </c>
      <c r="AB154" s="473">
        <f t="shared" si="134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349</v>
      </c>
      <c r="C155" s="470">
        <v>280631.916666667</v>
      </c>
      <c r="D155" s="469">
        <v>12</v>
      </c>
      <c r="E155" s="470">
        <f t="shared" si="133"/>
        <v>3367583</v>
      </c>
      <c r="F155" s="470">
        <v>0</v>
      </c>
      <c r="G155" s="474">
        <v>221406.64</v>
      </c>
      <c r="H155" s="476"/>
      <c r="I155" s="470">
        <f t="shared" si="121"/>
        <v>3146176.36</v>
      </c>
      <c r="J155" s="470">
        <v>200000</v>
      </c>
      <c r="K155" s="470">
        <v>0.2</v>
      </c>
      <c r="L155" s="470">
        <f t="shared" si="122"/>
        <v>629235.272000001</v>
      </c>
      <c r="M155" s="470">
        <f t="shared" si="123"/>
        <v>829235.272000001</v>
      </c>
      <c r="N155" s="470">
        <f t="shared" si="124"/>
        <v>1050641.912</v>
      </c>
      <c r="O155" s="470">
        <f t="shared" si="125"/>
        <v>2316941.088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150557.628480001</v>
      </c>
      <c r="U155" s="470"/>
      <c r="V155" s="470">
        <f t="shared" si="135"/>
        <v>374557.628480001</v>
      </c>
      <c r="W155" s="471">
        <v>12</v>
      </c>
      <c r="X155" s="470">
        <f t="shared" si="131"/>
        <v>31213.1357066667</v>
      </c>
      <c r="Y155" s="476"/>
      <c r="Z155" s="472">
        <f t="shared" si="132"/>
        <v>31213.1357066667</v>
      </c>
      <c r="AA155" s="473">
        <v>17572.8850026667</v>
      </c>
      <c r="AB155" s="473">
        <f t="shared" si="134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350</v>
      </c>
      <c r="C156" s="470">
        <v>274459.75</v>
      </c>
      <c r="D156" s="469">
        <v>12</v>
      </c>
      <c r="E156" s="470">
        <f t="shared" si="133"/>
        <v>3293517</v>
      </c>
      <c r="F156" s="470">
        <v>0</v>
      </c>
      <c r="G156" s="474">
        <v>215481.36</v>
      </c>
      <c r="H156" s="476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</v>
      </c>
      <c r="M156" s="470">
        <f t="shared" si="123"/>
        <v>815607.128</v>
      </c>
      <c r="N156" s="470">
        <f t="shared" si="124"/>
        <v>1031088.488</v>
      </c>
      <c r="O156" s="470">
        <f t="shared" si="125"/>
        <v>2262428.512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</v>
      </c>
      <c r="U156" s="470"/>
      <c r="V156" s="470">
        <f t="shared" si="135"/>
        <v>363109.98752</v>
      </c>
      <c r="W156" s="471">
        <v>12</v>
      </c>
      <c r="X156" s="470">
        <f t="shared" si="131"/>
        <v>30259.1656266667</v>
      </c>
      <c r="Y156" s="476"/>
      <c r="Z156" s="472">
        <f t="shared" si="132"/>
        <v>30259.1656266667</v>
      </c>
      <c r="AA156" s="473">
        <v>17042.7138666667</v>
      </c>
      <c r="AB156" s="473">
        <f t="shared" si="134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359</v>
      </c>
      <c r="C157" s="470">
        <v>202598.166666667</v>
      </c>
      <c r="D157" s="469">
        <v>12</v>
      </c>
      <c r="E157" s="470">
        <f t="shared" si="133"/>
        <v>2431178</v>
      </c>
      <c r="F157" s="470">
        <f>263.19*12</f>
        <v>3158.28</v>
      </c>
      <c r="G157" s="474">
        <v>161854.24</v>
      </c>
      <c r="H157" s="476"/>
      <c r="I157" s="470">
        <f t="shared" si="121"/>
        <v>2266165.48</v>
      </c>
      <c r="J157" s="470">
        <v>200000</v>
      </c>
      <c r="K157" s="470">
        <v>0.2</v>
      </c>
      <c r="L157" s="470">
        <f t="shared" si="122"/>
        <v>453233.096000001</v>
      </c>
      <c r="M157" s="470">
        <f t="shared" si="123"/>
        <v>653233.096000001</v>
      </c>
      <c r="N157" s="470">
        <f t="shared" si="124"/>
        <v>818245.616000001</v>
      </c>
      <c r="O157" s="470">
        <f t="shared" si="125"/>
        <v>1612932.384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2715.8006400007</v>
      </c>
      <c r="U157" s="470"/>
      <c r="V157" s="470">
        <f t="shared" si="135"/>
        <v>226715.800640001</v>
      </c>
      <c r="W157" s="471">
        <v>12</v>
      </c>
      <c r="X157" s="470">
        <f t="shared" si="131"/>
        <v>18892.9833866667</v>
      </c>
      <c r="Y157" s="476"/>
      <c r="Z157" s="472">
        <f t="shared" si="132"/>
        <v>18892.9833866667</v>
      </c>
      <c r="AA157" s="473">
        <v>10739.3048</v>
      </c>
      <c r="AB157" s="473">
        <f t="shared" si="134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362</v>
      </c>
      <c r="C158" s="470">
        <v>205598.166666667</v>
      </c>
      <c r="D158" s="469">
        <v>12</v>
      </c>
      <c r="E158" s="470">
        <f t="shared" si="133"/>
        <v>2467178</v>
      </c>
      <c r="F158" s="470"/>
      <c r="G158" s="474">
        <v>161854.24</v>
      </c>
      <c r="H158" s="476"/>
      <c r="I158" s="470">
        <f t="shared" si="121"/>
        <v>2305323.76</v>
      </c>
      <c r="J158" s="470">
        <v>200000</v>
      </c>
      <c r="K158" s="470">
        <v>0.2</v>
      </c>
      <c r="L158" s="470">
        <f t="shared" si="122"/>
        <v>461064.752000001</v>
      </c>
      <c r="M158" s="470">
        <f t="shared" si="123"/>
        <v>661064.752000001</v>
      </c>
      <c r="N158" s="470">
        <f t="shared" si="124"/>
        <v>822918.992000001</v>
      </c>
      <c r="O158" s="470">
        <f t="shared" si="125"/>
        <v>1644259.008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9294.39168000067</v>
      </c>
      <c r="U158" s="470"/>
      <c r="V158" s="470">
        <f t="shared" si="135"/>
        <v>233294.391680001</v>
      </c>
      <c r="W158" s="471">
        <v>12</v>
      </c>
      <c r="X158" s="470">
        <f t="shared" si="131"/>
        <v>19441.1993066667</v>
      </c>
      <c r="Y158" s="476"/>
      <c r="Z158" s="472">
        <f t="shared" si="132"/>
        <v>19441.1993066667</v>
      </c>
      <c r="AA158" s="473">
        <v>11232.4576266667</v>
      </c>
      <c r="AB158" s="473">
        <f t="shared" si="134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666</v>
      </c>
      <c r="C159" s="470">
        <v>202598.166666667</v>
      </c>
      <c r="D159" s="469">
        <v>12</v>
      </c>
      <c r="E159" s="470">
        <f t="shared" si="133"/>
        <v>2431178</v>
      </c>
      <c r="F159" s="470"/>
      <c r="G159" s="474">
        <v>161854.24</v>
      </c>
      <c r="H159" s="476"/>
      <c r="I159" s="470">
        <f t="shared" si="121"/>
        <v>2269323.76</v>
      </c>
      <c r="J159" s="470">
        <v>200000</v>
      </c>
      <c r="K159" s="470">
        <v>0.2</v>
      </c>
      <c r="L159" s="470">
        <f t="shared" si="122"/>
        <v>453864.752000001</v>
      </c>
      <c r="M159" s="470">
        <f t="shared" si="123"/>
        <v>653864.752000001</v>
      </c>
      <c r="N159" s="470">
        <f t="shared" si="124"/>
        <v>815718.992000001</v>
      </c>
      <c r="O159" s="470">
        <f t="shared" si="125"/>
        <v>1615459.008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3246.39168000067</v>
      </c>
      <c r="U159" s="470"/>
      <c r="V159" s="470">
        <f t="shared" si="135"/>
        <v>227246.391680001</v>
      </c>
      <c r="W159" s="471">
        <v>12</v>
      </c>
      <c r="X159" s="470">
        <f t="shared" si="131"/>
        <v>18937.1993066667</v>
      </c>
      <c r="Y159" s="476"/>
      <c r="Z159" s="472">
        <f t="shared" si="132"/>
        <v>18937.1993066667</v>
      </c>
      <c r="AA159" s="473">
        <v>10776.4576266667</v>
      </c>
      <c r="AB159" s="473">
        <f t="shared" si="134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363</v>
      </c>
      <c r="C160" s="470">
        <v>202598.166666667</v>
      </c>
      <c r="D160" s="469">
        <v>12</v>
      </c>
      <c r="E160" s="470">
        <f t="shared" si="133"/>
        <v>2431178</v>
      </c>
      <c r="F160" s="470">
        <f>263.19*12</f>
        <v>3158.28</v>
      </c>
      <c r="G160" s="474">
        <v>161854.24</v>
      </c>
      <c r="H160" s="476"/>
      <c r="I160" s="470">
        <f t="shared" si="121"/>
        <v>2266165.48</v>
      </c>
      <c r="J160" s="470">
        <v>200000</v>
      </c>
      <c r="K160" s="470">
        <v>0.2</v>
      </c>
      <c r="L160" s="470">
        <f t="shared" si="122"/>
        <v>453233.096000001</v>
      </c>
      <c r="M160" s="470">
        <f t="shared" si="123"/>
        <v>653233.096000001</v>
      </c>
      <c r="N160" s="470">
        <f t="shared" si="124"/>
        <v>818245.616000001</v>
      </c>
      <c r="O160" s="470">
        <f t="shared" si="125"/>
        <v>1612932.384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2715.8006400007</v>
      </c>
      <c r="U160" s="470"/>
      <c r="V160" s="470">
        <f t="shared" si="135"/>
        <v>226715.800640001</v>
      </c>
      <c r="W160" s="471">
        <v>12</v>
      </c>
      <c r="X160" s="470">
        <f t="shared" si="131"/>
        <v>18892.9833866667</v>
      </c>
      <c r="Y160" s="476"/>
      <c r="Z160" s="472">
        <f t="shared" si="132"/>
        <v>18892.9833866667</v>
      </c>
      <c r="AA160" s="473">
        <v>10739.3048</v>
      </c>
      <c r="AB160" s="473">
        <f t="shared" si="134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364</v>
      </c>
      <c r="C161" s="470">
        <v>202598.166666667</v>
      </c>
      <c r="D161" s="469">
        <v>12</v>
      </c>
      <c r="E161" s="470">
        <f t="shared" si="133"/>
        <v>2431178</v>
      </c>
      <c r="F161" s="470"/>
      <c r="G161" s="474">
        <v>161854.24</v>
      </c>
      <c r="H161" s="476"/>
      <c r="I161" s="470">
        <f t="shared" si="121"/>
        <v>2269323.76</v>
      </c>
      <c r="J161" s="470">
        <v>200000</v>
      </c>
      <c r="K161" s="470">
        <v>0.2</v>
      </c>
      <c r="L161" s="470">
        <f t="shared" si="122"/>
        <v>453864.752000001</v>
      </c>
      <c r="M161" s="470">
        <f t="shared" si="123"/>
        <v>653864.752000001</v>
      </c>
      <c r="N161" s="470">
        <f t="shared" si="124"/>
        <v>815718.992000001</v>
      </c>
      <c r="O161" s="470">
        <f t="shared" si="125"/>
        <v>1615459.008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3246.39168000067</v>
      </c>
      <c r="U161" s="470"/>
      <c r="V161" s="470">
        <f t="shared" si="135"/>
        <v>227246.391680001</v>
      </c>
      <c r="W161" s="471">
        <v>12</v>
      </c>
      <c r="X161" s="470">
        <f t="shared" si="131"/>
        <v>18937.1993066667</v>
      </c>
      <c r="Y161" s="476"/>
      <c r="Z161" s="472">
        <f t="shared" si="132"/>
        <v>18937.1993066667</v>
      </c>
      <c r="AA161" s="473">
        <v>10776.4576266667</v>
      </c>
      <c r="AB161" s="473">
        <f t="shared" si="134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365</v>
      </c>
      <c r="C162" s="470">
        <v>200336.833333333</v>
      </c>
      <c r="D162" s="469">
        <v>12</v>
      </c>
      <c r="E162" s="470">
        <f t="shared" si="133"/>
        <v>2404042</v>
      </c>
      <c r="F162" s="470"/>
      <c r="G162" s="474">
        <v>156803.36</v>
      </c>
      <c r="H162" s="476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449447.727999999</v>
      </c>
      <c r="M162" s="470">
        <f t="shared" si="123"/>
        <v>649447.727999999</v>
      </c>
      <c r="N162" s="470">
        <f t="shared" si="124"/>
        <v>806251.087999999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94580.2732799994</v>
      </c>
      <c r="T162" s="470">
        <f t="shared" si="130"/>
        <v>0</v>
      </c>
      <c r="U162" s="470"/>
      <c r="V162" s="470">
        <f t="shared" si="135"/>
        <v>223580.273279999</v>
      </c>
      <c r="W162" s="471">
        <v>12</v>
      </c>
      <c r="X162" s="470">
        <f t="shared" si="131"/>
        <v>18631.6894399999</v>
      </c>
      <c r="Y162" s="476"/>
      <c r="Z162" s="472">
        <f t="shared" si="132"/>
        <v>18631.6894399999</v>
      </c>
      <c r="AA162" s="473">
        <v>11232.4576266667</v>
      </c>
      <c r="AB162" s="473">
        <f t="shared" si="134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367</v>
      </c>
      <c r="C163" s="470">
        <v>197336.833333333</v>
      </c>
      <c r="D163" s="469">
        <v>12</v>
      </c>
      <c r="E163" s="470">
        <f t="shared" si="133"/>
        <v>2368042</v>
      </c>
      <c r="F163" s="470"/>
      <c r="G163" s="474">
        <v>156803.36</v>
      </c>
      <c r="H163" s="476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442247.727999999</v>
      </c>
      <c r="M163" s="470">
        <f t="shared" si="123"/>
        <v>642247.727999999</v>
      </c>
      <c r="N163" s="470">
        <f t="shared" si="124"/>
        <v>799051.087999999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89108.2732799994</v>
      </c>
      <c r="T163" s="470">
        <f t="shared" si="130"/>
        <v>0</v>
      </c>
      <c r="U163" s="470"/>
      <c r="V163" s="470">
        <f t="shared" si="135"/>
        <v>218108.273279999</v>
      </c>
      <c r="W163" s="471">
        <v>12</v>
      </c>
      <c r="X163" s="470">
        <f t="shared" si="131"/>
        <v>18175.6894399999</v>
      </c>
      <c r="Y163" s="476"/>
      <c r="Z163" s="472">
        <f t="shared" si="132"/>
        <v>18175.6894399999</v>
      </c>
      <c r="AA163" s="473">
        <v>10776.4576266667</v>
      </c>
      <c r="AB163" s="473">
        <f t="shared" si="134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368</v>
      </c>
      <c r="C164" s="470">
        <v>200336.833333333</v>
      </c>
      <c r="D164" s="469">
        <v>12</v>
      </c>
      <c r="E164" s="470">
        <f t="shared" si="133"/>
        <v>2404042</v>
      </c>
      <c r="F164" s="470"/>
      <c r="G164" s="474">
        <v>156803.36</v>
      </c>
      <c r="H164" s="476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449447.727999999</v>
      </c>
      <c r="M164" s="470">
        <f t="shared" si="123"/>
        <v>649447.727999999</v>
      </c>
      <c r="N164" s="470">
        <f t="shared" si="124"/>
        <v>806251.087999999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94580.2732799994</v>
      </c>
      <c r="T164" s="470">
        <f t="shared" si="130"/>
        <v>0</v>
      </c>
      <c r="U164" s="470"/>
      <c r="V164" s="470">
        <f t="shared" si="135"/>
        <v>223580.273279999</v>
      </c>
      <c r="W164" s="471">
        <v>12</v>
      </c>
      <c r="X164" s="470">
        <f t="shared" si="131"/>
        <v>18631.6894399999</v>
      </c>
      <c r="Y164" s="476"/>
      <c r="Z164" s="472">
        <f t="shared" si="132"/>
        <v>18631.6894399999</v>
      </c>
      <c r="AA164" s="473">
        <v>11232.4576266667</v>
      </c>
      <c r="AB164" s="473">
        <f t="shared" si="134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369</v>
      </c>
      <c r="C165" s="470">
        <v>197336.833333333</v>
      </c>
      <c r="D165" s="469">
        <v>12</v>
      </c>
      <c r="E165" s="470">
        <f t="shared" si="133"/>
        <v>2368042</v>
      </c>
      <c r="F165" s="470"/>
      <c r="G165" s="474">
        <v>156803.36</v>
      </c>
      <c r="H165" s="476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442247.727999999</v>
      </c>
      <c r="M165" s="470">
        <f t="shared" si="123"/>
        <v>642247.727999999</v>
      </c>
      <c r="N165" s="470">
        <f t="shared" si="124"/>
        <v>799051.087999999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89108.2732799994</v>
      </c>
      <c r="T165" s="470">
        <f t="shared" si="130"/>
        <v>0</v>
      </c>
      <c r="U165" s="470"/>
      <c r="V165" s="470">
        <f t="shared" si="135"/>
        <v>218108.273279999</v>
      </c>
      <c r="W165" s="471">
        <v>12</v>
      </c>
      <c r="X165" s="470">
        <f t="shared" si="131"/>
        <v>18175.6894399999</v>
      </c>
      <c r="Y165" s="476"/>
      <c r="Z165" s="472">
        <f t="shared" si="132"/>
        <v>18175.6894399999</v>
      </c>
      <c r="AA165" s="473">
        <v>10776.4576266667</v>
      </c>
      <c r="AB165" s="473">
        <f t="shared" si="134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370</v>
      </c>
      <c r="C166" s="470">
        <v>197336.833333333</v>
      </c>
      <c r="D166" s="469">
        <v>12</v>
      </c>
      <c r="E166" s="470">
        <f t="shared" si="133"/>
        <v>2368042</v>
      </c>
      <c r="F166" s="470"/>
      <c r="G166" s="474">
        <v>156803.36</v>
      </c>
      <c r="H166" s="476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442247.727999999</v>
      </c>
      <c r="M166" s="470">
        <f t="shared" si="123"/>
        <v>642247.727999999</v>
      </c>
      <c r="N166" s="470">
        <f t="shared" si="124"/>
        <v>799051.087999999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89108.2732799994</v>
      </c>
      <c r="T166" s="470">
        <f t="shared" si="130"/>
        <v>0</v>
      </c>
      <c r="U166" s="470"/>
      <c r="V166" s="470">
        <f t="shared" si="135"/>
        <v>218108.273279999</v>
      </c>
      <c r="W166" s="471">
        <v>12</v>
      </c>
      <c r="X166" s="470">
        <f t="shared" si="131"/>
        <v>18175.6894399999</v>
      </c>
      <c r="Y166" s="476"/>
      <c r="Z166" s="472">
        <f t="shared" si="132"/>
        <v>18175.6894399999</v>
      </c>
      <c r="AA166" s="473">
        <v>10776.4576266667</v>
      </c>
      <c r="AB166" s="473">
        <f t="shared" si="134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357</v>
      </c>
      <c r="C167" s="470">
        <v>200336.833333333</v>
      </c>
      <c r="D167" s="469">
        <v>12</v>
      </c>
      <c r="E167" s="470">
        <f t="shared" si="133"/>
        <v>2404042</v>
      </c>
      <c r="F167" s="470"/>
      <c r="G167" s="474">
        <v>156803.36</v>
      </c>
      <c r="H167" s="476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449447.727999999</v>
      </c>
      <c r="M167" s="470">
        <f t="shared" si="123"/>
        <v>649447.727999999</v>
      </c>
      <c r="N167" s="470">
        <f t="shared" si="124"/>
        <v>806251.087999999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94580.2732799994</v>
      </c>
      <c r="T167" s="470">
        <f t="shared" si="130"/>
        <v>0</v>
      </c>
      <c r="U167" s="470"/>
      <c r="V167" s="470">
        <f t="shared" si="135"/>
        <v>223580.273279999</v>
      </c>
      <c r="W167" s="471">
        <v>12</v>
      </c>
      <c r="X167" s="470">
        <f t="shared" si="131"/>
        <v>18631.6894399999</v>
      </c>
      <c r="Y167" s="476"/>
      <c r="Z167" s="472">
        <f t="shared" si="132"/>
        <v>18631.6894399999</v>
      </c>
      <c r="AA167" s="473">
        <v>11232.4576266667</v>
      </c>
      <c r="AB167" s="473">
        <f t="shared" si="134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371</v>
      </c>
      <c r="C168" s="470">
        <v>189814.166666667</v>
      </c>
      <c r="D168" s="469">
        <v>12</v>
      </c>
      <c r="E168" s="470">
        <f t="shared" si="133"/>
        <v>2277770</v>
      </c>
      <c r="F168" s="470"/>
      <c r="G168" s="474">
        <v>146701.6</v>
      </c>
      <c r="H168" s="476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426213.680000001</v>
      </c>
      <c r="M168" s="470">
        <f t="shared" si="123"/>
        <v>626213.680000001</v>
      </c>
      <c r="N168" s="470">
        <f t="shared" si="124"/>
        <v>772915.280000001</v>
      </c>
      <c r="O168" s="470">
        <f t="shared" si="125"/>
        <v>1504854.72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76922.3968000007</v>
      </c>
      <c r="T168" s="470">
        <f t="shared" si="130"/>
        <v>0</v>
      </c>
      <c r="U168" s="470"/>
      <c r="V168" s="470">
        <f t="shared" si="135"/>
        <v>205922.396800001</v>
      </c>
      <c r="W168" s="471">
        <v>12</v>
      </c>
      <c r="X168" s="470">
        <f t="shared" si="131"/>
        <v>17160.1997333334</v>
      </c>
      <c r="Y168" s="476"/>
      <c r="Z168" s="472">
        <f t="shared" si="132"/>
        <v>17160.1997333334</v>
      </c>
      <c r="AA168" s="473">
        <v>9152.59979</v>
      </c>
      <c r="AB168" s="473">
        <f t="shared" si="134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373</v>
      </c>
      <c r="C169" s="470">
        <v>189814.166666667</v>
      </c>
      <c r="D169" s="469">
        <v>12</v>
      </c>
      <c r="E169" s="470">
        <f t="shared" si="133"/>
        <v>2277770</v>
      </c>
      <c r="F169" s="470"/>
      <c r="G169" s="474">
        <v>146701.6</v>
      </c>
      <c r="H169" s="476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426213.680000001</v>
      </c>
      <c r="M169" s="470">
        <f t="shared" si="123"/>
        <v>626213.680000001</v>
      </c>
      <c r="N169" s="470">
        <f t="shared" si="124"/>
        <v>772915.280000001</v>
      </c>
      <c r="O169" s="470">
        <f t="shared" si="125"/>
        <v>1504854.72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76922.3968000007</v>
      </c>
      <c r="T169" s="470">
        <f t="shared" si="130"/>
        <v>0</v>
      </c>
      <c r="U169" s="470"/>
      <c r="V169" s="470">
        <f t="shared" si="135"/>
        <v>205922.396800001</v>
      </c>
      <c r="W169" s="471">
        <v>12</v>
      </c>
      <c r="X169" s="470">
        <f t="shared" si="131"/>
        <v>17160.1997333334</v>
      </c>
      <c r="Y169" s="476"/>
      <c r="Z169" s="472">
        <f t="shared" si="132"/>
        <v>17160.1997333334</v>
      </c>
      <c r="AA169" s="473">
        <v>9152.59979</v>
      </c>
      <c r="AB169" s="473">
        <f t="shared" si="134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374</v>
      </c>
      <c r="C170" s="470">
        <v>195075.5</v>
      </c>
      <c r="D170" s="469">
        <v>12</v>
      </c>
      <c r="E170" s="470">
        <f t="shared" si="133"/>
        <v>2340906</v>
      </c>
      <c r="F170" s="470"/>
      <c r="G170" s="474">
        <v>151752.48</v>
      </c>
      <c r="H170" s="476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</v>
      </c>
      <c r="M170" s="470">
        <f t="shared" si="123"/>
        <v>637830.704</v>
      </c>
      <c r="N170" s="470">
        <f t="shared" si="124"/>
        <v>789583.184</v>
      </c>
      <c r="O170" s="470">
        <f t="shared" si="125"/>
        <v>1551322.816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</v>
      </c>
      <c r="T170" s="470">
        <f t="shared" si="130"/>
        <v>0</v>
      </c>
      <c r="U170" s="470"/>
      <c r="V170" s="470">
        <f t="shared" si="135"/>
        <v>214751.33504</v>
      </c>
      <c r="W170" s="471">
        <v>12</v>
      </c>
      <c r="X170" s="470">
        <f t="shared" si="131"/>
        <v>17895.9445866667</v>
      </c>
      <c r="Y170" s="476"/>
      <c r="Z170" s="472">
        <f t="shared" si="132"/>
        <v>17895.9445866667</v>
      </c>
      <c r="AA170" s="473">
        <v>9504.20414</v>
      </c>
      <c r="AB170" s="473">
        <f t="shared" si="134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376</v>
      </c>
      <c r="C171" s="470">
        <v>121145.75</v>
      </c>
      <c r="D171" s="469">
        <v>12</v>
      </c>
      <c r="E171" s="470">
        <f t="shared" si="133"/>
        <v>1453749</v>
      </c>
      <c r="F171" s="470"/>
      <c r="G171" s="474">
        <v>90379.92</v>
      </c>
      <c r="H171" s="476"/>
      <c r="I171" s="470">
        <f t="shared" si="121"/>
        <v>1363369.08</v>
      </c>
      <c r="J171" s="470">
        <v>200000</v>
      </c>
      <c r="K171" s="470">
        <v>0.2</v>
      </c>
      <c r="L171" s="470">
        <f t="shared" si="122"/>
        <v>272673.816</v>
      </c>
      <c r="M171" s="470">
        <f t="shared" si="123"/>
        <v>472673.816</v>
      </c>
      <c r="N171" s="470">
        <f t="shared" si="124"/>
        <v>563053.736</v>
      </c>
      <c r="O171" s="470">
        <f t="shared" si="125"/>
        <v>890695.264</v>
      </c>
      <c r="P171" s="470">
        <f t="shared" si="126"/>
        <v>21000</v>
      </c>
      <c r="Q171" s="470">
        <f t="shared" si="127"/>
        <v>33000</v>
      </c>
      <c r="R171" s="470">
        <f t="shared" si="128"/>
        <v>43604.2896</v>
      </c>
      <c r="S171" s="470">
        <f t="shared" si="129"/>
        <v>0</v>
      </c>
      <c r="T171" s="470">
        <f t="shared" si="130"/>
        <v>0</v>
      </c>
      <c r="U171" s="470"/>
      <c r="V171" s="470">
        <f t="shared" si="135"/>
        <v>97604.2896</v>
      </c>
      <c r="W171" s="471">
        <v>12</v>
      </c>
      <c r="X171" s="470">
        <f t="shared" si="131"/>
        <v>8133.6908</v>
      </c>
      <c r="Y171" s="476"/>
      <c r="Z171" s="472">
        <f t="shared" si="132"/>
        <v>8133.6908</v>
      </c>
      <c r="AA171" s="473">
        <v>4365.33075466667</v>
      </c>
      <c r="AB171" s="473">
        <f t="shared" si="134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378</v>
      </c>
      <c r="C172" s="470">
        <v>118598</v>
      </c>
      <c r="D172" s="469">
        <v>12</v>
      </c>
      <c r="E172" s="470">
        <f t="shared" si="133"/>
        <v>1423176</v>
      </c>
      <c r="F172" s="470"/>
      <c r="G172" s="474">
        <v>87934.08</v>
      </c>
      <c r="H172" s="476"/>
      <c r="I172" s="470">
        <f t="shared" si="121"/>
        <v>1335241.92</v>
      </c>
      <c r="J172" s="470">
        <v>200000</v>
      </c>
      <c r="K172" s="470">
        <v>0.2</v>
      </c>
      <c r="L172" s="470">
        <f t="shared" si="122"/>
        <v>267048.384</v>
      </c>
      <c r="M172" s="470">
        <f t="shared" si="123"/>
        <v>467048.384</v>
      </c>
      <c r="N172" s="470">
        <f t="shared" si="124"/>
        <v>554982.464</v>
      </c>
      <c r="O172" s="470">
        <f t="shared" si="125"/>
        <v>868193.536</v>
      </c>
      <c r="P172" s="470">
        <f t="shared" si="126"/>
        <v>21000</v>
      </c>
      <c r="Q172" s="470">
        <f t="shared" si="127"/>
        <v>33000</v>
      </c>
      <c r="R172" s="470">
        <f t="shared" si="128"/>
        <v>40229.0304</v>
      </c>
      <c r="S172" s="470">
        <f t="shared" si="129"/>
        <v>0</v>
      </c>
      <c r="T172" s="470">
        <f t="shared" si="130"/>
        <v>0</v>
      </c>
      <c r="U172" s="470"/>
      <c r="V172" s="470">
        <f t="shared" si="135"/>
        <v>94229.0304</v>
      </c>
      <c r="W172" s="471">
        <v>12</v>
      </c>
      <c r="X172" s="470">
        <f t="shared" si="131"/>
        <v>7852.4192</v>
      </c>
      <c r="Y172" s="476"/>
      <c r="Z172" s="472">
        <f t="shared" si="132"/>
        <v>7852.4192</v>
      </c>
      <c r="AA172" s="473">
        <v>4227.52372266667</v>
      </c>
      <c r="AB172" s="473">
        <f t="shared" si="134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379</v>
      </c>
      <c r="C173" s="470">
        <v>115598</v>
      </c>
      <c r="D173" s="469">
        <v>12</v>
      </c>
      <c r="E173" s="470">
        <f t="shared" si="133"/>
        <v>1387176</v>
      </c>
      <c r="F173" s="470"/>
      <c r="G173" s="474">
        <v>87934.08</v>
      </c>
      <c r="H173" s="476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259848.384</v>
      </c>
      <c r="M173" s="470">
        <f t="shared" si="123"/>
        <v>459848.384</v>
      </c>
      <c r="N173" s="470">
        <f t="shared" si="124"/>
        <v>547782.464</v>
      </c>
      <c r="O173" s="470">
        <f t="shared" si="125"/>
        <v>839393.536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</v>
      </c>
      <c r="W173" s="471">
        <v>12</v>
      </c>
      <c r="X173" s="470">
        <f t="shared" si="131"/>
        <v>7492.4192</v>
      </c>
      <c r="Y173" s="476"/>
      <c r="Z173" s="472">
        <f t="shared" si="132"/>
        <v>7492.4192</v>
      </c>
      <c r="AA173" s="473">
        <v>3963.52372266667</v>
      </c>
      <c r="AB173" s="473">
        <f t="shared" si="134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380</v>
      </c>
      <c r="C174" s="470">
        <v>118598</v>
      </c>
      <c r="D174" s="469">
        <v>12</v>
      </c>
      <c r="E174" s="470">
        <f t="shared" si="133"/>
        <v>1423176</v>
      </c>
      <c r="F174" s="470"/>
      <c r="G174" s="474">
        <v>87934.08</v>
      </c>
      <c r="H174" s="476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</v>
      </c>
      <c r="M174" s="470">
        <f t="shared" si="123"/>
        <v>467048.384</v>
      </c>
      <c r="N174" s="470">
        <f t="shared" si="124"/>
        <v>554982.464</v>
      </c>
      <c r="O174" s="470">
        <f t="shared" si="125"/>
        <v>868193.536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40229.0304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94229.0304</v>
      </c>
      <c r="W174" s="471">
        <v>12</v>
      </c>
      <c r="X174" s="470">
        <f t="shared" si="131"/>
        <v>7852.4192</v>
      </c>
      <c r="Y174" s="476"/>
      <c r="Z174" s="472">
        <f t="shared" si="132"/>
        <v>7852.4192</v>
      </c>
      <c r="AA174" s="473">
        <v>4227.52372266667</v>
      </c>
      <c r="AB174" s="473">
        <f t="shared" si="134"/>
        <v>3624.89547733333</v>
      </c>
      <c r="AC174" s="473"/>
      <c r="AD174" s="473"/>
      <c r="AE174" s="473"/>
    </row>
    <row r="175" ht="18" spans="1:31">
      <c r="A175" s="459"/>
      <c r="B175" s="11" t="s">
        <v>381</v>
      </c>
      <c r="C175" s="483">
        <v>115598</v>
      </c>
      <c r="D175" s="469">
        <v>12</v>
      </c>
      <c r="E175" s="470">
        <f t="shared" si="133"/>
        <v>1387176</v>
      </c>
      <c r="F175" s="470"/>
      <c r="G175" s="474">
        <v>87934.08</v>
      </c>
      <c r="H175" s="476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259848.384</v>
      </c>
      <c r="M175" s="470">
        <f t="shared" si="123"/>
        <v>459848.384</v>
      </c>
      <c r="N175" s="470">
        <f t="shared" si="124"/>
        <v>547782.464</v>
      </c>
      <c r="O175" s="470">
        <f t="shared" si="125"/>
        <v>839393.536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</v>
      </c>
      <c r="W175" s="471">
        <v>12</v>
      </c>
      <c r="X175" s="470">
        <f t="shared" si="131"/>
        <v>7492.4192</v>
      </c>
      <c r="Y175" s="476"/>
      <c r="Z175" s="472">
        <f t="shared" si="132"/>
        <v>7492.4192</v>
      </c>
      <c r="AA175" s="473">
        <v>3963.52372266667</v>
      </c>
      <c r="AB175" s="473">
        <f t="shared" si="134"/>
        <v>3528.89547733333</v>
      </c>
      <c r="AC175" s="473"/>
      <c r="AD175" s="473"/>
      <c r="AE175" s="473"/>
    </row>
    <row r="176" ht="18" spans="1:31">
      <c r="A176" s="459"/>
      <c r="B176" s="11" t="s">
        <v>382</v>
      </c>
      <c r="C176" s="483">
        <v>118598</v>
      </c>
      <c r="D176" s="469">
        <v>12</v>
      </c>
      <c r="E176" s="470">
        <f t="shared" si="133"/>
        <v>1423176</v>
      </c>
      <c r="F176" s="470"/>
      <c r="G176" s="474">
        <v>87934.08</v>
      </c>
      <c r="H176" s="476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</v>
      </c>
      <c r="M176" s="470">
        <f t="shared" si="123"/>
        <v>467048.384</v>
      </c>
      <c r="N176" s="470">
        <f t="shared" si="124"/>
        <v>554982.464</v>
      </c>
      <c r="O176" s="470">
        <f t="shared" si="125"/>
        <v>868193.536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40229.0304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94229.0304</v>
      </c>
      <c r="W176" s="471">
        <v>12</v>
      </c>
      <c r="X176" s="470">
        <f t="shared" si="131"/>
        <v>7852.4192</v>
      </c>
      <c r="Y176" s="476"/>
      <c r="Z176" s="472">
        <f t="shared" si="132"/>
        <v>7852.4192</v>
      </c>
      <c r="AA176" s="473">
        <v>4227.52372266667</v>
      </c>
      <c r="AB176" s="473">
        <f t="shared" si="134"/>
        <v>3624.89547733333</v>
      </c>
    </row>
    <row r="177" ht="18" spans="2:28">
      <c r="B177" s="18" t="s">
        <v>383</v>
      </c>
      <c r="C177" s="473">
        <v>115598</v>
      </c>
      <c r="D177" s="469">
        <v>12</v>
      </c>
      <c r="E177" s="470">
        <f t="shared" si="133"/>
        <v>1387176</v>
      </c>
      <c r="G177" s="474">
        <v>87934.08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259848.384</v>
      </c>
      <c r="M177" s="470">
        <f t="shared" si="123"/>
        <v>459848.384</v>
      </c>
      <c r="N177" s="470">
        <f t="shared" si="124"/>
        <v>547782.464</v>
      </c>
      <c r="O177" s="470">
        <f t="shared" si="125"/>
        <v>839393.536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</v>
      </c>
      <c r="W177" s="471">
        <v>12</v>
      </c>
      <c r="X177" s="470">
        <f t="shared" si="131"/>
        <v>7492.4192</v>
      </c>
      <c r="Z177" s="472">
        <f t="shared" si="132"/>
        <v>7492.4192</v>
      </c>
      <c r="AA177" s="473">
        <v>3963.52372266667</v>
      </c>
      <c r="AB177" s="473">
        <f t="shared" si="134"/>
        <v>3528.89547733333</v>
      </c>
    </row>
    <row r="178" ht="18" spans="2:28">
      <c r="B178" s="18" t="s">
        <v>385</v>
      </c>
      <c r="C178" s="473">
        <v>118598</v>
      </c>
      <c r="D178" s="469">
        <v>12</v>
      </c>
      <c r="E178" s="470">
        <f t="shared" si="133"/>
        <v>1423176</v>
      </c>
      <c r="G178" s="474">
        <v>87934.08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</v>
      </c>
      <c r="M178" s="470">
        <f t="shared" si="123"/>
        <v>467048.384</v>
      </c>
      <c r="N178" s="470">
        <f t="shared" si="124"/>
        <v>554982.464</v>
      </c>
      <c r="O178" s="470">
        <f t="shared" si="125"/>
        <v>868193.536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40229.0304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94229.0304</v>
      </c>
      <c r="W178" s="471">
        <v>12</v>
      </c>
      <c r="X178" s="470">
        <f t="shared" si="131"/>
        <v>7852.4192</v>
      </c>
      <c r="Z178" s="472">
        <f t="shared" si="132"/>
        <v>7852.4192</v>
      </c>
      <c r="AA178" s="473">
        <v>4227.52372266667</v>
      </c>
      <c r="AB178" s="473">
        <f t="shared" si="134"/>
        <v>3624.89547733333</v>
      </c>
    </row>
    <row r="179" ht="18" spans="2:28">
      <c r="B179" s="11" t="s">
        <v>668</v>
      </c>
      <c r="C179" s="473">
        <v>118598</v>
      </c>
      <c r="D179" s="469">
        <v>12</v>
      </c>
      <c r="E179" s="470">
        <f t="shared" si="133"/>
        <v>1423176</v>
      </c>
      <c r="G179" s="474">
        <v>87934.08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</v>
      </c>
      <c r="M179" s="470">
        <f t="shared" si="123"/>
        <v>467048.384</v>
      </c>
      <c r="N179" s="470">
        <f t="shared" si="124"/>
        <v>554982.464</v>
      </c>
      <c r="O179" s="470">
        <f t="shared" si="125"/>
        <v>868193.536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40229.0304</v>
      </c>
      <c r="S179" s="470">
        <f t="shared" si="129"/>
        <v>0</v>
      </c>
      <c r="T179" s="470">
        <f t="shared" si="130"/>
        <v>0</v>
      </c>
      <c r="V179" s="470">
        <f t="shared" si="135"/>
        <v>94229.0304</v>
      </c>
      <c r="W179" s="471">
        <v>12</v>
      </c>
      <c r="X179" s="470">
        <f t="shared" si="131"/>
        <v>7852.4192</v>
      </c>
      <c r="Z179" s="472">
        <f t="shared" si="132"/>
        <v>7852.4192</v>
      </c>
      <c r="AA179" s="473">
        <v>4089.71669066667</v>
      </c>
      <c r="AB179" s="473">
        <f t="shared" si="134"/>
        <v>3762.70250933333</v>
      </c>
    </row>
    <row r="180" ht="18" spans="2:28">
      <c r="B180" s="11" t="s">
        <v>386</v>
      </c>
      <c r="C180" s="473">
        <v>118598</v>
      </c>
      <c r="D180" s="469">
        <v>12</v>
      </c>
      <c r="E180" s="470">
        <f t="shared" si="133"/>
        <v>1423176</v>
      </c>
      <c r="G180" s="474">
        <v>87934.08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</v>
      </c>
      <c r="M180" s="470">
        <f t="shared" si="123"/>
        <v>467048.384</v>
      </c>
      <c r="N180" s="470">
        <f t="shared" si="124"/>
        <v>554982.464</v>
      </c>
      <c r="O180" s="470">
        <f t="shared" si="125"/>
        <v>868193.536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40229.0304</v>
      </c>
      <c r="S180" s="470">
        <f t="shared" si="129"/>
        <v>0</v>
      </c>
      <c r="T180" s="470">
        <f t="shared" si="130"/>
        <v>0</v>
      </c>
      <c r="V180" s="470">
        <f t="shared" si="135"/>
        <v>94229.0304</v>
      </c>
      <c r="W180" s="471">
        <v>12</v>
      </c>
      <c r="X180" s="470">
        <f t="shared" si="131"/>
        <v>7852.4192</v>
      </c>
      <c r="Z180" s="472">
        <f t="shared" si="132"/>
        <v>7852.4192</v>
      </c>
      <c r="AA180" s="473">
        <v>4227.52372266667</v>
      </c>
      <c r="AB180" s="473">
        <f t="shared" si="134"/>
        <v>3624.89547733333</v>
      </c>
    </row>
    <row r="181" ht="18" spans="2:28">
      <c r="B181" s="18" t="s">
        <v>358</v>
      </c>
      <c r="C181" s="473">
        <v>116050.25</v>
      </c>
      <c r="D181" s="469">
        <v>12</v>
      </c>
      <c r="E181" s="470">
        <f t="shared" si="133"/>
        <v>1392603</v>
      </c>
      <c r="G181" s="474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</v>
      </c>
      <c r="M181" s="470">
        <f t="shared" si="123"/>
        <v>461422.952</v>
      </c>
      <c r="N181" s="470">
        <f t="shared" si="124"/>
        <v>546911.192</v>
      </c>
      <c r="O181" s="470">
        <f t="shared" si="125"/>
        <v>845691.808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36853.7712</v>
      </c>
      <c r="S181" s="470">
        <f t="shared" si="129"/>
        <v>0</v>
      </c>
      <c r="T181" s="470">
        <f t="shared" si="130"/>
        <v>0</v>
      </c>
      <c r="V181" s="470">
        <f t="shared" si="135"/>
        <v>90853.7712</v>
      </c>
      <c r="W181" s="471">
        <v>12</v>
      </c>
      <c r="X181" s="470">
        <f t="shared" si="131"/>
        <v>7571.1476</v>
      </c>
      <c r="Z181" s="472">
        <f t="shared" si="132"/>
        <v>7571.1476</v>
      </c>
      <c r="AA181" s="473">
        <v>4089.71669066667</v>
      </c>
      <c r="AB181" s="473">
        <f t="shared" si="134"/>
        <v>3481.43090933333</v>
      </c>
    </row>
    <row r="182" ht="18" spans="2:28">
      <c r="B182" s="18" t="s">
        <v>392</v>
      </c>
      <c r="C182" s="473">
        <v>102926.916666667</v>
      </c>
      <c r="D182" s="469">
        <v>12</v>
      </c>
      <c r="E182" s="470">
        <f t="shared" si="133"/>
        <v>1235123</v>
      </c>
      <c r="G182" s="474">
        <v>77689.84</v>
      </c>
      <c r="I182" s="470">
        <f t="shared" si="121"/>
        <v>1157433.16</v>
      </c>
      <c r="J182" s="470">
        <v>200000</v>
      </c>
      <c r="K182" s="470">
        <v>0.2</v>
      </c>
      <c r="L182" s="470">
        <f t="shared" si="122"/>
        <v>231486.632000001</v>
      </c>
      <c r="M182" s="470">
        <f t="shared" si="123"/>
        <v>431486.632000001</v>
      </c>
      <c r="N182" s="470">
        <f t="shared" si="124"/>
        <v>509176.472000001</v>
      </c>
      <c r="O182" s="470">
        <f t="shared" si="125"/>
        <v>725946.528000003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72891.9792000005</v>
      </c>
      <c r="W182" s="471">
        <v>12</v>
      </c>
      <c r="X182" s="470">
        <f t="shared" si="131"/>
        <v>6074.33160000004</v>
      </c>
      <c r="Z182" s="472">
        <f t="shared" si="132"/>
        <v>6074.33160000004</v>
      </c>
      <c r="AA182" s="473">
        <v>3210.15440486667</v>
      </c>
      <c r="AB182" s="473">
        <f t="shared" si="134"/>
        <v>2864.17719513337</v>
      </c>
    </row>
    <row r="183" ht="18" spans="2:28">
      <c r="B183" s="18" t="s">
        <v>396</v>
      </c>
      <c r="C183" s="473">
        <v>95540.75</v>
      </c>
      <c r="D183" s="469">
        <v>12</v>
      </c>
      <c r="E183" s="470">
        <f t="shared" si="133"/>
        <v>1146489</v>
      </c>
      <c r="G183" s="474">
        <f>6123.26*12</f>
        <v>73479.12</v>
      </c>
      <c r="I183" s="470">
        <f t="shared" si="121"/>
        <v>1073009.88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</v>
      </c>
      <c r="N183" s="470">
        <f t="shared" si="124"/>
        <v>488081.096</v>
      </c>
      <c r="O183" s="470">
        <f t="shared" si="125"/>
        <v>658407.904</v>
      </c>
      <c r="P183" s="470">
        <f t="shared" si="126"/>
        <v>21000</v>
      </c>
      <c r="Q183" s="470">
        <f t="shared" si="127"/>
        <v>33000</v>
      </c>
      <c r="R183" s="470">
        <f t="shared" si="128"/>
        <v>8761.1856</v>
      </c>
      <c r="S183" s="470">
        <f t="shared" si="129"/>
        <v>0</v>
      </c>
      <c r="T183" s="470">
        <f t="shared" si="130"/>
        <v>0</v>
      </c>
      <c r="V183" s="470">
        <f t="shared" si="135"/>
        <v>62761.1856</v>
      </c>
      <c r="W183" s="471">
        <v>12</v>
      </c>
      <c r="X183" s="470">
        <f t="shared" si="131"/>
        <v>5230.0988</v>
      </c>
      <c r="Z183" s="472">
        <f t="shared" si="132"/>
        <v>5230.0988</v>
      </c>
      <c r="AA183" s="473">
        <v>2708.91364066667</v>
      </c>
      <c r="AB183" s="473">
        <f t="shared" si="134"/>
        <v>2521.18515933333</v>
      </c>
    </row>
    <row r="184" ht="18" spans="2:28">
      <c r="B184" s="18" t="s">
        <v>399</v>
      </c>
      <c r="C184" s="473">
        <v>95540.75</v>
      </c>
      <c r="D184" s="469">
        <v>12</v>
      </c>
      <c r="E184" s="470">
        <f t="shared" si="133"/>
        <v>1146489</v>
      </c>
      <c r="G184" s="474">
        <f t="shared" ref="G184:G185" si="136">6123.26*12</f>
        <v>73479.12</v>
      </c>
      <c r="I184" s="470">
        <f t="shared" si="121"/>
        <v>1073009.88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</v>
      </c>
      <c r="N184" s="470">
        <f t="shared" si="124"/>
        <v>488081.096</v>
      </c>
      <c r="O184" s="470">
        <f t="shared" si="125"/>
        <v>658407.904</v>
      </c>
      <c r="P184" s="470">
        <f t="shared" si="126"/>
        <v>21000</v>
      </c>
      <c r="Q184" s="470">
        <f t="shared" si="127"/>
        <v>33000</v>
      </c>
      <c r="R184" s="470">
        <f t="shared" si="128"/>
        <v>8761.1856</v>
      </c>
      <c r="S184" s="470">
        <f t="shared" si="129"/>
        <v>0</v>
      </c>
      <c r="T184" s="470">
        <f t="shared" si="130"/>
        <v>0</v>
      </c>
      <c r="V184" s="470">
        <f t="shared" si="135"/>
        <v>62761.1856</v>
      </c>
      <c r="W184" s="471">
        <v>12</v>
      </c>
      <c r="X184" s="470">
        <f t="shared" si="131"/>
        <v>5230.0988</v>
      </c>
      <c r="Z184" s="472">
        <f t="shared" si="132"/>
        <v>5230.0988</v>
      </c>
      <c r="AA184" s="473">
        <v>2708.91364066667</v>
      </c>
      <c r="AB184" s="473">
        <f t="shared" si="134"/>
        <v>2521.18515933333</v>
      </c>
    </row>
    <row r="185" ht="18" spans="2:28">
      <c r="B185" s="18" t="s">
        <v>400</v>
      </c>
      <c r="C185" s="473">
        <v>95540.75</v>
      </c>
      <c r="D185" s="469">
        <v>12</v>
      </c>
      <c r="E185" s="470">
        <f t="shared" si="133"/>
        <v>1146489</v>
      </c>
      <c r="G185" s="474">
        <f t="shared" si="136"/>
        <v>73479.12</v>
      </c>
      <c r="I185" s="470">
        <f t="shared" si="121"/>
        <v>1073009.88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</v>
      </c>
      <c r="N185" s="470">
        <f t="shared" si="124"/>
        <v>488081.096</v>
      </c>
      <c r="O185" s="470">
        <f t="shared" si="125"/>
        <v>658407.904</v>
      </c>
      <c r="P185" s="470">
        <f t="shared" si="126"/>
        <v>21000</v>
      </c>
      <c r="Q185" s="470">
        <f t="shared" si="127"/>
        <v>33000</v>
      </c>
      <c r="R185" s="470">
        <f t="shared" si="128"/>
        <v>8761.1856</v>
      </c>
      <c r="S185" s="470">
        <f t="shared" si="129"/>
        <v>0</v>
      </c>
      <c r="T185" s="470">
        <f t="shared" si="130"/>
        <v>0</v>
      </c>
      <c r="V185" s="470">
        <f t="shared" si="135"/>
        <v>62761.1856</v>
      </c>
      <c r="W185" s="471">
        <v>12</v>
      </c>
      <c r="X185" s="470">
        <f t="shared" si="131"/>
        <v>5230.0988</v>
      </c>
      <c r="Z185" s="472">
        <f t="shared" si="132"/>
        <v>5230.0988</v>
      </c>
      <c r="AA185" s="473">
        <v>2708.91364066667</v>
      </c>
      <c r="AB185" s="473">
        <f t="shared" si="134"/>
        <v>2521.18515933333</v>
      </c>
    </row>
    <row r="186" ht="18" spans="2:28">
      <c r="B186" s="484" t="s">
        <v>401</v>
      </c>
      <c r="C186" s="473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70">
        <v>200000</v>
      </c>
      <c r="K186" s="470">
        <v>0.2</v>
      </c>
      <c r="L186" s="470">
        <f t="shared" si="122"/>
        <v>243797.52</v>
      </c>
      <c r="M186" s="470">
        <f t="shared" si="123"/>
        <v>443797.52</v>
      </c>
      <c r="N186" s="470">
        <f t="shared" si="124"/>
        <v>526839.92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26278.512</v>
      </c>
      <c r="S186" s="470">
        <f t="shared" si="129"/>
        <v>0</v>
      </c>
      <c r="T186" s="470">
        <f t="shared" si="130"/>
        <v>0</v>
      </c>
      <c r="V186" s="470">
        <f t="shared" si="135"/>
        <v>80278.512</v>
      </c>
      <c r="W186" s="471">
        <v>12</v>
      </c>
      <c r="X186" s="470">
        <f t="shared" si="131"/>
        <v>6689.876</v>
      </c>
      <c r="Z186" s="472">
        <f t="shared" si="132"/>
        <v>6689.876</v>
      </c>
      <c r="AA186" s="473">
        <v>3511.79662266667</v>
      </c>
      <c r="AB186" s="473">
        <f t="shared" si="134"/>
        <v>3178.07937733333</v>
      </c>
    </row>
    <row r="187" ht="18" spans="2:28">
      <c r="B187" s="484" t="s">
        <v>404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490">
        <v>12</v>
      </c>
      <c r="X187" s="486">
        <f t="shared" si="131"/>
        <v>6689.876</v>
      </c>
      <c r="Z187" s="491">
        <f t="shared" si="132"/>
        <v>6689.876</v>
      </c>
      <c r="AA187" s="473">
        <v>3511.79662266667</v>
      </c>
      <c r="AB187" s="473">
        <f t="shared" si="134"/>
        <v>3178.07937733333</v>
      </c>
    </row>
    <row r="188" ht="35.25" customHeight="1" spans="2:28">
      <c r="B188" s="492" t="s">
        <v>1011</v>
      </c>
      <c r="C188" s="493">
        <f>SUM(C6:C187)</f>
        <v>79212127.886105</v>
      </c>
      <c r="D188" s="494"/>
      <c r="E188" s="495"/>
      <c r="F188" s="496">
        <f>SUM(F6:F187)</f>
        <v>276375.747</v>
      </c>
      <c r="G188" s="496">
        <f>SUM(G6:G187)</f>
        <v>54773768.88</v>
      </c>
      <c r="H188" s="497"/>
      <c r="I188" s="497"/>
      <c r="J188" s="497"/>
      <c r="K188" s="497"/>
      <c r="L188" s="497"/>
      <c r="M188" s="497"/>
      <c r="N188" s="497"/>
      <c r="O188" s="497"/>
      <c r="P188" s="497"/>
      <c r="Q188" s="497"/>
      <c r="R188" s="497"/>
      <c r="S188" s="497"/>
      <c r="T188" s="497"/>
      <c r="U188" s="497"/>
      <c r="V188" s="496">
        <f>SUM(V6:V187)</f>
        <v>135631933.582434</v>
      </c>
      <c r="W188" s="496"/>
      <c r="X188" s="496">
        <f t="shared" ref="X188" si="137">SUM(X6:X187)</f>
        <v>11302661.1318695</v>
      </c>
      <c r="Y188" s="496"/>
      <c r="Z188" s="496">
        <f t="shared" ref="Z188" si="138">SUM(Z6:Z187)</f>
        <v>11302661.1318695</v>
      </c>
      <c r="AA188" s="497"/>
      <c r="AB188" s="497"/>
    </row>
    <row r="189" ht="26.25" customHeight="1" spans="2:28">
      <c r="B189" s="498" t="s">
        <v>1012</v>
      </c>
      <c r="C189" s="493"/>
      <c r="D189" s="494"/>
      <c r="E189" s="494"/>
      <c r="F189" s="499">
        <f>F188/12</f>
        <v>23031.31225</v>
      </c>
      <c r="G189" s="499">
        <f>G188/12</f>
        <v>4564480.74</v>
      </c>
      <c r="H189" s="497"/>
      <c r="I189" s="497"/>
      <c r="J189" s="497"/>
      <c r="K189" s="497"/>
      <c r="L189" s="497"/>
      <c r="M189" s="497"/>
      <c r="N189" s="497"/>
      <c r="O189" s="497"/>
      <c r="P189" s="497"/>
      <c r="Q189" s="497"/>
      <c r="R189" s="497"/>
      <c r="S189" s="497"/>
      <c r="T189" s="497"/>
      <c r="U189" s="497"/>
      <c r="V189" s="499">
        <f>V188/12</f>
        <v>11302661.1318695</v>
      </c>
      <c r="W189" s="494"/>
      <c r="X189" s="494"/>
      <c r="Y189" s="494"/>
      <c r="Z189" s="494"/>
      <c r="AA189" s="497"/>
      <c r="AB189" s="497"/>
    </row>
    <row r="190" ht="17.5" spans="2:28">
      <c r="B190" s="33"/>
      <c r="C190" s="473"/>
      <c r="F190" s="500"/>
    </row>
    <row r="191" ht="13" spans="2:28">
      <c r="F191" s="501"/>
      <c r="Z191" s="496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</row>
    <row r="2" ht="20.25" customHeight="1" spans="1:7">
      <c r="A2" s="75" t="s">
        <v>1160</v>
      </c>
      <c r="B2" s="75"/>
      <c r="C2" s="75"/>
      <c r="D2" s="75"/>
      <c r="E2" s="75"/>
      <c r="F2" s="75"/>
    </row>
    <row r="3" ht="9.75" customHeight="1" spans="1:7">
      <c r="A3" s="75"/>
      <c r="B3" s="75"/>
      <c r="C3" s="75"/>
      <c r="D3" s="75"/>
      <c r="E3" s="75"/>
      <c r="F3" s="75"/>
    </row>
    <row r="4" ht="13.5" customHeight="1" spans="1:7">
      <c r="E4" s="217"/>
      <c r="F4" s="217"/>
    </row>
    <row r="5" ht="52.5" customHeight="1" spans="1:7">
      <c r="A5" s="4"/>
      <c r="B5" s="5" t="s">
        <v>2</v>
      </c>
      <c r="C5" s="6" t="s">
        <v>3</v>
      </c>
      <c r="D5" s="7" t="s">
        <v>4</v>
      </c>
      <c r="E5" s="218" t="s">
        <v>1161</v>
      </c>
      <c r="F5" s="218" t="s">
        <v>17</v>
      </c>
    </row>
    <row r="6" ht="17.25" customHeight="1" spans="1:7">
      <c r="C6" s="8"/>
      <c r="D6" s="8"/>
      <c r="E6" s="82" t="s">
        <v>21</v>
      </c>
      <c r="F6" s="82" t="s">
        <v>21</v>
      </c>
    </row>
    <row r="7" ht="20.1" customHeight="1" spans="1:7">
      <c r="A7" s="9" t="s">
        <v>22</v>
      </c>
      <c r="B7" s="8" t="s">
        <v>23</v>
      </c>
      <c r="C7" s="8"/>
      <c r="D7" s="8"/>
      <c r="E7" s="82"/>
      <c r="F7" s="21"/>
    </row>
    <row r="8" ht="20.1" customHeight="1" spans="1: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300</v>
      </c>
      <c r="C12" s="4" t="s">
        <v>1130</v>
      </c>
      <c r="D12" s="10" t="s">
        <v>29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908</v>
      </c>
      <c r="C13" s="10" t="s">
        <v>909</v>
      </c>
      <c r="D13" s="10" t="s">
        <v>29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34</v>
      </c>
      <c r="C14" s="12" t="s">
        <v>910</v>
      </c>
      <c r="D14" s="15" t="s">
        <v>39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37</v>
      </c>
      <c r="C15" s="4" t="s">
        <v>38</v>
      </c>
      <c r="D15" s="10" t="s">
        <v>42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40</v>
      </c>
      <c r="C16" s="4" t="s">
        <v>643</v>
      </c>
      <c r="D16" s="15" t="s">
        <v>192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43</v>
      </c>
      <c r="C17" s="17" t="s">
        <v>52</v>
      </c>
      <c r="D17" s="15" t="s">
        <v>47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45</v>
      </c>
      <c r="C18" s="4" t="s">
        <v>46</v>
      </c>
      <c r="D18" s="10" t="s">
        <v>53</v>
      </c>
      <c r="E18" s="85">
        <v>442746.5</v>
      </c>
      <c r="F18" s="85">
        <f t="shared" si="0"/>
        <v>35419.72</v>
      </c>
      <c r="G18" s="13"/>
    </row>
    <row r="19" ht="20.1" customHeight="1" spans="1:7">
      <c r="A19" s="10">
        <v>12</v>
      </c>
      <c r="B19" s="11" t="s">
        <v>48</v>
      </c>
      <c r="C19" s="4" t="s">
        <v>911</v>
      </c>
      <c r="D19" s="10" t="s">
        <v>56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51</v>
      </c>
      <c r="C20" s="12" t="s">
        <v>61</v>
      </c>
      <c r="D20" s="15" t="s">
        <v>601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54</v>
      </c>
      <c r="C21" s="4" t="s">
        <v>1131</v>
      </c>
      <c r="D21" s="15" t="s">
        <v>59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65</v>
      </c>
      <c r="C22" s="12" t="s">
        <v>178</v>
      </c>
      <c r="D22" s="15" t="s">
        <v>70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68</v>
      </c>
      <c r="C23" s="17" t="s">
        <v>1132</v>
      </c>
      <c r="D23" s="10" t="s">
        <v>180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71</v>
      </c>
      <c r="C24" s="17" t="s">
        <v>72</v>
      </c>
      <c r="D24" s="15" t="s">
        <v>180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73</v>
      </c>
      <c r="C25" s="17" t="s">
        <v>74</v>
      </c>
      <c r="D25" s="10" t="s">
        <v>81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478</v>
      </c>
      <c r="C26" s="4" t="s">
        <v>94</v>
      </c>
      <c r="D26" s="10" t="s">
        <v>86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79</v>
      </c>
      <c r="C27" s="12" t="s">
        <v>94</v>
      </c>
      <c r="D27" s="15" t="s">
        <v>86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82</v>
      </c>
      <c r="C28" s="17" t="s">
        <v>69</v>
      </c>
      <c r="D28" s="10" t="s">
        <v>86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84</v>
      </c>
      <c r="C29" s="12" t="s">
        <v>85</v>
      </c>
      <c r="D29" s="15" t="s">
        <v>99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87</v>
      </c>
      <c r="C30" s="4" t="s">
        <v>88</v>
      </c>
      <c r="D30" s="10" t="s">
        <v>225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89</v>
      </c>
      <c r="C31" s="4" t="s">
        <v>88</v>
      </c>
      <c r="D31" s="10" t="s">
        <v>225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91</v>
      </c>
      <c r="C32" s="17" t="s">
        <v>646</v>
      </c>
      <c r="D32" s="15" t="s">
        <v>86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95</v>
      </c>
      <c r="C33" s="4" t="s">
        <v>647</v>
      </c>
      <c r="D33" s="10" t="s">
        <v>108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103</v>
      </c>
      <c r="C34" s="12" t="s">
        <v>104</v>
      </c>
      <c r="D34" s="15" t="s">
        <v>111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120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121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122</v>
      </c>
      <c r="C38" s="4" t="s">
        <v>123</v>
      </c>
      <c r="D38" s="10" t="s">
        <v>124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127</v>
      </c>
      <c r="C39" s="4" t="s">
        <v>1133</v>
      </c>
      <c r="D39" s="10" t="s">
        <v>81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129</v>
      </c>
      <c r="C40" s="12" t="s">
        <v>1134</v>
      </c>
      <c r="D40" s="15" t="s">
        <v>75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137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912</v>
      </c>
      <c r="C44" s="4" t="s">
        <v>913</v>
      </c>
      <c r="D44" s="10" t="s">
        <v>124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914</v>
      </c>
      <c r="C45" s="4" t="s">
        <v>44</v>
      </c>
      <c r="D45" s="10" t="s">
        <v>39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138</v>
      </c>
      <c r="C46" s="4" t="s">
        <v>648</v>
      </c>
      <c r="D46" s="10" t="s">
        <v>210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141</v>
      </c>
      <c r="C47" s="4" t="s">
        <v>145</v>
      </c>
      <c r="D47" s="10" t="s">
        <v>39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144</v>
      </c>
      <c r="C48" s="4" t="s">
        <v>145</v>
      </c>
      <c r="D48" s="10" t="s">
        <v>39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146</v>
      </c>
      <c r="C49" s="4" t="s">
        <v>145</v>
      </c>
      <c r="D49" s="10" t="s">
        <v>42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147</v>
      </c>
      <c r="C50" s="4" t="s">
        <v>52</v>
      </c>
      <c r="D50" s="16" t="s">
        <v>47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151</v>
      </c>
      <c r="C51" s="4" t="s">
        <v>152</v>
      </c>
      <c r="D51" s="10" t="s">
        <v>75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155</v>
      </c>
      <c r="C52" s="4" t="s">
        <v>152</v>
      </c>
      <c r="D52" s="10" t="s">
        <v>99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915</v>
      </c>
      <c r="C53" s="4" t="s">
        <v>152</v>
      </c>
      <c r="D53" s="10" t="s">
        <v>99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157</v>
      </c>
      <c r="C54" s="4" t="s">
        <v>152</v>
      </c>
      <c r="D54" s="10" t="s">
        <v>99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120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56"/>
      <c r="F56" s="156"/>
      <c r="G56" s="13"/>
    </row>
    <row r="57" ht="20.1" customHeight="1" spans="1:7">
      <c r="A57" s="10"/>
      <c r="B57" s="20" t="s">
        <v>159</v>
      </c>
      <c r="C57" s="21"/>
      <c r="D57" s="21"/>
      <c r="E57" s="156"/>
      <c r="F57" s="156"/>
      <c r="G57" s="13"/>
    </row>
    <row r="58" ht="20.1" customHeight="1" spans="1:7">
      <c r="A58" s="10">
        <v>1</v>
      </c>
      <c r="B58" s="11" t="s">
        <v>916</v>
      </c>
      <c r="C58" s="12" t="s">
        <v>161</v>
      </c>
      <c r="D58" s="15" t="s">
        <v>124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162</v>
      </c>
      <c r="C59" s="12" t="s">
        <v>485</v>
      </c>
      <c r="D59" s="15" t="s">
        <v>486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120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56"/>
      <c r="F61" s="156"/>
      <c r="G61" s="13"/>
    </row>
    <row r="62" ht="20.1" customHeight="1" spans="1:7">
      <c r="A62" s="10"/>
      <c r="B62" s="20" t="s">
        <v>164</v>
      </c>
      <c r="C62" s="21"/>
      <c r="D62" s="21"/>
      <c r="E62" s="156"/>
      <c r="F62" s="156"/>
      <c r="G62" s="13"/>
    </row>
    <row r="63" ht="20.1" customHeight="1" spans="1:7">
      <c r="A63" s="10">
        <v>1</v>
      </c>
      <c r="B63" s="11" t="s">
        <v>917</v>
      </c>
      <c r="C63" s="17" t="s">
        <v>918</v>
      </c>
      <c r="D63" s="10" t="s">
        <v>124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919</v>
      </c>
      <c r="C64" s="17" t="s">
        <v>920</v>
      </c>
      <c r="D64" s="15" t="s">
        <v>50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167</v>
      </c>
      <c r="C65" s="4" t="s">
        <v>52</v>
      </c>
      <c r="D65" s="10" t="s">
        <v>53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921</v>
      </c>
      <c r="C66" s="17" t="s">
        <v>217</v>
      </c>
      <c r="D66" s="15" t="s">
        <v>601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922</v>
      </c>
      <c r="C67" s="17" t="s">
        <v>52</v>
      </c>
      <c r="D67" s="15" t="s">
        <v>192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171</v>
      </c>
      <c r="C68" s="4" t="s">
        <v>152</v>
      </c>
      <c r="D68" s="10" t="s">
        <v>131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172</v>
      </c>
      <c r="C69" s="17" t="s">
        <v>72</v>
      </c>
      <c r="D69" s="10" t="s">
        <v>131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174</v>
      </c>
      <c r="C70" s="17" t="s">
        <v>72</v>
      </c>
      <c r="D70" s="10" t="s">
        <v>131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175</v>
      </c>
      <c r="C71" s="4" t="s">
        <v>649</v>
      </c>
      <c r="D71" s="10" t="s">
        <v>70</v>
      </c>
      <c r="E71" s="457">
        <v>377895.166666667</v>
      </c>
      <c r="F71" s="85">
        <f t="shared" si="7"/>
        <v>30231.6133333334</v>
      </c>
      <c r="G71" s="13"/>
    </row>
    <row r="72" ht="21.6" customHeight="1" spans="1:7">
      <c r="A72" s="10">
        <v>11</v>
      </c>
      <c r="B72" s="11" t="s">
        <v>179</v>
      </c>
      <c r="C72" s="4" t="s">
        <v>152</v>
      </c>
      <c r="D72" s="10" t="s">
        <v>75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120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56"/>
      <c r="F74" s="156"/>
      <c r="G74" s="13"/>
    </row>
    <row r="75" ht="20.1" customHeight="1" spans="1:7">
      <c r="A75" s="10"/>
      <c r="B75" s="20" t="s">
        <v>183</v>
      </c>
      <c r="C75" s="21"/>
      <c r="D75" s="21"/>
      <c r="E75" s="156"/>
      <c r="F75" s="156"/>
      <c r="G75" s="13"/>
    </row>
    <row r="76" ht="20.1" customHeight="1" spans="1:7">
      <c r="A76" s="10">
        <v>1</v>
      </c>
      <c r="B76" s="11" t="s">
        <v>184</v>
      </c>
      <c r="C76" s="4" t="s">
        <v>185</v>
      </c>
      <c r="D76" s="10" t="s">
        <v>124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923</v>
      </c>
      <c r="C77" s="4" t="s">
        <v>924</v>
      </c>
      <c r="D77" s="15" t="s">
        <v>925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186</v>
      </c>
      <c r="C78" s="12" t="s">
        <v>926</v>
      </c>
      <c r="D78" s="10" t="s">
        <v>486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190</v>
      </c>
      <c r="C79" s="4" t="s">
        <v>191</v>
      </c>
      <c r="D79" s="15" t="s">
        <v>214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197</v>
      </c>
      <c r="C80" s="4" t="s">
        <v>182</v>
      </c>
      <c r="D80" s="10" t="s">
        <v>78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201</v>
      </c>
      <c r="C81" s="4" t="s">
        <v>182</v>
      </c>
      <c r="D81" s="10" t="s">
        <v>99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203</v>
      </c>
      <c r="C82" s="4" t="s">
        <v>204</v>
      </c>
      <c r="D82" s="10" t="s">
        <v>111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120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56"/>
      <c r="F84" s="156"/>
      <c r="G84" s="13"/>
    </row>
    <row r="85" ht="20.1" customHeight="1" spans="1:7">
      <c r="A85" s="10"/>
      <c r="B85" s="20" t="s">
        <v>205</v>
      </c>
      <c r="C85" s="25"/>
      <c r="D85" s="21"/>
      <c r="E85" s="156"/>
      <c r="F85" s="156"/>
      <c r="G85" s="13"/>
    </row>
    <row r="86" ht="20.1" customHeight="1" spans="1:7">
      <c r="A86" s="10">
        <v>1</v>
      </c>
      <c r="B86" s="11" t="s">
        <v>208</v>
      </c>
      <c r="C86" s="4" t="s">
        <v>145</v>
      </c>
      <c r="D86" s="10" t="s">
        <v>39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206</v>
      </c>
      <c r="C87" s="4" t="s">
        <v>145</v>
      </c>
      <c r="D87" s="10" t="s">
        <v>39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479</v>
      </c>
      <c r="C88" s="4" t="s">
        <v>145</v>
      </c>
      <c r="D88" s="10" t="s">
        <v>42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211</v>
      </c>
      <c r="C89" s="4" t="s">
        <v>927</v>
      </c>
      <c r="D89" s="15" t="s">
        <v>56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212</v>
      </c>
      <c r="C90" s="12" t="s">
        <v>217</v>
      </c>
      <c r="D90" s="15" t="s">
        <v>601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213</v>
      </c>
      <c r="C91" s="12" t="s">
        <v>52</v>
      </c>
      <c r="D91" s="15" t="s">
        <v>600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215</v>
      </c>
      <c r="C92" s="17" t="s">
        <v>72</v>
      </c>
      <c r="D92" s="15" t="s">
        <v>131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216</v>
      </c>
      <c r="C93" s="17" t="s">
        <v>217</v>
      </c>
      <c r="D93" s="15" t="s">
        <v>67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220</v>
      </c>
      <c r="C94" s="4" t="s">
        <v>221</v>
      </c>
      <c r="D94" s="10" t="s">
        <v>75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224</v>
      </c>
      <c r="C95" s="17" t="s">
        <v>505</v>
      </c>
      <c r="D95" s="15" t="s">
        <v>108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120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56"/>
      <c r="F97" s="156"/>
      <c r="G97" s="13"/>
    </row>
    <row r="98" ht="20.1" customHeight="1" spans="1:7">
      <c r="A98" s="10"/>
      <c r="B98" s="20" t="s">
        <v>226</v>
      </c>
      <c r="C98" s="21"/>
      <c r="D98" s="21"/>
      <c r="E98" s="156"/>
      <c r="F98" s="156"/>
      <c r="G98" s="13"/>
    </row>
    <row r="99" ht="20.1" customHeight="1" spans="1:7">
      <c r="A99" s="10">
        <v>1</v>
      </c>
      <c r="B99" s="14" t="s">
        <v>227</v>
      </c>
      <c r="C99" s="4" t="s">
        <v>650</v>
      </c>
      <c r="D99" s="16" t="s">
        <v>36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229</v>
      </c>
      <c r="C100" s="4" t="s">
        <v>230</v>
      </c>
      <c r="D100" s="15" t="s">
        <v>214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235</v>
      </c>
      <c r="C101" s="4" t="s">
        <v>651</v>
      </c>
      <c r="D101" s="15" t="s">
        <v>70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236</v>
      </c>
      <c r="C102" s="4" t="s">
        <v>200</v>
      </c>
      <c r="D102" s="15" t="s">
        <v>75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120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56"/>
      <c r="F104" s="156"/>
      <c r="G104" s="13"/>
    </row>
    <row r="105" ht="20.1" customHeight="1" spans="1:7">
      <c r="A105" s="4"/>
      <c r="B105" s="20" t="s">
        <v>239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652</v>
      </c>
      <c r="C106" s="12" t="s">
        <v>241</v>
      </c>
      <c r="D106" s="15" t="s">
        <v>124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242</v>
      </c>
      <c r="C107" s="4" t="s">
        <v>243</v>
      </c>
      <c r="D107" s="16" t="s">
        <v>36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244</v>
      </c>
      <c r="C108" s="4" t="s">
        <v>653</v>
      </c>
      <c r="D108" s="10" t="s">
        <v>56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246</v>
      </c>
      <c r="C109" s="4" t="s">
        <v>653</v>
      </c>
      <c r="D109" s="10" t="s">
        <v>56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249</v>
      </c>
      <c r="C110" s="4" t="s">
        <v>250</v>
      </c>
      <c r="D110" s="15" t="s">
        <v>928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252</v>
      </c>
      <c r="C111" s="4" t="s">
        <v>250</v>
      </c>
      <c r="D111" s="10" t="s">
        <v>506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253</v>
      </c>
      <c r="C112" s="4" t="s">
        <v>250</v>
      </c>
      <c r="D112" s="15" t="s">
        <v>108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120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257</v>
      </c>
      <c r="C115" s="21"/>
      <c r="D115" s="21"/>
      <c r="E115" s="156"/>
      <c r="F115" s="156"/>
      <c r="G115" s="13"/>
    </row>
    <row r="116" ht="20.1" customHeight="1" spans="1:7">
      <c r="A116" s="10">
        <v>1</v>
      </c>
      <c r="B116" s="14" t="s">
        <v>165</v>
      </c>
      <c r="C116" s="4" t="s">
        <v>145</v>
      </c>
      <c r="D116" s="10" t="s">
        <v>50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259</v>
      </c>
      <c r="C117" s="4" t="s">
        <v>260</v>
      </c>
      <c r="D117" s="15" t="s">
        <v>70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193</v>
      </c>
      <c r="C118" s="12" t="s">
        <v>929</v>
      </c>
      <c r="D118" s="15" t="s">
        <v>173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120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278</v>
      </c>
      <c r="C121" s="21"/>
      <c r="D121" s="21"/>
      <c r="E121" s="156"/>
      <c r="F121" s="156"/>
      <c r="G121" s="13"/>
    </row>
    <row r="122" ht="20.1" customHeight="1" spans="1:7">
      <c r="A122" s="4">
        <v>1</v>
      </c>
      <c r="B122" s="11" t="s">
        <v>279</v>
      </c>
      <c r="C122" s="12" t="s">
        <v>280</v>
      </c>
      <c r="D122" s="15" t="s">
        <v>124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281</v>
      </c>
      <c r="C123" s="12" t="s">
        <v>654</v>
      </c>
      <c r="D123" s="15" t="s">
        <v>210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283</v>
      </c>
      <c r="C124" s="12" t="s">
        <v>655</v>
      </c>
      <c r="D124" s="15" t="s">
        <v>39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930</v>
      </c>
      <c r="C125" s="12" t="s">
        <v>655</v>
      </c>
      <c r="D125" s="15" t="s">
        <v>42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286</v>
      </c>
      <c r="C126" s="12" t="s">
        <v>288</v>
      </c>
      <c r="D126" s="15" t="s">
        <v>47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287</v>
      </c>
      <c r="C127" s="12" t="s">
        <v>656</v>
      </c>
      <c r="D127" s="15" t="s">
        <v>53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289</v>
      </c>
      <c r="C128" s="12" t="s">
        <v>288</v>
      </c>
      <c r="D128" s="15" t="s">
        <v>214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292</v>
      </c>
      <c r="C129" s="12" t="s">
        <v>657</v>
      </c>
      <c r="D129" s="10" t="s">
        <v>86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294</v>
      </c>
      <c r="C130" s="12" t="s">
        <v>295</v>
      </c>
      <c r="D130" s="15" t="s">
        <v>111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296</v>
      </c>
      <c r="C131" s="12" t="s">
        <v>291</v>
      </c>
      <c r="D131" s="15" t="s">
        <v>111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120</v>
      </c>
      <c r="C132" s="26" t="s">
        <v>658</v>
      </c>
      <c r="D132" s="15"/>
      <c r="E132" s="156">
        <f>SUM(E122:E131)</f>
        <v>5466985.16666667</v>
      </c>
      <c r="F132" s="15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56"/>
      <c r="F133" s="156"/>
      <c r="G133" s="13"/>
    </row>
    <row r="134" ht="20.1" customHeight="1" spans="1:7">
      <c r="A134" s="4"/>
      <c r="B134" s="20" t="s">
        <v>299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931</v>
      </c>
      <c r="C135" s="12" t="s">
        <v>932</v>
      </c>
      <c r="D135" s="15" t="s">
        <v>124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933</v>
      </c>
      <c r="C136" s="12" t="s">
        <v>934</v>
      </c>
      <c r="D136" s="15" t="s">
        <v>36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302</v>
      </c>
      <c r="C137" s="4" t="s">
        <v>488</v>
      </c>
      <c r="D137" s="16" t="s">
        <v>36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305</v>
      </c>
      <c r="C138" s="12" t="s">
        <v>935</v>
      </c>
      <c r="D138" s="15" t="s">
        <v>192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307</v>
      </c>
      <c r="C139" s="4" t="s">
        <v>311</v>
      </c>
      <c r="D139" s="15" t="s">
        <v>192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309</v>
      </c>
      <c r="C140" s="4" t="s">
        <v>311</v>
      </c>
      <c r="D140" s="15" t="s">
        <v>192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231</v>
      </c>
      <c r="C141" s="12" t="s">
        <v>936</v>
      </c>
      <c r="D141" s="15" t="s">
        <v>173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312</v>
      </c>
      <c r="C142" s="12" t="s">
        <v>936</v>
      </c>
      <c r="D142" s="15" t="s">
        <v>173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313</v>
      </c>
      <c r="C143" s="4" t="s">
        <v>937</v>
      </c>
      <c r="D143" s="15" t="s">
        <v>173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315</v>
      </c>
      <c r="C144" s="12" t="s">
        <v>660</v>
      </c>
      <c r="D144" s="15" t="s">
        <v>70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317</v>
      </c>
      <c r="C145" s="12" t="s">
        <v>318</v>
      </c>
      <c r="D145" s="15" t="s">
        <v>131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62</v>
      </c>
      <c r="C146" s="12" t="s">
        <v>938</v>
      </c>
      <c r="D146" s="15" t="s">
        <v>173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319</v>
      </c>
      <c r="C147" s="4" t="s">
        <v>320</v>
      </c>
      <c r="D147" s="15" t="s">
        <v>180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321</v>
      </c>
      <c r="C148" s="4" t="s">
        <v>939</v>
      </c>
      <c r="D148" s="15" t="s">
        <v>78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322</v>
      </c>
      <c r="C149" s="4" t="s">
        <v>939</v>
      </c>
      <c r="D149" s="15" t="s">
        <v>153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324</v>
      </c>
      <c r="C150" s="4" t="s">
        <v>939</v>
      </c>
      <c r="D150" s="15" t="s">
        <v>153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325</v>
      </c>
      <c r="C151" s="12" t="s">
        <v>326</v>
      </c>
      <c r="D151" s="15" t="s">
        <v>75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327</v>
      </c>
      <c r="C152" s="12" t="s">
        <v>328</v>
      </c>
      <c r="D152" s="10" t="s">
        <v>99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329</v>
      </c>
      <c r="C153" s="12" t="s">
        <v>661</v>
      </c>
      <c r="D153" s="15" t="s">
        <v>78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331</v>
      </c>
      <c r="C154" s="12" t="s">
        <v>662</v>
      </c>
      <c r="D154" s="15" t="s">
        <v>86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333</v>
      </c>
      <c r="C155" s="12" t="s">
        <v>663</v>
      </c>
      <c r="D155" s="15" t="s">
        <v>78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334</v>
      </c>
      <c r="C156" s="12" t="s">
        <v>664</v>
      </c>
      <c r="D156" s="15" t="s">
        <v>86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336</v>
      </c>
      <c r="C157" s="12" t="s">
        <v>337</v>
      </c>
      <c r="D157" s="15" t="s">
        <v>225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343</v>
      </c>
      <c r="C158" s="12" t="s">
        <v>344</v>
      </c>
      <c r="D158" s="15" t="s">
        <v>111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345</v>
      </c>
      <c r="C159" s="12" t="s">
        <v>346</v>
      </c>
      <c r="D159" s="15" t="s">
        <v>111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347</v>
      </c>
      <c r="C160" s="12" t="s">
        <v>348</v>
      </c>
      <c r="D160" s="15" t="s">
        <v>111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349</v>
      </c>
      <c r="C161" s="12" t="s">
        <v>665</v>
      </c>
      <c r="D161" s="15" t="s">
        <v>108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350</v>
      </c>
      <c r="C162" s="12" t="s">
        <v>346</v>
      </c>
      <c r="D162" s="15" t="s">
        <v>111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359</v>
      </c>
      <c r="C163" s="12" t="s">
        <v>512</v>
      </c>
      <c r="D163" s="15" t="s">
        <v>384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362</v>
      </c>
      <c r="C164" s="12" t="s">
        <v>512</v>
      </c>
      <c r="D164" s="15" t="s">
        <v>384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666</v>
      </c>
      <c r="C165" s="12" t="s">
        <v>512</v>
      </c>
      <c r="D165" s="15" t="s">
        <v>384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363</v>
      </c>
      <c r="C166" s="12" t="s">
        <v>512</v>
      </c>
      <c r="D166" s="15" t="s">
        <v>384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364</v>
      </c>
      <c r="C167" s="12" t="s">
        <v>512</v>
      </c>
      <c r="D167" s="15" t="s">
        <v>384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365</v>
      </c>
      <c r="C168" s="12" t="s">
        <v>512</v>
      </c>
      <c r="D168" s="15" t="s">
        <v>377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367</v>
      </c>
      <c r="C169" s="12" t="s">
        <v>512</v>
      </c>
      <c r="D169" s="15" t="s">
        <v>377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368</v>
      </c>
      <c r="C170" s="12" t="s">
        <v>512</v>
      </c>
      <c r="D170" s="15" t="s">
        <v>377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369</v>
      </c>
      <c r="C171" s="12" t="s">
        <v>512</v>
      </c>
      <c r="D171" s="15" t="s">
        <v>377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370</v>
      </c>
      <c r="C172" s="12" t="s">
        <v>512</v>
      </c>
      <c r="D172" s="15" t="s">
        <v>377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357</v>
      </c>
      <c r="C173" s="12" t="s">
        <v>512</v>
      </c>
      <c r="D173" s="15" t="s">
        <v>377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371</v>
      </c>
      <c r="C174" s="12" t="s">
        <v>360</v>
      </c>
      <c r="D174" s="15" t="s">
        <v>607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373</v>
      </c>
      <c r="C175" s="12" t="s">
        <v>360</v>
      </c>
      <c r="D175" s="15" t="s">
        <v>607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374</v>
      </c>
      <c r="C176" s="12" t="s">
        <v>360</v>
      </c>
      <c r="D176" s="15" t="s">
        <v>606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376</v>
      </c>
      <c r="C177" s="12" t="s">
        <v>387</v>
      </c>
      <c r="D177" s="15" t="s">
        <v>608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378</v>
      </c>
      <c r="C178" s="12" t="s">
        <v>514</v>
      </c>
      <c r="D178" s="15" t="s">
        <v>669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379</v>
      </c>
      <c r="C179" s="12" t="s">
        <v>514</v>
      </c>
      <c r="D179" s="15" t="s">
        <v>669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380</v>
      </c>
      <c r="C180" s="12" t="s">
        <v>514</v>
      </c>
      <c r="D180" s="15" t="s">
        <v>669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381</v>
      </c>
      <c r="C181" s="12" t="s">
        <v>514</v>
      </c>
      <c r="D181" s="15" t="s">
        <v>669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382</v>
      </c>
      <c r="C182" s="12" t="s">
        <v>514</v>
      </c>
      <c r="D182" s="15" t="s">
        <v>669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383</v>
      </c>
      <c r="C183" s="12" t="s">
        <v>514</v>
      </c>
      <c r="D183" s="15" t="s">
        <v>669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385</v>
      </c>
      <c r="C184" s="12" t="s">
        <v>514</v>
      </c>
      <c r="D184" s="15" t="s">
        <v>669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668</v>
      </c>
      <c r="C185" s="12" t="s">
        <v>387</v>
      </c>
      <c r="D185" s="15" t="s">
        <v>669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386</v>
      </c>
      <c r="C186" s="12" t="s">
        <v>387</v>
      </c>
      <c r="D186" s="15" t="s">
        <v>669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358</v>
      </c>
      <c r="C187" s="12" t="s">
        <v>390</v>
      </c>
      <c r="D187" s="15" t="s">
        <v>391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392</v>
      </c>
      <c r="C188" s="12" t="s">
        <v>514</v>
      </c>
      <c r="D188" s="15" t="s">
        <v>398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396</v>
      </c>
      <c r="C189" s="12" t="s">
        <v>397</v>
      </c>
      <c r="D189" s="15" t="s">
        <v>940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399</v>
      </c>
      <c r="C190" s="12" t="s">
        <v>397</v>
      </c>
      <c r="D190" s="15" t="s">
        <v>940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400</v>
      </c>
      <c r="C191" s="12" t="s">
        <v>397</v>
      </c>
      <c r="D191" s="15" t="s">
        <v>940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401</v>
      </c>
      <c r="C192" s="12" t="s">
        <v>402</v>
      </c>
      <c r="D192" s="15" t="s">
        <v>393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404</v>
      </c>
      <c r="C193" s="12" t="s">
        <v>402</v>
      </c>
      <c r="D193" s="15" t="s">
        <v>393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120</v>
      </c>
      <c r="C194" s="28" t="s">
        <v>941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406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1:7">
      <c r="B196" s="33"/>
      <c r="D196" s="34"/>
      <c r="E196" s="34"/>
      <c r="F196" s="34"/>
      <c r="G196" s="35"/>
    </row>
    <row r="197" ht="36.75" customHeight="1" spans="1:7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1162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523</v>
      </c>
      <c r="H4" s="24" t="s">
        <v>1163</v>
      </c>
      <c r="I4" s="218" t="s">
        <v>1164</v>
      </c>
      <c r="J4" s="24" t="s">
        <v>1165</v>
      </c>
      <c r="K4" s="24" t="s">
        <v>1166</v>
      </c>
      <c r="L4" s="24" t="s">
        <v>1167</v>
      </c>
      <c r="M4" s="218" t="s">
        <v>7</v>
      </c>
      <c r="N4" s="218" t="s">
        <v>7</v>
      </c>
      <c r="O4" s="24" t="s">
        <v>1168</v>
      </c>
      <c r="P4" s="24" t="s">
        <v>1168</v>
      </c>
      <c r="Q4" s="218" t="s">
        <v>8</v>
      </c>
      <c r="R4" s="327" t="s">
        <v>9</v>
      </c>
      <c r="S4" s="218" t="s">
        <v>10</v>
      </c>
      <c r="T4" s="218" t="s">
        <v>888</v>
      </c>
      <c r="U4" s="218" t="s">
        <v>889</v>
      </c>
      <c r="V4" s="218" t="s">
        <v>15</v>
      </c>
      <c r="W4" s="24" t="s">
        <v>16</v>
      </c>
      <c r="X4" s="347" t="s">
        <v>18</v>
      </c>
      <c r="Y4" s="304" t="s">
        <v>776</v>
      </c>
    </row>
    <row r="5" ht="18" spans="1:25">
      <c r="A5" s="1"/>
      <c r="B5" s="1"/>
      <c r="C5" s="8"/>
      <c r="D5" s="8"/>
      <c r="E5" s="82" t="s">
        <v>21</v>
      </c>
      <c r="F5" s="21"/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  <c r="R5" s="305" t="s">
        <v>21</v>
      </c>
      <c r="S5" s="82" t="s">
        <v>21</v>
      </c>
      <c r="T5" s="82" t="s">
        <v>21</v>
      </c>
      <c r="U5" s="82" t="s">
        <v>21</v>
      </c>
      <c r="V5" s="82" t="s">
        <v>21</v>
      </c>
      <c r="W5" s="82" t="s">
        <v>21</v>
      </c>
      <c r="X5" s="447" t="s">
        <v>21</v>
      </c>
      <c r="Y5" s="230" t="s">
        <v>21</v>
      </c>
    </row>
    <row r="6" ht="17.5" spans="1:25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5"/>
      <c r="W6" s="8"/>
      <c r="X6" s="305"/>
      <c r="Y6" s="82"/>
    </row>
    <row r="7" ht="18" spans="1:25">
      <c r="A7" s="10">
        <v>1</v>
      </c>
      <c r="B7" s="18" t="s">
        <v>127</v>
      </c>
      <c r="C7" s="4" t="s">
        <v>1137</v>
      </c>
      <c r="D7" s="10" t="s">
        <v>111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46">
        <f t="shared" ref="X7:X8" si="6">S7+T7+U7+V7+W7</f>
        <v>37042.7138666667</v>
      </c>
      <c r="Y7" s="231">
        <f t="shared" ref="Y7:Y8" si="7">R7-X7</f>
        <v>139773.386133333</v>
      </c>
    </row>
    <row r="8" ht="54" spans="1:25">
      <c r="B8" s="22" t="s">
        <v>1169</v>
      </c>
      <c r="C8" s="14" t="s">
        <v>1133</v>
      </c>
      <c r="D8" s="10" t="s">
        <v>81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46">
        <f t="shared" si="6"/>
        <v>25571.82</v>
      </c>
      <c r="Y8" s="231">
        <f t="shared" si="7"/>
        <v>203030.25775</v>
      </c>
    </row>
    <row r="9" ht="17.5" spans="1:25">
      <c r="B9" s="22" t="s">
        <v>1116</v>
      </c>
      <c r="C9" s="448"/>
      <c r="D9" s="21"/>
      <c r="E9" s="156">
        <f>E8-E7</f>
        <v>4554.33</v>
      </c>
      <c r="F9" s="156"/>
      <c r="G9" s="156">
        <f t="shared" si="0"/>
        <v>13662.99</v>
      </c>
      <c r="H9" s="156">
        <f t="shared" si="1"/>
        <v>341.57475</v>
      </c>
      <c r="I9" s="156"/>
      <c r="J9" s="156">
        <f t="shared" si="2"/>
        <v>2277.165</v>
      </c>
      <c r="K9" s="156">
        <f t="shared" si="3"/>
        <v>15940.155</v>
      </c>
      <c r="L9" s="156">
        <f t="shared" si="4"/>
        <v>4554.33</v>
      </c>
      <c r="M9" s="449"/>
      <c r="N9" s="449">
        <f>N8-N7</f>
        <v>10000</v>
      </c>
      <c r="O9" s="156">
        <f t="shared" si="5"/>
        <v>455.433</v>
      </c>
      <c r="P9" s="156">
        <v>0</v>
      </c>
      <c r="Q9" s="156"/>
      <c r="R9" s="311">
        <f>SUM(E9:Q9)</f>
        <v>51785.97775</v>
      </c>
      <c r="S9" s="156"/>
      <c r="T9" s="156"/>
      <c r="U9" s="156"/>
      <c r="V9" s="156"/>
      <c r="W9" s="156">
        <f>W8-W7</f>
        <v>8529.1061333333</v>
      </c>
      <c r="X9" s="450"/>
      <c r="Y9" s="233">
        <f>R9-W9</f>
        <v>43256.8716166667</v>
      </c>
    </row>
    <row r="10" ht="17.5" spans="1:25">
      <c r="W10" s="451"/>
      <c r="X10" s="452" t="s">
        <v>466</v>
      </c>
      <c r="Y10" s="453">
        <f>1+(27/31)</f>
        <v>1.87096774193548</v>
      </c>
    </row>
    <row r="11" ht="17.5" spans="1:25">
      <c r="W11" s="454"/>
      <c r="X11" s="455" t="s">
        <v>1170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10">
      <c r="A1" s="383" t="s">
        <v>1171</v>
      </c>
      <c r="B1" s="384"/>
      <c r="C1" s="383"/>
      <c r="D1" s="383"/>
      <c r="E1" s="385"/>
      <c r="F1" s="385"/>
      <c r="G1" s="386"/>
    </row>
    <row r="2" ht="22" spans="1:10">
      <c r="A2" s="383" t="s">
        <v>1172</v>
      </c>
      <c r="B2" s="383"/>
      <c r="C2" s="383"/>
      <c r="D2" s="383"/>
      <c r="E2" s="385"/>
      <c r="F2" s="385"/>
      <c r="G2" s="386"/>
    </row>
    <row r="3" ht="22" spans="1:10">
      <c r="A3" s="383" t="s">
        <v>1173</v>
      </c>
      <c r="B3" s="383"/>
      <c r="C3" s="383"/>
      <c r="D3" s="383"/>
      <c r="E3" s="385"/>
      <c r="F3" s="385"/>
      <c r="G3" s="386"/>
    </row>
    <row r="4" ht="45" customHeight="1" spans="1:10">
      <c r="A4" s="387" t="s">
        <v>22</v>
      </c>
      <c r="B4" s="388" t="s">
        <v>1174</v>
      </c>
      <c r="C4" s="389" t="s">
        <v>1175</v>
      </c>
      <c r="D4" s="390" t="s">
        <v>1176</v>
      </c>
      <c r="E4" s="390" t="s">
        <v>1177</v>
      </c>
      <c r="F4" s="390" t="s">
        <v>1178</v>
      </c>
      <c r="G4" s="390" t="s">
        <v>1179</v>
      </c>
      <c r="H4" s="391" t="s">
        <v>120</v>
      </c>
    </row>
    <row r="5" ht="16" spans="1:10">
      <c r="A5" s="1204" t="s">
        <v>1180</v>
      </c>
      <c r="B5" s="392" t="s">
        <v>1181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396"/>
    </row>
    <row r="6" ht="16" spans="1:10">
      <c r="A6" s="1204" t="s">
        <v>1182</v>
      </c>
      <c r="B6" s="397" t="s">
        <v>1183</v>
      </c>
      <c r="C6" s="393">
        <v>45323</v>
      </c>
      <c r="D6" s="398">
        <v>250000</v>
      </c>
      <c r="E6" s="398">
        <v>0</v>
      </c>
      <c r="F6" s="398"/>
      <c r="G6" s="395">
        <f>0</f>
        <v>0</v>
      </c>
      <c r="H6" s="395">
        <f t="shared" ref="H6:H69" si="0">D6+E6+F6+G6</f>
        <v>250000</v>
      </c>
      <c r="I6" s="399"/>
    </row>
    <row r="7" ht="16" spans="1:10">
      <c r="A7" s="1204" t="s">
        <v>1184</v>
      </c>
      <c r="B7" s="392" t="s">
        <v>1185</v>
      </c>
      <c r="C7" s="393">
        <v>45323</v>
      </c>
      <c r="D7" s="398">
        <f>0</f>
        <v>0</v>
      </c>
      <c r="E7" s="398">
        <v>0</v>
      </c>
      <c r="F7" s="398">
        <v>0</v>
      </c>
      <c r="G7" s="398">
        <f>0</f>
        <v>0</v>
      </c>
      <c r="H7" s="395">
        <f t="shared" si="0"/>
        <v>0</v>
      </c>
      <c r="I7" s="396"/>
    </row>
    <row r="8" ht="16" spans="1:10">
      <c r="A8" s="1204" t="s">
        <v>1186</v>
      </c>
      <c r="B8" s="392" t="s">
        <v>1187</v>
      </c>
      <c r="C8" s="393">
        <v>45323</v>
      </c>
      <c r="D8" s="398">
        <v>200000</v>
      </c>
      <c r="E8" s="398">
        <v>0</v>
      </c>
      <c r="F8" s="398">
        <v>0</v>
      </c>
      <c r="G8" s="398">
        <f>327777.78</f>
        <v>327777.78</v>
      </c>
      <c r="H8" s="395">
        <f t="shared" si="0"/>
        <v>527777.78</v>
      </c>
      <c r="I8" s="399"/>
    </row>
    <row r="9" ht="16" spans="1:10">
      <c r="A9" s="1204" t="s">
        <v>1188</v>
      </c>
      <c r="B9" s="392" t="s">
        <v>1189</v>
      </c>
      <c r="C9" s="393">
        <v>45323</v>
      </c>
      <c r="D9" s="398">
        <f>0</f>
        <v>0</v>
      </c>
      <c r="E9" s="398"/>
      <c r="F9" s="398"/>
      <c r="G9" s="398">
        <f>0</f>
        <v>0</v>
      </c>
      <c r="H9" s="395">
        <f t="shared" si="0"/>
        <v>0</v>
      </c>
      <c r="I9" s="396"/>
    </row>
    <row r="10" ht="16" spans="1:10">
      <c r="A10" s="1204" t="s">
        <v>1190</v>
      </c>
      <c r="B10" s="392" t="s">
        <v>1191</v>
      </c>
      <c r="C10" s="393">
        <v>45323</v>
      </c>
      <c r="D10" s="398">
        <f>0</f>
        <v>0</v>
      </c>
      <c r="E10" s="398">
        <v>0</v>
      </c>
      <c r="F10" s="398">
        <v>0</v>
      </c>
      <c r="G10" s="398">
        <f>0</f>
        <v>0</v>
      </c>
      <c r="H10" s="395">
        <f t="shared" si="0"/>
        <v>0</v>
      </c>
      <c r="I10" s="396"/>
      <c r="J10" s="400"/>
    </row>
    <row r="11" ht="16" spans="1:10">
      <c r="A11" s="1204" t="s">
        <v>1192</v>
      </c>
      <c r="B11" s="392" t="s">
        <v>1193</v>
      </c>
      <c r="C11" s="393">
        <v>45323</v>
      </c>
      <c r="D11" s="398">
        <v>0</v>
      </c>
      <c r="E11" s="398">
        <v>0</v>
      </c>
      <c r="F11" s="398">
        <v>0</v>
      </c>
      <c r="G11" s="398">
        <v>0</v>
      </c>
      <c r="H11" s="395">
        <f t="shared" si="0"/>
        <v>0</v>
      </c>
      <c r="I11" s="401"/>
    </row>
    <row r="12" ht="16" spans="1:10">
      <c r="A12" s="1204" t="s">
        <v>1194</v>
      </c>
      <c r="B12" s="392" t="s">
        <v>1195</v>
      </c>
      <c r="C12" s="393">
        <v>45323</v>
      </c>
      <c r="D12" s="398">
        <v>50000</v>
      </c>
      <c r="E12" s="398">
        <v>0</v>
      </c>
      <c r="F12" s="398">
        <v>0</v>
      </c>
      <c r="G12" s="398">
        <f>385000</f>
        <v>385000</v>
      </c>
      <c r="H12" s="395">
        <f t="shared" si="0"/>
        <v>435000</v>
      </c>
      <c r="I12" s="399"/>
    </row>
    <row r="13" ht="16" spans="1:10">
      <c r="A13" s="1204" t="s">
        <v>1196</v>
      </c>
      <c r="B13" s="392" t="s">
        <v>1197</v>
      </c>
      <c r="C13" s="393">
        <v>45323</v>
      </c>
      <c r="D13" s="398">
        <v>0</v>
      </c>
      <c r="E13" s="398">
        <v>0</v>
      </c>
      <c r="F13" s="398">
        <v>0</v>
      </c>
      <c r="G13" s="398">
        <v>0</v>
      </c>
      <c r="H13" s="395">
        <f t="shared" si="0"/>
        <v>0</v>
      </c>
      <c r="I13" s="401"/>
    </row>
    <row r="14" ht="16" spans="1:10">
      <c r="A14" s="1204" t="s">
        <v>1198</v>
      </c>
      <c r="B14" s="392" t="s">
        <v>1199</v>
      </c>
      <c r="C14" s="393">
        <v>45323</v>
      </c>
      <c r="D14" s="398">
        <f>0</f>
        <v>0</v>
      </c>
      <c r="E14" s="398">
        <v>0</v>
      </c>
      <c r="F14" s="398">
        <v>0</v>
      </c>
      <c r="G14" s="398">
        <f>0</f>
        <v>0</v>
      </c>
      <c r="H14" s="395">
        <f t="shared" si="0"/>
        <v>0</v>
      </c>
      <c r="I14" s="396"/>
    </row>
    <row r="15" ht="16" spans="1:10">
      <c r="A15" s="1204" t="s">
        <v>1200</v>
      </c>
      <c r="B15" s="392" t="s">
        <v>990</v>
      </c>
      <c r="C15" s="393">
        <v>45323</v>
      </c>
      <c r="D15" s="398">
        <v>30000</v>
      </c>
      <c r="E15" s="398">
        <v>0</v>
      </c>
      <c r="F15" s="398">
        <v>0</v>
      </c>
      <c r="G15" s="398">
        <v>91666.67</v>
      </c>
      <c r="H15" s="395">
        <f t="shared" si="0"/>
        <v>121666.67</v>
      </c>
      <c r="I15" s="399"/>
    </row>
    <row r="16" ht="16" spans="1:10">
      <c r="A16" s="1204" t="s">
        <v>1201</v>
      </c>
      <c r="B16" s="392" t="s">
        <v>281</v>
      </c>
      <c r="C16" s="393">
        <v>45323</v>
      </c>
      <c r="D16" s="398">
        <f>100000</f>
        <v>100000</v>
      </c>
      <c r="E16" s="398">
        <v>0</v>
      </c>
      <c r="F16" s="398">
        <v>0</v>
      </c>
      <c r="G16" s="398">
        <f>0</f>
        <v>0</v>
      </c>
      <c r="H16" s="395">
        <f t="shared" si="0"/>
        <v>100000</v>
      </c>
      <c r="I16" s="399"/>
    </row>
    <row r="17" ht="16" spans="1:9">
      <c r="A17" s="1204" t="s">
        <v>1202</v>
      </c>
      <c r="B17" s="392" t="s">
        <v>1203</v>
      </c>
      <c r="C17" s="393">
        <v>45323</v>
      </c>
      <c r="D17" s="398">
        <f>0</f>
        <v>0</v>
      </c>
      <c r="E17" s="398">
        <v>0</v>
      </c>
      <c r="F17" s="398">
        <v>0</v>
      </c>
      <c r="G17" s="398">
        <f>0</f>
        <v>0</v>
      </c>
      <c r="H17" s="395">
        <f t="shared" si="0"/>
        <v>0</v>
      </c>
      <c r="I17" s="396"/>
    </row>
    <row r="18" ht="16" spans="1:9">
      <c r="A18" s="1204" t="s">
        <v>1204</v>
      </c>
      <c r="B18" s="392" t="s">
        <v>1205</v>
      </c>
      <c r="C18" s="393">
        <v>45323</v>
      </c>
      <c r="D18" s="398">
        <v>0</v>
      </c>
      <c r="E18" s="398">
        <v>0</v>
      </c>
      <c r="F18" s="398">
        <v>0</v>
      </c>
      <c r="G18" s="398">
        <v>0</v>
      </c>
      <c r="H18" s="395">
        <f t="shared" si="0"/>
        <v>0</v>
      </c>
      <c r="I18" s="402"/>
    </row>
    <row r="19" ht="16" spans="1:9">
      <c r="A19" s="1204" t="s">
        <v>1206</v>
      </c>
      <c r="B19" s="392" t="s">
        <v>1207</v>
      </c>
      <c r="C19" s="393">
        <v>45323</v>
      </c>
      <c r="D19" s="398">
        <f>100000</f>
        <v>100000</v>
      </c>
      <c r="E19" s="398">
        <v>0</v>
      </c>
      <c r="F19" s="398">
        <v>0</v>
      </c>
      <c r="G19" s="398">
        <f>0</f>
        <v>0</v>
      </c>
      <c r="H19" s="395">
        <f t="shared" si="0"/>
        <v>100000</v>
      </c>
      <c r="I19" s="403"/>
    </row>
    <row r="20" ht="16" spans="1:9">
      <c r="A20" s="1204" t="s">
        <v>1208</v>
      </c>
      <c r="B20" s="392" t="s">
        <v>1209</v>
      </c>
      <c r="C20" s="393">
        <v>45323</v>
      </c>
      <c r="D20" s="398">
        <f>50000</f>
        <v>50000</v>
      </c>
      <c r="E20" s="398">
        <v>0</v>
      </c>
      <c r="F20" s="398">
        <v>0</v>
      </c>
      <c r="G20" s="395">
        <f>200000</f>
        <v>200000</v>
      </c>
      <c r="H20" s="395">
        <f t="shared" si="0"/>
        <v>250000</v>
      </c>
      <c r="I20" s="404"/>
    </row>
    <row r="21" ht="16" spans="1:9">
      <c r="A21" s="1204" t="s">
        <v>1210</v>
      </c>
      <c r="B21" s="392" t="s">
        <v>1211</v>
      </c>
      <c r="C21" s="393">
        <v>45323</v>
      </c>
      <c r="D21" s="394">
        <f>0</f>
        <v>0</v>
      </c>
      <c r="E21" s="394">
        <v>0</v>
      </c>
      <c r="F21" s="394">
        <v>0</v>
      </c>
      <c r="G21" s="405">
        <f>0</f>
        <v>0</v>
      </c>
      <c r="H21" s="395">
        <f t="shared" si="0"/>
        <v>0</v>
      </c>
      <c r="I21" s="406"/>
    </row>
    <row r="22" ht="16" spans="1:9">
      <c r="A22" s="1204" t="s">
        <v>1212</v>
      </c>
      <c r="B22" s="392" t="s">
        <v>1213</v>
      </c>
      <c r="C22" s="393">
        <v>45323</v>
      </c>
      <c r="D22" s="398">
        <v>50000</v>
      </c>
      <c r="E22" s="398">
        <v>0</v>
      </c>
      <c r="F22" s="398">
        <v>0</v>
      </c>
      <c r="G22" s="398">
        <f>0</f>
        <v>0</v>
      </c>
      <c r="H22" s="395">
        <f t="shared" si="0"/>
        <v>50000</v>
      </c>
      <c r="I22" s="404"/>
    </row>
    <row r="23" ht="16" spans="1:9">
      <c r="A23" s="1204" t="s">
        <v>1214</v>
      </c>
      <c r="B23" s="392" t="s">
        <v>1215</v>
      </c>
      <c r="C23" s="393">
        <v>45323</v>
      </c>
      <c r="D23" s="398">
        <v>0</v>
      </c>
      <c r="E23" s="398">
        <v>0</v>
      </c>
      <c r="F23" s="398">
        <v>0</v>
      </c>
      <c r="G23" s="398">
        <v>0</v>
      </c>
      <c r="H23" s="395">
        <f t="shared" si="0"/>
        <v>0</v>
      </c>
    </row>
    <row r="24" ht="16" spans="1:9">
      <c r="A24" s="1204" t="s">
        <v>1216</v>
      </c>
      <c r="B24" s="392" t="s">
        <v>287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399"/>
    </row>
    <row r="25" ht="16" spans="1:9">
      <c r="A25" s="1204" t="s">
        <v>1217</v>
      </c>
      <c r="B25" s="392" t="s">
        <v>1218</v>
      </c>
      <c r="C25" s="393">
        <v>45323</v>
      </c>
      <c r="D25" s="398">
        <v>0</v>
      </c>
      <c r="E25" s="398">
        <v>0</v>
      </c>
      <c r="F25" s="398">
        <v>0</v>
      </c>
      <c r="G25" s="398">
        <v>0</v>
      </c>
      <c r="H25" s="395">
        <f t="shared" si="0"/>
        <v>0</v>
      </c>
      <c r="I25" s="396"/>
    </row>
    <row r="26" ht="16" spans="1:9">
      <c r="A26" s="1204" t="s">
        <v>1219</v>
      </c>
      <c r="B26" s="392" t="s">
        <v>1220</v>
      </c>
      <c r="C26" s="393">
        <v>45323</v>
      </c>
      <c r="D26" s="398">
        <v>10000</v>
      </c>
      <c r="E26" s="398">
        <v>0</v>
      </c>
      <c r="F26" s="398">
        <v>0</v>
      </c>
      <c r="G26" s="398">
        <f>65885.83</f>
        <v>65885.83</v>
      </c>
      <c r="H26" s="395">
        <f t="shared" si="0"/>
        <v>75885.83</v>
      </c>
      <c r="I26" s="399"/>
    </row>
    <row r="27" ht="16" spans="1:9">
      <c r="A27" s="1204" t="s">
        <v>1221</v>
      </c>
      <c r="B27" s="392" t="s">
        <v>1222</v>
      </c>
      <c r="C27" s="393">
        <v>45323</v>
      </c>
      <c r="D27" s="398">
        <v>30000</v>
      </c>
      <c r="E27" s="398">
        <v>0</v>
      </c>
      <c r="F27" s="398">
        <v>10000</v>
      </c>
      <c r="G27" s="398">
        <f>238888.89</f>
        <v>238888.89</v>
      </c>
      <c r="H27" s="395">
        <f t="shared" si="0"/>
        <v>278888.89</v>
      </c>
      <c r="I27" s="399"/>
    </row>
    <row r="28" ht="16" spans="1:9">
      <c r="A28" s="1204" t="s">
        <v>1223</v>
      </c>
      <c r="B28" s="392" t="s">
        <v>1224</v>
      </c>
      <c r="C28" s="393">
        <v>45323</v>
      </c>
      <c r="D28" s="398">
        <v>30000</v>
      </c>
      <c r="E28" s="398">
        <v>0</v>
      </c>
      <c r="F28" s="398">
        <v>0</v>
      </c>
      <c r="G28" s="398">
        <f>61111.11</f>
        <v>61111.11</v>
      </c>
      <c r="H28" s="395">
        <f t="shared" si="0"/>
        <v>91111.11</v>
      </c>
      <c r="I28" s="399"/>
    </row>
    <row r="29" ht="17.5" spans="1:9">
      <c r="A29" s="1204" t="s">
        <v>1225</v>
      </c>
      <c r="B29" s="392" t="s">
        <v>1226</v>
      </c>
      <c r="C29" s="393">
        <v>45323</v>
      </c>
      <c r="D29" s="407">
        <f>15000</f>
        <v>15000</v>
      </c>
      <c r="E29" s="407"/>
      <c r="F29" s="407"/>
      <c r="G29" s="408">
        <f>30000</f>
        <v>30000</v>
      </c>
      <c r="H29" s="395">
        <f t="shared" si="0"/>
        <v>45000</v>
      </c>
      <c r="I29" s="399"/>
    </row>
    <row r="30" ht="16" spans="1:9">
      <c r="A30" s="1204" t="s">
        <v>1227</v>
      </c>
      <c r="B30" s="392" t="s">
        <v>1228</v>
      </c>
      <c r="C30" s="393">
        <v>45323</v>
      </c>
      <c r="D30" s="398">
        <v>20000</v>
      </c>
      <c r="E30" s="398">
        <v>0</v>
      </c>
      <c r="F30" s="398">
        <v>0</v>
      </c>
      <c r="G30" s="398">
        <f>163103.59</f>
        <v>163103.59</v>
      </c>
      <c r="H30" s="395">
        <f t="shared" si="0"/>
        <v>183103.59</v>
      </c>
      <c r="I30" s="399"/>
    </row>
    <row r="31" ht="16" spans="1:9">
      <c r="A31" s="1204" t="s">
        <v>1229</v>
      </c>
      <c r="B31" s="392" t="s">
        <v>190</v>
      </c>
      <c r="C31" s="393">
        <v>45323</v>
      </c>
      <c r="D31" s="398">
        <v>20000</v>
      </c>
      <c r="E31" s="398">
        <v>0</v>
      </c>
      <c r="F31" s="398">
        <v>0</v>
      </c>
      <c r="G31" s="398">
        <v>96664.65</v>
      </c>
      <c r="H31" s="395">
        <f t="shared" si="0"/>
        <v>116664.65</v>
      </c>
      <c r="I31" s="399"/>
    </row>
    <row r="32" ht="16" spans="1:9">
      <c r="A32" s="1204" t="s">
        <v>1230</v>
      </c>
      <c r="B32" s="392" t="s">
        <v>1231</v>
      </c>
      <c r="C32" s="393">
        <v>45323</v>
      </c>
      <c r="D32" s="398">
        <v>20000</v>
      </c>
      <c r="E32" s="398">
        <v>0</v>
      </c>
      <c r="F32" s="398">
        <v>0</v>
      </c>
      <c r="G32" s="409"/>
      <c r="H32" s="395">
        <f t="shared" si="0"/>
        <v>20000</v>
      </c>
      <c r="I32" s="399"/>
    </row>
    <row r="33" ht="16" spans="1:9">
      <c r="A33" s="1204" t="s">
        <v>1232</v>
      </c>
      <c r="B33" s="392" t="s">
        <v>1233</v>
      </c>
      <c r="C33" s="393">
        <v>45323</v>
      </c>
      <c r="D33" s="405"/>
      <c r="E33" s="405"/>
      <c r="F33" s="405"/>
      <c r="G33" s="405"/>
      <c r="H33" s="395">
        <f t="shared" si="0"/>
        <v>0</v>
      </c>
      <c r="I33" s="396"/>
    </row>
    <row r="34" ht="16" spans="1:9">
      <c r="A34" s="1204" t="s">
        <v>1234</v>
      </c>
      <c r="B34" s="392" t="s">
        <v>1235</v>
      </c>
      <c r="C34" s="393">
        <v>45323</v>
      </c>
      <c r="D34" s="398">
        <v>20000</v>
      </c>
      <c r="E34" s="398">
        <v>0</v>
      </c>
      <c r="F34" s="407">
        <f>5000+5000</f>
        <v>10000</v>
      </c>
      <c r="G34" s="398">
        <f>47916.66</f>
        <v>47916.66</v>
      </c>
      <c r="H34" s="395">
        <f t="shared" si="0"/>
        <v>77916.66</v>
      </c>
      <c r="I34" s="399"/>
    </row>
    <row r="35" ht="16" spans="1:9">
      <c r="A35" s="1204" t="s">
        <v>1236</v>
      </c>
      <c r="B35" s="392" t="s">
        <v>1237</v>
      </c>
      <c r="C35" s="393">
        <v>45323</v>
      </c>
      <c r="D35" s="398">
        <v>0</v>
      </c>
      <c r="E35" s="398">
        <v>0</v>
      </c>
      <c r="F35" s="398">
        <v>0</v>
      </c>
      <c r="G35" s="398">
        <v>0</v>
      </c>
      <c r="H35" s="395">
        <f t="shared" si="0"/>
        <v>0</v>
      </c>
      <c r="I35" s="396"/>
    </row>
    <row r="36" ht="16" spans="1:9">
      <c r="A36" s="1204" t="s">
        <v>1238</v>
      </c>
      <c r="B36" s="392" t="s">
        <v>1239</v>
      </c>
      <c r="C36" s="393">
        <v>45323</v>
      </c>
      <c r="D36" s="398">
        <f>20000</f>
        <v>20000</v>
      </c>
      <c r="E36" s="398">
        <v>0</v>
      </c>
      <c r="F36" s="398">
        <v>0</v>
      </c>
      <c r="G36" s="398">
        <f>43750</f>
        <v>43750</v>
      </c>
      <c r="H36" s="395">
        <f t="shared" si="0"/>
        <v>63750</v>
      </c>
      <c r="I36" s="399"/>
    </row>
    <row r="37" ht="16" spans="1:9">
      <c r="A37" s="1204" t="s">
        <v>1240</v>
      </c>
      <c r="B37" s="392" t="s">
        <v>1241</v>
      </c>
      <c r="C37" s="393">
        <v>45323</v>
      </c>
      <c r="D37" s="398">
        <f>10000</f>
        <v>10000</v>
      </c>
      <c r="E37" s="398">
        <f>0</f>
        <v>0</v>
      </c>
      <c r="F37" s="398">
        <f>0</f>
        <v>0</v>
      </c>
      <c r="G37" s="398">
        <f>90000+25000</f>
        <v>115000</v>
      </c>
      <c r="H37" s="395">
        <f t="shared" si="0"/>
        <v>125000</v>
      </c>
      <c r="I37" s="399"/>
    </row>
    <row r="38" ht="16" spans="1:9">
      <c r="A38" s="1204" t="s">
        <v>1242</v>
      </c>
      <c r="B38" s="392" t="s">
        <v>309</v>
      </c>
      <c r="C38" s="393">
        <v>45323</v>
      </c>
      <c r="D38" s="398">
        <f>0</f>
        <v>0</v>
      </c>
      <c r="E38" s="398">
        <v>0</v>
      </c>
      <c r="F38" s="398">
        <v>0</v>
      </c>
      <c r="G38" s="398">
        <f>50000</f>
        <v>50000</v>
      </c>
      <c r="H38" s="395">
        <f t="shared" si="0"/>
        <v>50000</v>
      </c>
      <c r="I38" s="396"/>
    </row>
    <row r="39" ht="16" spans="1:9">
      <c r="A39" s="1204" t="s">
        <v>1243</v>
      </c>
      <c r="B39" s="392" t="s">
        <v>34</v>
      </c>
      <c r="C39" s="393">
        <v>45323</v>
      </c>
      <c r="D39" s="398">
        <f>10000</f>
        <v>10000</v>
      </c>
      <c r="E39" s="398">
        <v>0</v>
      </c>
      <c r="F39" s="398">
        <v>0</v>
      </c>
      <c r="G39" s="398">
        <f>200000</f>
        <v>200000</v>
      </c>
      <c r="H39" s="395">
        <f t="shared" si="0"/>
        <v>210000</v>
      </c>
      <c r="I39" s="399"/>
    </row>
    <row r="40" ht="16" spans="1:9">
      <c r="A40" s="1204" t="s">
        <v>1244</v>
      </c>
      <c r="B40" s="392" t="s">
        <v>289</v>
      </c>
      <c r="C40" s="393">
        <v>45323</v>
      </c>
      <c r="D40" s="398">
        <v>35000</v>
      </c>
      <c r="E40" s="398">
        <v>0</v>
      </c>
      <c r="F40" s="398">
        <f>25000</f>
        <v>25000</v>
      </c>
      <c r="G40" s="398">
        <f>55000</f>
        <v>55000</v>
      </c>
      <c r="H40" s="395">
        <f t="shared" si="0"/>
        <v>115000</v>
      </c>
      <c r="I40" s="399"/>
    </row>
    <row r="41" ht="16" spans="1:9">
      <c r="A41" s="1204" t="s">
        <v>1245</v>
      </c>
      <c r="B41" s="392" t="s">
        <v>317</v>
      </c>
      <c r="C41" s="393">
        <v>45323</v>
      </c>
      <c r="D41" s="398">
        <v>10000</v>
      </c>
      <c r="E41" s="398">
        <v>0</v>
      </c>
      <c r="F41" s="398">
        <v>0</v>
      </c>
      <c r="G41" s="398">
        <f>100000</f>
        <v>100000</v>
      </c>
      <c r="H41" s="395">
        <f t="shared" si="0"/>
        <v>110000</v>
      </c>
      <c r="I41" s="399"/>
    </row>
    <row r="42" ht="16" spans="1:9">
      <c r="A42" s="1204" t="s">
        <v>1246</v>
      </c>
      <c r="B42" s="392" t="s">
        <v>1247</v>
      </c>
      <c r="C42" s="393">
        <v>45323</v>
      </c>
      <c r="D42" s="398">
        <f>10000</f>
        <v>10000</v>
      </c>
      <c r="E42" s="405"/>
      <c r="F42" s="405"/>
      <c r="G42" s="405"/>
      <c r="H42" s="395">
        <f t="shared" si="0"/>
        <v>10000</v>
      </c>
      <c r="I42" s="399"/>
    </row>
    <row r="43" ht="16" spans="1:9">
      <c r="A43" s="1204" t="s">
        <v>1248</v>
      </c>
      <c r="B43" s="392" t="s">
        <v>357</v>
      </c>
      <c r="C43" s="393">
        <v>45323</v>
      </c>
      <c r="D43" s="395">
        <v>10000</v>
      </c>
      <c r="E43" s="410">
        <v>0</v>
      </c>
      <c r="F43" s="407">
        <f>5000+5000</f>
        <v>10000</v>
      </c>
      <c r="G43" s="395">
        <f>22361.11</f>
        <v>22361.11</v>
      </c>
      <c r="H43" s="395">
        <f t="shared" si="0"/>
        <v>42361.11</v>
      </c>
      <c r="I43" s="399"/>
    </row>
    <row r="44" ht="16" spans="1:9">
      <c r="A44" s="1204" t="s">
        <v>1249</v>
      </c>
      <c r="B44" s="392" t="s">
        <v>1250</v>
      </c>
      <c r="C44" s="393">
        <v>45323</v>
      </c>
      <c r="D44" s="395">
        <f>10000</f>
        <v>10000</v>
      </c>
      <c r="E44" s="410">
        <v>0</v>
      </c>
      <c r="F44" s="407">
        <f>5000+5000</f>
        <v>10000</v>
      </c>
      <c r="G44" s="395">
        <f>20000</f>
        <v>20000</v>
      </c>
      <c r="H44" s="395">
        <f t="shared" si="0"/>
        <v>40000</v>
      </c>
      <c r="I44" s="399"/>
    </row>
    <row r="45" ht="16" spans="1:9">
      <c r="A45" s="1204" t="s">
        <v>1251</v>
      </c>
      <c r="B45" s="392" t="s">
        <v>1252</v>
      </c>
      <c r="C45" s="393">
        <v>45323</v>
      </c>
      <c r="D45" s="398">
        <f>5000</f>
        <v>5000</v>
      </c>
      <c r="E45" s="398">
        <v>0</v>
      </c>
      <c r="F45" s="407">
        <f>5000+5000</f>
        <v>10000</v>
      </c>
      <c r="G45" s="398">
        <f>35704.84</f>
        <v>35704.84</v>
      </c>
      <c r="H45" s="395">
        <f t="shared" si="0"/>
        <v>50704.84</v>
      </c>
      <c r="I45" s="399"/>
    </row>
    <row r="46" ht="16" spans="1:9">
      <c r="A46" s="1204" t="s">
        <v>1253</v>
      </c>
      <c r="B46" s="392" t="s">
        <v>349</v>
      </c>
      <c r="C46" s="393">
        <v>45323</v>
      </c>
      <c r="D46" s="398">
        <v>10000</v>
      </c>
      <c r="E46" s="398">
        <v>0</v>
      </c>
      <c r="F46" s="398">
        <f>5000+5000</f>
        <v>10000</v>
      </c>
      <c r="G46" s="398">
        <f>32000</f>
        <v>32000</v>
      </c>
      <c r="H46" s="395">
        <f t="shared" si="0"/>
        <v>52000</v>
      </c>
      <c r="I46" s="399"/>
    </row>
    <row r="47" ht="16" spans="1:9">
      <c r="A47" s="1204" t="s">
        <v>1254</v>
      </c>
      <c r="B47" s="392" t="s">
        <v>1255</v>
      </c>
      <c r="C47" s="393">
        <v>45323</v>
      </c>
      <c r="D47" s="398">
        <v>0</v>
      </c>
      <c r="E47" s="398">
        <v>0</v>
      </c>
      <c r="F47" s="398">
        <v>0</v>
      </c>
      <c r="G47" s="398">
        <v>0</v>
      </c>
      <c r="H47" s="395">
        <f t="shared" si="0"/>
        <v>0</v>
      </c>
      <c r="I47" s="396"/>
    </row>
    <row r="48" ht="16" spans="1:9">
      <c r="A48" s="1204" t="s">
        <v>1256</v>
      </c>
      <c r="B48" s="392" t="s">
        <v>1257</v>
      </c>
      <c r="C48" s="393">
        <v>45323</v>
      </c>
      <c r="D48" s="398">
        <f>0</f>
        <v>0</v>
      </c>
      <c r="E48" s="398">
        <v>0</v>
      </c>
      <c r="F48" s="398">
        <v>0</v>
      </c>
      <c r="G48" s="398">
        <f>0</f>
        <v>0</v>
      </c>
      <c r="H48" s="395">
        <f t="shared" si="0"/>
        <v>0</v>
      </c>
      <c r="I48" s="396"/>
    </row>
    <row r="49" ht="16" spans="1:11">
      <c r="A49" s="1204" t="s">
        <v>1258</v>
      </c>
      <c r="B49" s="392" t="s">
        <v>1259</v>
      </c>
      <c r="C49" s="393">
        <v>45323</v>
      </c>
      <c r="D49" s="398">
        <f>0</f>
        <v>0</v>
      </c>
      <c r="E49" s="398">
        <v>0</v>
      </c>
      <c r="F49" s="407">
        <f>0</f>
        <v>0</v>
      </c>
      <c r="G49" s="398">
        <f>0</f>
        <v>0</v>
      </c>
      <c r="H49" s="395">
        <f t="shared" si="0"/>
        <v>0</v>
      </c>
      <c r="I49" s="396"/>
    </row>
    <row r="50" ht="16" spans="1:11">
      <c r="A50" s="1204" t="s">
        <v>1260</v>
      </c>
      <c r="B50" s="392" t="s">
        <v>666</v>
      </c>
      <c r="C50" s="393">
        <v>45323</v>
      </c>
      <c r="D50" s="398">
        <v>10000</v>
      </c>
      <c r="E50" s="398">
        <v>0</v>
      </c>
      <c r="F50" s="398">
        <f>5000+5000</f>
        <v>10000</v>
      </c>
      <c r="G50" s="411">
        <f>0</f>
        <v>0</v>
      </c>
      <c r="H50" s="395">
        <f t="shared" si="0"/>
        <v>20000</v>
      </c>
      <c r="I50" s="399"/>
    </row>
    <row r="51" ht="16" spans="1:11">
      <c r="A51" s="1204" t="s">
        <v>1261</v>
      </c>
      <c r="B51" s="392" t="s">
        <v>1262</v>
      </c>
      <c r="C51" s="393">
        <v>45323</v>
      </c>
      <c r="D51" s="395">
        <v>20000</v>
      </c>
      <c r="E51" s="412">
        <f>0</f>
        <v>0</v>
      </c>
      <c r="F51" s="398">
        <f>5000+5000</f>
        <v>10000</v>
      </c>
      <c r="G51" s="398">
        <f>26430.62</f>
        <v>26430.62</v>
      </c>
      <c r="H51" s="395">
        <f t="shared" si="0"/>
        <v>56430.62</v>
      </c>
      <c r="I51" s="399"/>
      <c r="J51" s="402"/>
    </row>
    <row r="52" ht="16" spans="1:11">
      <c r="A52" s="1204" t="s">
        <v>1263</v>
      </c>
      <c r="B52" s="392" t="s">
        <v>374</v>
      </c>
      <c r="C52" s="393">
        <v>45323</v>
      </c>
      <c r="D52" s="395">
        <f>3000</f>
        <v>3000</v>
      </c>
      <c r="E52" s="395"/>
      <c r="F52" s="398">
        <f>5000+5000</f>
        <v>10000</v>
      </c>
      <c r="G52" s="395">
        <f>44000</f>
        <v>44000</v>
      </c>
      <c r="H52" s="395">
        <f t="shared" si="0"/>
        <v>57000</v>
      </c>
      <c r="I52" s="399"/>
    </row>
    <row r="53" ht="16" spans="1:11">
      <c r="A53" s="1204" t="s">
        <v>1264</v>
      </c>
      <c r="B53" s="392" t="s">
        <v>364</v>
      </c>
      <c r="C53" s="393">
        <v>45323</v>
      </c>
      <c r="D53" s="398">
        <v>10000</v>
      </c>
      <c r="E53" s="398">
        <v>0</v>
      </c>
      <c r="F53" s="398">
        <f>5000+5000</f>
        <v>10000</v>
      </c>
      <c r="G53" s="398">
        <f>15112.49</f>
        <v>15112.49</v>
      </c>
      <c r="H53" s="395">
        <f t="shared" si="0"/>
        <v>35112.49</v>
      </c>
      <c r="I53" s="399"/>
      <c r="K53" s="400"/>
    </row>
    <row r="54" ht="16" spans="1:11">
      <c r="A54" s="1204" t="s">
        <v>1265</v>
      </c>
      <c r="B54" s="392" t="s">
        <v>1266</v>
      </c>
      <c r="C54" s="393">
        <v>45323</v>
      </c>
      <c r="D54" s="398">
        <v>20000</v>
      </c>
      <c r="E54" s="398">
        <v>0</v>
      </c>
      <c r="F54" s="398">
        <f>5000+5000</f>
        <v>10000</v>
      </c>
      <c r="G54" s="398">
        <f>25555.56</f>
        <v>25555.56</v>
      </c>
      <c r="H54" s="395">
        <f t="shared" si="0"/>
        <v>55555.56</v>
      </c>
      <c r="I54" s="399"/>
    </row>
    <row r="55" ht="16" spans="1:11">
      <c r="A55" s="1205" t="s">
        <v>1267</v>
      </c>
      <c r="B55" s="413" t="s">
        <v>1268</v>
      </c>
      <c r="C55" s="393">
        <v>45323</v>
      </c>
      <c r="D55" s="414">
        <v>0</v>
      </c>
      <c r="E55" s="414">
        <v>0</v>
      </c>
      <c r="F55" s="414">
        <v>0</v>
      </c>
      <c r="G55" s="414">
        <v>0</v>
      </c>
      <c r="H55" s="395">
        <f t="shared" si="0"/>
        <v>0</v>
      </c>
      <c r="I55" s="396"/>
      <c r="K55" s="400"/>
    </row>
    <row r="56" ht="16" spans="1:11">
      <c r="A56" s="1204" t="s">
        <v>1269</v>
      </c>
      <c r="B56" s="392" t="s">
        <v>931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399"/>
    </row>
    <row r="57" ht="16" spans="1:11">
      <c r="A57" s="1204" t="s">
        <v>1270</v>
      </c>
      <c r="B57" s="392" t="s">
        <v>1271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396"/>
    </row>
    <row r="58" ht="16" spans="1:11">
      <c r="A58" s="1204" t="s">
        <v>1272</v>
      </c>
      <c r="B58" s="392" t="s">
        <v>1273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8">
        <f>230499.8</f>
        <v>230499.8</v>
      </c>
      <c r="H58" s="395">
        <f t="shared" si="0"/>
        <v>310499.8</v>
      </c>
      <c r="I58" s="399"/>
      <c r="J58" s="396"/>
    </row>
    <row r="59" ht="16" spans="1:11">
      <c r="A59" s="1205" t="s">
        <v>1274</v>
      </c>
      <c r="B59" s="413" t="s">
        <v>1275</v>
      </c>
      <c r="C59" s="393">
        <v>45323</v>
      </c>
      <c r="D59" s="414">
        <v>0</v>
      </c>
      <c r="E59" s="414">
        <v>0</v>
      </c>
      <c r="F59" s="414">
        <v>0</v>
      </c>
      <c r="G59" s="414">
        <v>0</v>
      </c>
      <c r="H59" s="395">
        <f t="shared" si="0"/>
        <v>0</v>
      </c>
      <c r="I59" s="396"/>
    </row>
    <row r="60" ht="16" spans="1:11">
      <c r="A60" s="1204" t="s">
        <v>1276</v>
      </c>
      <c r="B60" s="392" t="s">
        <v>1277</v>
      </c>
      <c r="C60" s="393">
        <v>45323</v>
      </c>
      <c r="D60" s="398">
        <f>30000</f>
        <v>30000</v>
      </c>
      <c r="E60" s="398">
        <v>0</v>
      </c>
      <c r="F60" s="398">
        <f>10000</f>
        <v>10000</v>
      </c>
      <c r="G60" s="398">
        <f>70000</f>
        <v>70000</v>
      </c>
      <c r="H60" s="395">
        <f t="shared" si="0"/>
        <v>110000</v>
      </c>
      <c r="I60" s="399"/>
    </row>
    <row r="61" ht="16" spans="1:11">
      <c r="A61" s="1204" t="s">
        <v>1278</v>
      </c>
      <c r="B61" s="392" t="s">
        <v>1279</v>
      </c>
      <c r="C61" s="393">
        <v>45323</v>
      </c>
      <c r="D61" s="398">
        <f>0</f>
        <v>0</v>
      </c>
      <c r="E61" s="398">
        <v>0</v>
      </c>
      <c r="F61" s="398">
        <v>0</v>
      </c>
      <c r="G61" s="398">
        <f>0</f>
        <v>0</v>
      </c>
      <c r="H61" s="395">
        <f t="shared" si="0"/>
        <v>0</v>
      </c>
      <c r="I61" s="396"/>
    </row>
    <row r="62" ht="16" spans="1:11">
      <c r="A62" s="1204" t="s">
        <v>1280</v>
      </c>
      <c r="B62" s="392" t="s">
        <v>1281</v>
      </c>
      <c r="C62" s="393">
        <v>45323</v>
      </c>
      <c r="D62" s="405">
        <v>0</v>
      </c>
      <c r="E62" s="405">
        <v>0</v>
      </c>
      <c r="F62" s="405">
        <v>0</v>
      </c>
      <c r="G62" s="405">
        <v>0</v>
      </c>
      <c r="H62" s="395">
        <f t="shared" si="0"/>
        <v>0</v>
      </c>
      <c r="I62" s="396"/>
    </row>
    <row r="63" ht="16" spans="1:11">
      <c r="A63" s="1204" t="s">
        <v>1282</v>
      </c>
      <c r="B63" s="392" t="s">
        <v>1283</v>
      </c>
      <c r="C63" s="393">
        <v>45323</v>
      </c>
      <c r="D63" s="398">
        <f>0</f>
        <v>0</v>
      </c>
      <c r="E63" s="398"/>
      <c r="F63" s="398"/>
      <c r="G63" s="398">
        <f>0</f>
        <v>0</v>
      </c>
      <c r="H63" s="395">
        <f t="shared" si="0"/>
        <v>0</v>
      </c>
      <c r="I63" s="399"/>
    </row>
    <row r="64" ht="16" spans="1:11">
      <c r="A64" s="1204" t="s">
        <v>1284</v>
      </c>
      <c r="B64" s="392" t="s">
        <v>1285</v>
      </c>
      <c r="C64" s="393">
        <v>45323</v>
      </c>
      <c r="D64" s="398">
        <f>0</f>
        <v>0</v>
      </c>
      <c r="E64" s="398">
        <v>0</v>
      </c>
      <c r="F64" s="398">
        <f>0</f>
        <v>0</v>
      </c>
      <c r="G64" s="398"/>
      <c r="H64" s="395">
        <f t="shared" si="0"/>
        <v>0</v>
      </c>
      <c r="I64" s="396"/>
    </row>
    <row r="65" ht="16" spans="1:9">
      <c r="A65" s="1204" t="s">
        <v>1286</v>
      </c>
      <c r="B65" s="392" t="s">
        <v>307</v>
      </c>
      <c r="C65" s="393">
        <v>45323</v>
      </c>
      <c r="D65" s="398">
        <f>0</f>
        <v>0</v>
      </c>
      <c r="E65" s="398">
        <v>0</v>
      </c>
      <c r="F65" s="398">
        <v>0</v>
      </c>
      <c r="G65" s="398">
        <f>133333.33+30000</f>
        <v>163333.33</v>
      </c>
      <c r="H65" s="395">
        <f t="shared" si="0"/>
        <v>163333.33</v>
      </c>
      <c r="I65" s="399"/>
    </row>
    <row r="66" ht="16" spans="1:9">
      <c r="A66" s="1204" t="s">
        <v>1287</v>
      </c>
      <c r="B66" s="392" t="s">
        <v>1288</v>
      </c>
      <c r="C66" s="393">
        <v>45323</v>
      </c>
      <c r="D66" s="398"/>
      <c r="E66" s="398"/>
      <c r="F66" s="398"/>
      <c r="G66" s="398"/>
      <c r="H66" s="395">
        <f t="shared" si="0"/>
        <v>0</v>
      </c>
      <c r="I66" s="399"/>
    </row>
    <row r="67" ht="16" spans="1:9">
      <c r="A67" s="1204" t="s">
        <v>1289</v>
      </c>
      <c r="B67" s="392" t="s">
        <v>362</v>
      </c>
      <c r="C67" s="393">
        <v>45323</v>
      </c>
      <c r="D67" s="398">
        <v>5000</v>
      </c>
      <c r="E67" s="398">
        <v>0</v>
      </c>
      <c r="F67" s="398">
        <f>5000+5000</f>
        <v>10000</v>
      </c>
      <c r="G67" s="398">
        <f>14524.11</f>
        <v>14524.11</v>
      </c>
      <c r="H67" s="395">
        <f t="shared" si="0"/>
        <v>29524.11</v>
      </c>
      <c r="I67" s="399"/>
    </row>
    <row r="68" ht="16" spans="1:9">
      <c r="A68" s="1204" t="s">
        <v>1290</v>
      </c>
      <c r="B68" s="392" t="s">
        <v>141</v>
      </c>
      <c r="C68" s="393">
        <v>45323</v>
      </c>
      <c r="D68" s="398">
        <v>30000</v>
      </c>
      <c r="E68" s="398">
        <v>0</v>
      </c>
      <c r="F68" s="398"/>
      <c r="G68" s="411">
        <f>176288.88</f>
        <v>176288.88</v>
      </c>
      <c r="H68" s="395">
        <f t="shared" si="0"/>
        <v>206288.88</v>
      </c>
      <c r="I68" s="399"/>
    </row>
    <row r="69" ht="16" spans="1:9">
      <c r="A69" s="1204" t="s">
        <v>1291</v>
      </c>
      <c r="B69" s="392" t="s">
        <v>1292</v>
      </c>
      <c r="C69" s="393">
        <v>45323</v>
      </c>
      <c r="D69" s="398">
        <v>80000</v>
      </c>
      <c r="E69" s="398">
        <v>0</v>
      </c>
      <c r="F69" s="398">
        <f>23000</f>
        <v>23000</v>
      </c>
      <c r="G69" s="398">
        <v>246905.964583333</v>
      </c>
      <c r="H69" s="395">
        <f t="shared" si="0"/>
        <v>349905.964583333</v>
      </c>
      <c r="I69" s="399"/>
    </row>
    <row r="70" ht="16" spans="1:9">
      <c r="A70" s="1204" t="s">
        <v>1293</v>
      </c>
      <c r="B70" s="392" t="s">
        <v>40</v>
      </c>
      <c r="C70" s="393">
        <v>45323</v>
      </c>
      <c r="D70" s="398">
        <v>0</v>
      </c>
      <c r="E70" s="398">
        <v>0</v>
      </c>
      <c r="F70" s="398">
        <v>0</v>
      </c>
      <c r="G70" s="398">
        <v>0</v>
      </c>
      <c r="H70" s="395">
        <f t="shared" ref="H70:H133" si="1">D70+E70+F70+G70</f>
        <v>0</v>
      </c>
      <c r="I70" s="396"/>
    </row>
    <row r="71" ht="16" spans="1:9">
      <c r="A71" s="1204" t="s">
        <v>1294</v>
      </c>
      <c r="B71" s="392" t="s">
        <v>1295</v>
      </c>
      <c r="C71" s="393">
        <v>45323</v>
      </c>
      <c r="D71" s="398">
        <f>70000</f>
        <v>70000</v>
      </c>
      <c r="E71" s="398">
        <f>0</f>
        <v>0</v>
      </c>
      <c r="F71" s="398">
        <v>0</v>
      </c>
      <c r="G71" s="398">
        <f>50000</f>
        <v>50000</v>
      </c>
      <c r="H71" s="395">
        <f t="shared" si="1"/>
        <v>120000</v>
      </c>
      <c r="I71" s="399"/>
    </row>
    <row r="72" ht="16" spans="1:9">
      <c r="A72" s="1204" t="s">
        <v>1296</v>
      </c>
      <c r="B72" s="392" t="s">
        <v>1297</v>
      </c>
      <c r="C72" s="393">
        <v>45323</v>
      </c>
      <c r="D72" s="398">
        <f>10000</f>
        <v>10000</v>
      </c>
      <c r="E72" s="398">
        <v>0</v>
      </c>
      <c r="F72" s="398">
        <v>0</v>
      </c>
      <c r="G72" s="398">
        <f>54585.66</f>
        <v>54585.66</v>
      </c>
      <c r="H72" s="395">
        <f t="shared" si="1"/>
        <v>64585.66</v>
      </c>
      <c r="I72" s="401"/>
    </row>
    <row r="73" ht="16" spans="1:9">
      <c r="A73" s="1204" t="s">
        <v>1298</v>
      </c>
      <c r="B73" s="392" t="s">
        <v>1299</v>
      </c>
      <c r="C73" s="393">
        <v>45323</v>
      </c>
      <c r="D73" s="398">
        <v>10000</v>
      </c>
      <c r="E73" s="398">
        <v>0</v>
      </c>
      <c r="F73" s="398">
        <f>5000+5000</f>
        <v>10000</v>
      </c>
      <c r="G73" s="398">
        <f>13750</f>
        <v>13750</v>
      </c>
      <c r="H73" s="395">
        <f t="shared" si="1"/>
        <v>33750</v>
      </c>
      <c r="I73" s="399"/>
    </row>
    <row r="74" ht="17.5" spans="1:9">
      <c r="A74" s="1204" t="s">
        <v>1300</v>
      </c>
      <c r="B74" s="392" t="s">
        <v>370</v>
      </c>
      <c r="C74" s="393">
        <v>45323</v>
      </c>
      <c r="D74" s="398">
        <f>10000</f>
        <v>10000</v>
      </c>
      <c r="E74" s="398">
        <v>0</v>
      </c>
      <c r="F74" s="398">
        <f>5000+5000</f>
        <v>10000</v>
      </c>
      <c r="G74" s="415">
        <f>16958.34</f>
        <v>16958.34</v>
      </c>
      <c r="H74" s="395">
        <f t="shared" si="1"/>
        <v>36958.34</v>
      </c>
      <c r="I74" s="399"/>
    </row>
    <row r="75" ht="16" spans="1:9">
      <c r="A75" s="1204" t="s">
        <v>1301</v>
      </c>
      <c r="B75" s="392" t="s">
        <v>1302</v>
      </c>
      <c r="C75" s="393">
        <v>45323</v>
      </c>
      <c r="D75" s="398">
        <f>0</f>
        <v>0</v>
      </c>
      <c r="E75" s="398">
        <v>0</v>
      </c>
      <c r="F75" s="398">
        <f>0</f>
        <v>0</v>
      </c>
      <c r="G75" s="398">
        <f>0</f>
        <v>0</v>
      </c>
      <c r="H75" s="395">
        <f t="shared" si="1"/>
        <v>0</v>
      </c>
      <c r="I75" s="396"/>
    </row>
    <row r="76" ht="17.5" spans="1:9">
      <c r="A76" s="1204" t="s">
        <v>1303</v>
      </c>
      <c r="B76" s="392" t="s">
        <v>1304</v>
      </c>
      <c r="C76" s="393">
        <v>45323</v>
      </c>
      <c r="D76" s="415">
        <f>20000</f>
        <v>20000</v>
      </c>
      <c r="E76" s="410"/>
      <c r="F76" s="410"/>
      <c r="G76" s="398">
        <f>111833.33</f>
        <v>111833.33</v>
      </c>
      <c r="H76" s="395">
        <f t="shared" si="1"/>
        <v>131833.33</v>
      </c>
      <c r="I76" s="399"/>
    </row>
    <row r="77" ht="16" spans="1:9">
      <c r="A77" s="1204" t="s">
        <v>1305</v>
      </c>
      <c r="B77" s="392" t="s">
        <v>1306</v>
      </c>
      <c r="C77" s="393">
        <v>45323</v>
      </c>
      <c r="D77" s="398"/>
      <c r="E77" s="398"/>
      <c r="F77" s="398"/>
      <c r="G77" s="416"/>
      <c r="H77" s="395">
        <f t="shared" si="1"/>
        <v>0</v>
      </c>
      <c r="I77" s="399"/>
    </row>
    <row r="78" ht="16" spans="1:9">
      <c r="A78" s="1204" t="s">
        <v>1307</v>
      </c>
      <c r="B78" s="392" t="s">
        <v>1308</v>
      </c>
      <c r="C78" s="393">
        <v>45323</v>
      </c>
      <c r="D78" s="398">
        <v>0</v>
      </c>
      <c r="E78" s="398">
        <v>0</v>
      </c>
      <c r="F78" s="398">
        <v>0</v>
      </c>
      <c r="G78" s="398"/>
      <c r="H78" s="395">
        <f t="shared" si="1"/>
        <v>0</v>
      </c>
      <c r="I78" s="401"/>
    </row>
    <row r="79" ht="16" spans="1:9">
      <c r="A79" s="1204" t="s">
        <v>1309</v>
      </c>
      <c r="B79" s="392" t="s">
        <v>1310</v>
      </c>
      <c r="C79" s="393">
        <v>45323</v>
      </c>
      <c r="D79" s="398">
        <v>0</v>
      </c>
      <c r="E79" s="398">
        <v>0</v>
      </c>
      <c r="F79" s="398">
        <v>0</v>
      </c>
      <c r="G79" s="398"/>
      <c r="H79" s="395">
        <f t="shared" si="1"/>
        <v>0</v>
      </c>
      <c r="I79" s="396"/>
    </row>
    <row r="80" ht="16" spans="1:9">
      <c r="A80" s="1204" t="s">
        <v>1311</v>
      </c>
      <c r="B80" s="392" t="s">
        <v>1312</v>
      </c>
      <c r="C80" s="393">
        <v>45323</v>
      </c>
      <c r="D80" s="398">
        <v>20000</v>
      </c>
      <c r="E80" s="398">
        <v>0</v>
      </c>
      <c r="F80" s="398">
        <v>0</v>
      </c>
      <c r="G80" s="398">
        <f>68750</f>
        <v>68750</v>
      </c>
      <c r="H80" s="395">
        <f t="shared" si="1"/>
        <v>88750</v>
      </c>
      <c r="I80" s="399"/>
    </row>
    <row r="81" ht="16" spans="1:9">
      <c r="A81" s="1204" t="s">
        <v>1313</v>
      </c>
      <c r="B81" s="392" t="s">
        <v>1314</v>
      </c>
      <c r="C81" s="393">
        <v>45323</v>
      </c>
      <c r="D81" s="398">
        <f>37500</f>
        <v>37500</v>
      </c>
      <c r="E81" s="398">
        <v>0</v>
      </c>
      <c r="F81" s="398"/>
      <c r="G81" s="398"/>
      <c r="H81" s="395">
        <f t="shared" si="1"/>
        <v>37500</v>
      </c>
      <c r="I81" s="399"/>
    </row>
    <row r="82" ht="16" spans="1:9">
      <c r="A82" s="1204" t="s">
        <v>1315</v>
      </c>
      <c r="B82" s="392" t="s">
        <v>1316</v>
      </c>
      <c r="C82" s="393">
        <v>45323</v>
      </c>
      <c r="D82" s="394">
        <v>0</v>
      </c>
      <c r="E82" s="394">
        <v>0</v>
      </c>
      <c r="F82" s="394">
        <v>0</v>
      </c>
      <c r="G82" s="405">
        <v>0</v>
      </c>
      <c r="H82" s="395">
        <f t="shared" si="1"/>
        <v>0</v>
      </c>
      <c r="I82" s="396"/>
    </row>
    <row r="83" ht="16" spans="1:9">
      <c r="A83" s="1204" t="s">
        <v>1317</v>
      </c>
      <c r="B83" s="392" t="s">
        <v>1318</v>
      </c>
      <c r="C83" s="393">
        <v>45323</v>
      </c>
      <c r="D83" s="398">
        <v>50000</v>
      </c>
      <c r="E83" s="398">
        <v>0</v>
      </c>
      <c r="F83" s="398"/>
      <c r="G83" s="416">
        <f>103000</f>
        <v>103000</v>
      </c>
      <c r="H83" s="395">
        <f t="shared" si="1"/>
        <v>153000</v>
      </c>
      <c r="I83" s="399"/>
    </row>
    <row r="84" ht="16" spans="1:9">
      <c r="A84" s="1204" t="s">
        <v>1319</v>
      </c>
      <c r="B84" s="392" t="s">
        <v>1320</v>
      </c>
      <c r="C84" s="393">
        <v>45323</v>
      </c>
      <c r="D84" s="398">
        <v>100000</v>
      </c>
      <c r="E84" s="398">
        <v>0</v>
      </c>
      <c r="F84" s="398">
        <v>10000</v>
      </c>
      <c r="G84" s="398"/>
      <c r="H84" s="395">
        <f t="shared" si="1"/>
        <v>110000</v>
      </c>
      <c r="I84" s="399"/>
    </row>
    <row r="85" ht="16" spans="1:9">
      <c r="A85" s="1204" t="s">
        <v>1321</v>
      </c>
      <c r="B85" s="392" t="s">
        <v>1322</v>
      </c>
      <c r="C85" s="393">
        <v>45323</v>
      </c>
      <c r="D85" s="398">
        <v>0</v>
      </c>
      <c r="E85" s="398">
        <v>0</v>
      </c>
      <c r="F85" s="398">
        <v>0</v>
      </c>
      <c r="G85" s="398"/>
      <c r="H85" s="395">
        <f t="shared" si="1"/>
        <v>0</v>
      </c>
      <c r="I85" s="396"/>
    </row>
    <row r="86" ht="16" spans="1:9">
      <c r="A86" s="1204" t="s">
        <v>1323</v>
      </c>
      <c r="B86" s="392" t="s">
        <v>1324</v>
      </c>
      <c r="C86" s="393">
        <v>45323</v>
      </c>
      <c r="D86" s="398">
        <f>0</f>
        <v>0</v>
      </c>
      <c r="E86" s="398">
        <v>0</v>
      </c>
      <c r="F86" s="398">
        <f>0</f>
        <v>0</v>
      </c>
      <c r="G86" s="398">
        <f>0</f>
        <v>0</v>
      </c>
      <c r="H86" s="395">
        <f t="shared" si="1"/>
        <v>0</v>
      </c>
      <c r="I86" s="396"/>
    </row>
    <row r="87" ht="16" spans="1:9">
      <c r="A87" s="1204" t="s">
        <v>1325</v>
      </c>
      <c r="B87" s="392" t="s">
        <v>1326</v>
      </c>
      <c r="C87" s="393">
        <v>45323</v>
      </c>
      <c r="D87" s="398">
        <v>15000</v>
      </c>
      <c r="E87" s="398">
        <f>0</f>
        <v>0</v>
      </c>
      <c r="F87" s="398">
        <v>0</v>
      </c>
      <c r="G87" s="398">
        <f>133333.34+25000+33333.33+25000</f>
        <v>216666.67</v>
      </c>
      <c r="H87" s="395">
        <f t="shared" si="1"/>
        <v>231666.67</v>
      </c>
      <c r="I87" s="399"/>
    </row>
    <row r="88" ht="16" spans="1:9">
      <c r="A88" s="1204" t="s">
        <v>1327</v>
      </c>
      <c r="B88" s="392" t="s">
        <v>1328</v>
      </c>
      <c r="C88" s="393">
        <v>45323</v>
      </c>
      <c r="D88" s="398">
        <v>50000</v>
      </c>
      <c r="E88" s="398">
        <v>0</v>
      </c>
      <c r="F88" s="398">
        <f>20000</f>
        <v>20000</v>
      </c>
      <c r="G88" s="398">
        <f>0</f>
        <v>0</v>
      </c>
      <c r="H88" s="395">
        <f t="shared" si="1"/>
        <v>70000</v>
      </c>
      <c r="I88" s="399"/>
    </row>
    <row r="89" ht="16" spans="1:9">
      <c r="A89" s="1204" t="s">
        <v>1329</v>
      </c>
      <c r="B89" s="392" t="s">
        <v>1330</v>
      </c>
      <c r="C89" s="393">
        <v>45323</v>
      </c>
      <c r="D89" s="398">
        <f>50000</f>
        <v>50000</v>
      </c>
      <c r="E89" s="398">
        <v>0</v>
      </c>
      <c r="F89" s="398"/>
      <c r="G89" s="398"/>
      <c r="H89" s="395">
        <f t="shared" si="1"/>
        <v>50000</v>
      </c>
      <c r="I89" s="396"/>
    </row>
    <row r="90" ht="16" spans="1:9">
      <c r="A90" s="1204" t="s">
        <v>1331</v>
      </c>
      <c r="B90" s="392" t="s">
        <v>1332</v>
      </c>
      <c r="C90" s="393">
        <v>45323</v>
      </c>
      <c r="D90" s="409"/>
      <c r="E90" s="398">
        <v>0</v>
      </c>
      <c r="F90" s="398"/>
      <c r="G90" s="398"/>
      <c r="H90" s="395">
        <f t="shared" si="1"/>
        <v>0</v>
      </c>
      <c r="I90" s="396"/>
    </row>
    <row r="91" ht="16" spans="1:9">
      <c r="A91" s="1204" t="s">
        <v>1333</v>
      </c>
      <c r="B91" s="392" t="s">
        <v>1334</v>
      </c>
      <c r="C91" s="393">
        <v>45323</v>
      </c>
      <c r="D91" s="398">
        <f>10000</f>
        <v>10000</v>
      </c>
      <c r="E91" s="398">
        <v>0</v>
      </c>
      <c r="F91" s="398"/>
      <c r="G91" s="409"/>
      <c r="H91" s="395">
        <f t="shared" si="1"/>
        <v>10000</v>
      </c>
      <c r="I91" s="399"/>
    </row>
    <row r="92" ht="16" spans="1:9">
      <c r="A92" s="1204" t="s">
        <v>1335</v>
      </c>
      <c r="B92" s="392" t="s">
        <v>1336</v>
      </c>
      <c r="C92" s="393">
        <v>45323</v>
      </c>
      <c r="D92" s="398">
        <f>50000</f>
        <v>50000</v>
      </c>
      <c r="E92" s="398">
        <v>0</v>
      </c>
      <c r="F92" s="398"/>
      <c r="G92" s="411">
        <f>79861.11</f>
        <v>79861.11</v>
      </c>
      <c r="H92" s="395">
        <f t="shared" si="1"/>
        <v>129861.11</v>
      </c>
      <c r="I92" s="399"/>
    </row>
    <row r="93" ht="16" spans="1:9">
      <c r="A93" s="1204" t="s">
        <v>1337</v>
      </c>
      <c r="B93" s="392" t="s">
        <v>1338</v>
      </c>
      <c r="C93" s="393">
        <v>45323</v>
      </c>
      <c r="D93" s="398">
        <f>30000</f>
        <v>30000</v>
      </c>
      <c r="E93" s="398">
        <v>0</v>
      </c>
      <c r="F93" s="398">
        <v>0</v>
      </c>
      <c r="G93" s="395">
        <f>68750+30000</f>
        <v>98750</v>
      </c>
      <c r="H93" s="395">
        <f t="shared" si="1"/>
        <v>128750</v>
      </c>
      <c r="I93" s="399"/>
    </row>
    <row r="94" ht="16" spans="1:9">
      <c r="A94" s="1204" t="s">
        <v>1339</v>
      </c>
      <c r="B94" s="392" t="s">
        <v>1340</v>
      </c>
      <c r="C94" s="393">
        <v>45323</v>
      </c>
      <c r="D94" s="398">
        <v>0</v>
      </c>
      <c r="E94" s="398">
        <v>0</v>
      </c>
      <c r="F94" s="405">
        <v>0</v>
      </c>
      <c r="G94" s="398">
        <v>0</v>
      </c>
      <c r="H94" s="395">
        <f t="shared" si="1"/>
        <v>0</v>
      </c>
      <c r="I94" s="396"/>
    </row>
    <row r="95" ht="16" spans="1:9">
      <c r="A95" s="1204" t="s">
        <v>1341</v>
      </c>
      <c r="B95" s="392" t="s">
        <v>381</v>
      </c>
      <c r="C95" s="393">
        <v>45323</v>
      </c>
      <c r="D95" s="398">
        <f>10000</f>
        <v>10000</v>
      </c>
      <c r="E95" s="398">
        <v>0</v>
      </c>
      <c r="F95" s="407">
        <f>5000+5000</f>
        <v>10000</v>
      </c>
      <c r="G95" s="398">
        <f>8416.67</f>
        <v>8416.67</v>
      </c>
      <c r="H95" s="395">
        <f t="shared" si="1"/>
        <v>28416.67</v>
      </c>
      <c r="I95" s="399"/>
    </row>
    <row r="96" ht="16" spans="1:9">
      <c r="A96" s="1204" t="s">
        <v>1342</v>
      </c>
      <c r="B96" s="392" t="s">
        <v>1343</v>
      </c>
      <c r="C96" s="393">
        <v>45323</v>
      </c>
      <c r="D96" s="398">
        <f>20000</f>
        <v>20000</v>
      </c>
      <c r="E96" s="398">
        <v>0</v>
      </c>
      <c r="F96" s="398">
        <f>5000+5000</f>
        <v>10000</v>
      </c>
      <c r="G96" s="398">
        <f>25555.56</f>
        <v>25555.56</v>
      </c>
      <c r="H96" s="395">
        <f t="shared" si="1"/>
        <v>55555.56</v>
      </c>
      <c r="I96" s="399"/>
    </row>
    <row r="97" ht="16" spans="1:9">
      <c r="A97" s="1204" t="s">
        <v>1344</v>
      </c>
      <c r="B97" s="392" t="s">
        <v>1345</v>
      </c>
      <c r="C97" s="393">
        <v>45323</v>
      </c>
      <c r="D97" s="398">
        <f>5000</f>
        <v>5000</v>
      </c>
      <c r="E97" s="398">
        <v>0</v>
      </c>
      <c r="F97" s="407">
        <f>5000+5000</f>
        <v>10000</v>
      </c>
      <c r="G97" s="398">
        <f>15972.22</f>
        <v>15972.22</v>
      </c>
      <c r="H97" s="395">
        <f t="shared" si="1"/>
        <v>30972.22</v>
      </c>
      <c r="I97" s="399"/>
    </row>
    <row r="98" ht="16" spans="1:9">
      <c r="A98" s="1204" t="s">
        <v>1346</v>
      </c>
      <c r="B98" s="392" t="s">
        <v>1347</v>
      </c>
      <c r="C98" s="393">
        <v>45323</v>
      </c>
      <c r="D98" s="398">
        <v>10000</v>
      </c>
      <c r="E98" s="398">
        <v>0</v>
      </c>
      <c r="F98" s="398">
        <f>10000</f>
        <v>10000</v>
      </c>
      <c r="G98" s="398">
        <f>30000</f>
        <v>30000</v>
      </c>
      <c r="H98" s="395">
        <f t="shared" si="1"/>
        <v>50000</v>
      </c>
      <c r="I98" s="399"/>
    </row>
    <row r="99" ht="16" spans="1:9">
      <c r="A99" s="1204" t="s">
        <v>1348</v>
      </c>
      <c r="B99" s="392" t="s">
        <v>1349</v>
      </c>
      <c r="C99" s="393">
        <v>45323</v>
      </c>
      <c r="D99" s="398">
        <v>0</v>
      </c>
      <c r="E99" s="398">
        <v>0</v>
      </c>
      <c r="F99" s="398">
        <v>0</v>
      </c>
      <c r="G99" s="398">
        <v>0</v>
      </c>
      <c r="H99" s="395">
        <f t="shared" si="1"/>
        <v>0</v>
      </c>
      <c r="I99" s="396"/>
    </row>
    <row r="100" ht="16" spans="1:9">
      <c r="A100" s="1204" t="s">
        <v>1350</v>
      </c>
      <c r="B100" s="392" t="s">
        <v>1351</v>
      </c>
      <c r="C100" s="393">
        <v>45323</v>
      </c>
      <c r="D100" s="398">
        <f>0</f>
        <v>0</v>
      </c>
      <c r="E100" s="398">
        <v>0</v>
      </c>
      <c r="F100" s="398">
        <v>0</v>
      </c>
      <c r="G100" s="398">
        <f>0</f>
        <v>0</v>
      </c>
      <c r="H100" s="395">
        <f t="shared" si="1"/>
        <v>0</v>
      </c>
      <c r="I100" s="396"/>
    </row>
    <row r="101" ht="16" spans="1:9">
      <c r="A101" s="1204" t="s">
        <v>1352</v>
      </c>
      <c r="B101" s="392" t="s">
        <v>1353</v>
      </c>
      <c r="C101" s="393">
        <v>45323</v>
      </c>
      <c r="D101" s="398">
        <v>0</v>
      </c>
      <c r="E101" s="398">
        <v>0</v>
      </c>
      <c r="F101" s="398">
        <v>0</v>
      </c>
      <c r="G101" s="398">
        <v>0</v>
      </c>
      <c r="H101" s="395">
        <f t="shared" si="1"/>
        <v>0</v>
      </c>
      <c r="I101" s="396"/>
    </row>
    <row r="102" ht="16" spans="1:9">
      <c r="A102" s="1204" t="s">
        <v>1354</v>
      </c>
      <c r="B102" s="392" t="s">
        <v>1355</v>
      </c>
      <c r="C102" s="393">
        <v>45323</v>
      </c>
      <c r="D102" s="398">
        <f>10000</f>
        <v>10000</v>
      </c>
      <c r="E102" s="398">
        <v>0</v>
      </c>
      <c r="F102" s="398">
        <v>0</v>
      </c>
      <c r="G102" s="398">
        <f>50000</f>
        <v>50000</v>
      </c>
      <c r="H102" s="395">
        <f t="shared" si="1"/>
        <v>60000</v>
      </c>
      <c r="I102" s="399"/>
    </row>
    <row r="103" ht="16" spans="1:9">
      <c r="A103" s="1204" t="s">
        <v>1356</v>
      </c>
      <c r="B103" s="392" t="s">
        <v>1357</v>
      </c>
      <c r="C103" s="393">
        <v>45323</v>
      </c>
      <c r="D103" s="398">
        <v>0</v>
      </c>
      <c r="E103" s="398">
        <v>0</v>
      </c>
      <c r="F103" s="398">
        <v>0</v>
      </c>
      <c r="G103" s="398">
        <v>0</v>
      </c>
      <c r="H103" s="395">
        <f t="shared" si="1"/>
        <v>0</v>
      </c>
      <c r="I103" s="396"/>
    </row>
    <row r="104" ht="16" spans="1:9">
      <c r="A104" s="1204" t="s">
        <v>1358</v>
      </c>
      <c r="B104" s="392" t="s">
        <v>1359</v>
      </c>
      <c r="C104" s="393">
        <v>45323</v>
      </c>
      <c r="D104" s="398"/>
      <c r="E104" s="398"/>
      <c r="F104" s="398"/>
      <c r="G104" s="398">
        <f>0</f>
        <v>0</v>
      </c>
      <c r="H104" s="395">
        <f t="shared" si="1"/>
        <v>0</v>
      </c>
      <c r="I104" s="399"/>
    </row>
    <row r="105" ht="16" spans="1:9">
      <c r="A105" s="1204" t="s">
        <v>1360</v>
      </c>
      <c r="B105" s="392" t="s">
        <v>1361</v>
      </c>
      <c r="C105" s="393">
        <v>45323</v>
      </c>
      <c r="D105" s="398"/>
      <c r="E105" s="398"/>
      <c r="F105" s="398"/>
      <c r="G105" s="409"/>
      <c r="H105" s="395">
        <f t="shared" si="1"/>
        <v>0</v>
      </c>
      <c r="I105" s="396"/>
    </row>
    <row r="106" ht="16" spans="1:9">
      <c r="A106" s="1204" t="s">
        <v>1362</v>
      </c>
      <c r="B106" s="392" t="s">
        <v>1363</v>
      </c>
      <c r="C106" s="393">
        <v>45323</v>
      </c>
      <c r="D106" s="398">
        <v>0</v>
      </c>
      <c r="E106" s="398">
        <v>0</v>
      </c>
      <c r="F106" s="398">
        <v>0</v>
      </c>
      <c r="G106" s="398">
        <v>0</v>
      </c>
      <c r="H106" s="395">
        <f t="shared" si="1"/>
        <v>0</v>
      </c>
      <c r="I106" s="396"/>
    </row>
    <row r="107" ht="15" customHeight="1" spans="1:9">
      <c r="A107" s="1206" t="s">
        <v>1364</v>
      </c>
      <c r="B107" s="392" t="s">
        <v>1365</v>
      </c>
      <c r="C107" s="393">
        <v>45323</v>
      </c>
      <c r="D107" s="395">
        <f>50000</f>
        <v>50000</v>
      </c>
      <c r="E107" s="405"/>
      <c r="F107" s="405"/>
      <c r="G107" s="416">
        <f>0</f>
        <v>0</v>
      </c>
      <c r="H107" s="395">
        <f t="shared" si="1"/>
        <v>50000</v>
      </c>
      <c r="I107" s="399"/>
    </row>
    <row r="108" ht="17.5" spans="1:9">
      <c r="A108" s="1206" t="s">
        <v>1366</v>
      </c>
      <c r="B108" s="392" t="s">
        <v>1367</v>
      </c>
      <c r="C108" s="393">
        <v>45323</v>
      </c>
      <c r="D108" s="395">
        <f>30000</f>
        <v>30000</v>
      </c>
      <c r="E108" s="398"/>
      <c r="F108" s="398">
        <f>0</f>
        <v>0</v>
      </c>
      <c r="G108" s="417">
        <f>17500</f>
        <v>17500</v>
      </c>
      <c r="H108" s="395">
        <f t="shared" si="1"/>
        <v>47500</v>
      </c>
      <c r="I108" s="399"/>
    </row>
    <row r="109" ht="17.5" spans="1:9">
      <c r="A109" s="1204" t="s">
        <v>1368</v>
      </c>
      <c r="B109" s="392" t="s">
        <v>1369</v>
      </c>
      <c r="C109" s="393">
        <v>45323</v>
      </c>
      <c r="D109" s="398">
        <v>100000</v>
      </c>
      <c r="E109" s="398"/>
      <c r="F109" s="398">
        <v>0</v>
      </c>
      <c r="G109" s="417">
        <v>0</v>
      </c>
      <c r="H109" s="395">
        <f t="shared" si="1"/>
        <v>100000</v>
      </c>
      <c r="I109" s="399"/>
    </row>
    <row r="110" ht="17.5" spans="1:9">
      <c r="A110" s="1204" t="s">
        <v>1370</v>
      </c>
      <c r="B110" s="392" t="s">
        <v>1371</v>
      </c>
      <c r="C110" s="393">
        <v>45323</v>
      </c>
      <c r="D110" s="398">
        <f>20000</f>
        <v>20000</v>
      </c>
      <c r="E110" s="398"/>
      <c r="F110" s="398">
        <f>10000</f>
        <v>10000</v>
      </c>
      <c r="G110" s="417">
        <v>45833.3333333333</v>
      </c>
      <c r="H110" s="395">
        <f t="shared" si="1"/>
        <v>75833.3333333333</v>
      </c>
      <c r="I110" s="399"/>
    </row>
    <row r="111" ht="17.5" spans="1:9">
      <c r="A111" s="1206" t="s">
        <v>1372</v>
      </c>
      <c r="B111" s="392" t="s">
        <v>212</v>
      </c>
      <c r="C111" s="393">
        <v>45323</v>
      </c>
      <c r="D111" s="415">
        <f>50000</f>
        <v>50000</v>
      </c>
      <c r="E111" s="415"/>
      <c r="F111" s="405"/>
      <c r="G111" s="415">
        <f>0</f>
        <v>0</v>
      </c>
      <c r="H111" s="395">
        <f t="shared" si="1"/>
        <v>50000</v>
      </c>
      <c r="I111" s="396"/>
    </row>
    <row r="112" ht="17.5" spans="1:9">
      <c r="A112" s="1204" t="s">
        <v>1373</v>
      </c>
      <c r="B112" s="392" t="s">
        <v>1374</v>
      </c>
      <c r="C112" s="393">
        <v>45323</v>
      </c>
      <c r="D112" s="417">
        <f>15000</f>
        <v>15000</v>
      </c>
      <c r="E112" s="417"/>
      <c r="F112" s="398"/>
      <c r="G112" s="398">
        <f>20000</f>
        <v>20000</v>
      </c>
      <c r="H112" s="395">
        <f t="shared" si="1"/>
        <v>35000</v>
      </c>
      <c r="I112" s="399"/>
    </row>
    <row r="113" ht="17.5" spans="1:15">
      <c r="A113" s="1207" t="s">
        <v>1375</v>
      </c>
      <c r="B113" s="392" t="s">
        <v>213</v>
      </c>
      <c r="C113" s="393">
        <v>45323</v>
      </c>
      <c r="D113" s="415">
        <f>0</f>
        <v>0</v>
      </c>
      <c r="E113" s="417"/>
      <c r="F113" s="398"/>
      <c r="G113" s="398">
        <f>0</f>
        <v>0</v>
      </c>
      <c r="H113" s="395">
        <f t="shared" si="1"/>
        <v>0</v>
      </c>
      <c r="I113" s="396"/>
    </row>
    <row r="114" ht="17.5" spans="1:15">
      <c r="A114" s="1204" t="s">
        <v>1376</v>
      </c>
      <c r="B114" s="392" t="s">
        <v>1377</v>
      </c>
      <c r="C114" s="393">
        <v>45323</v>
      </c>
      <c r="D114" s="417">
        <f>20000</f>
        <v>20000</v>
      </c>
      <c r="E114" s="419"/>
      <c r="F114" s="398">
        <v>0</v>
      </c>
      <c r="G114" s="398">
        <f>50000</f>
        <v>50000</v>
      </c>
      <c r="H114" s="395">
        <f t="shared" si="1"/>
        <v>70000</v>
      </c>
      <c r="I114" s="399"/>
    </row>
    <row r="115" ht="17.5" spans="1:15">
      <c r="A115" s="1204" t="s">
        <v>1378</v>
      </c>
      <c r="B115" s="392" t="s">
        <v>1379</v>
      </c>
      <c r="C115" s="393">
        <v>45323</v>
      </c>
      <c r="D115" s="417">
        <f>10000</f>
        <v>10000</v>
      </c>
      <c r="E115" s="419"/>
      <c r="F115" s="407">
        <f>5000+5000</f>
        <v>10000</v>
      </c>
      <c r="G115" s="398">
        <f>14222.06+12000</f>
        <v>26222.06</v>
      </c>
      <c r="H115" s="395">
        <f t="shared" si="1"/>
        <v>46222.06</v>
      </c>
      <c r="I115" s="399"/>
    </row>
    <row r="116" ht="17.5" spans="1:15">
      <c r="A116" s="1204" t="s">
        <v>1380</v>
      </c>
      <c r="B116" s="392" t="s">
        <v>315</v>
      </c>
      <c r="C116" s="393">
        <v>45323</v>
      </c>
      <c r="D116" s="417">
        <f>35000</f>
        <v>35000</v>
      </c>
      <c r="E116" s="419"/>
      <c r="F116" s="398">
        <v>0</v>
      </c>
      <c r="G116" s="398">
        <v>159722.222222222</v>
      </c>
      <c r="H116" s="395">
        <f t="shared" si="1"/>
        <v>194722.222222222</v>
      </c>
      <c r="I116" s="399"/>
    </row>
    <row r="117" ht="16" spans="1:15">
      <c r="A117" s="1207" t="s">
        <v>1381</v>
      </c>
      <c r="B117" s="392" t="s">
        <v>1382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399"/>
    </row>
    <row r="118" ht="17.5" spans="1:15">
      <c r="A118" s="1204" t="s">
        <v>1383</v>
      </c>
      <c r="B118" s="392" t="s">
        <v>1384</v>
      </c>
      <c r="C118" s="393">
        <v>45323</v>
      </c>
      <c r="D118" s="398">
        <f>10000</f>
        <v>10000</v>
      </c>
      <c r="E118" s="398"/>
      <c r="F118" s="407">
        <f>10000</f>
        <v>10000</v>
      </c>
      <c r="G118" s="421">
        <f>18333.33</f>
        <v>18333.33</v>
      </c>
      <c r="H118" s="395">
        <f t="shared" si="1"/>
        <v>38333.33</v>
      </c>
      <c r="I118" s="399"/>
      <c r="J118" s="396"/>
      <c r="L118" s="400"/>
    </row>
    <row r="119" ht="16" spans="1:15">
      <c r="A119" s="1204" t="s">
        <v>1385</v>
      </c>
      <c r="B119" s="392" t="s">
        <v>1386</v>
      </c>
      <c r="C119" s="393">
        <v>45323</v>
      </c>
      <c r="D119" s="398">
        <f>10000</f>
        <v>10000</v>
      </c>
      <c r="E119" s="398"/>
      <c r="F119" s="407">
        <f>5000+5000</f>
        <v>10000</v>
      </c>
      <c r="G119" s="398">
        <f>13125+2500</f>
        <v>15625</v>
      </c>
      <c r="H119" s="395">
        <f t="shared" si="1"/>
        <v>35625</v>
      </c>
      <c r="I119" s="399"/>
    </row>
    <row r="120" ht="16" spans="1:15">
      <c r="A120" s="1204" t="s">
        <v>1387</v>
      </c>
      <c r="B120" s="392" t="s">
        <v>1388</v>
      </c>
      <c r="C120" s="393">
        <v>45323</v>
      </c>
      <c r="D120" s="398">
        <f>10000</f>
        <v>10000</v>
      </c>
      <c r="E120" s="398"/>
      <c r="F120" s="407">
        <f>10000</f>
        <v>10000</v>
      </c>
      <c r="G120" s="398">
        <f>10000</f>
        <v>10000</v>
      </c>
      <c r="H120" s="395">
        <f t="shared" si="1"/>
        <v>30000</v>
      </c>
      <c r="I120" s="399"/>
    </row>
    <row r="121" ht="16" spans="1:15">
      <c r="A121" s="1204" t="s">
        <v>1389</v>
      </c>
      <c r="B121" s="392" t="s">
        <v>1390</v>
      </c>
      <c r="C121" s="393">
        <v>45323</v>
      </c>
      <c r="D121" s="398">
        <v>10000</v>
      </c>
      <c r="E121" s="398"/>
      <c r="F121" s="407"/>
      <c r="G121" s="398">
        <v>63888.89</v>
      </c>
      <c r="H121" s="395">
        <f t="shared" si="1"/>
        <v>73888.89</v>
      </c>
      <c r="I121" s="399"/>
    </row>
    <row r="122" ht="16" spans="1:15">
      <c r="A122" s="1204" t="s">
        <v>1391</v>
      </c>
      <c r="B122" s="392" t="s">
        <v>1392</v>
      </c>
      <c r="C122" s="393">
        <v>45323</v>
      </c>
      <c r="D122" s="398">
        <f>50000</f>
        <v>50000</v>
      </c>
      <c r="E122" s="398"/>
      <c r="F122" s="398">
        <f>50000</f>
        <v>50000</v>
      </c>
      <c r="G122" s="398"/>
      <c r="H122" s="395">
        <f t="shared" si="1"/>
        <v>100000</v>
      </c>
      <c r="I122" s="399"/>
      <c r="O122" s="396"/>
    </row>
    <row r="123" ht="17.5" spans="1:15">
      <c r="A123" s="1204" t="s">
        <v>1393</v>
      </c>
      <c r="B123" s="392" t="s">
        <v>235</v>
      </c>
      <c r="C123" s="393">
        <v>45323</v>
      </c>
      <c r="D123" s="398">
        <f>5000</f>
        <v>5000</v>
      </c>
      <c r="E123" s="398"/>
      <c r="F123" s="398"/>
      <c r="G123" s="417">
        <f>64806.29</f>
        <v>64806.29</v>
      </c>
      <c r="H123" s="395">
        <f t="shared" si="1"/>
        <v>69806.29</v>
      </c>
      <c r="I123" s="399"/>
      <c r="O123" s="396"/>
    </row>
    <row r="124" ht="17.5" spans="1:15">
      <c r="A124" s="1204" t="s">
        <v>1394</v>
      </c>
      <c r="B124" s="392" t="s">
        <v>1395</v>
      </c>
      <c r="C124" s="393">
        <v>45323</v>
      </c>
      <c r="D124" s="407">
        <f>30000</f>
        <v>30000</v>
      </c>
      <c r="E124" s="407">
        <f>0</f>
        <v>0</v>
      </c>
      <c r="F124" s="407">
        <f>0</f>
        <v>0</v>
      </c>
      <c r="G124" s="422">
        <f>60000</f>
        <v>60000</v>
      </c>
      <c r="H124" s="395">
        <f t="shared" si="1"/>
        <v>90000</v>
      </c>
      <c r="I124" s="399"/>
      <c r="N124" s="396"/>
      <c r="O124" s="396"/>
    </row>
    <row r="125" ht="17.5" spans="1:15">
      <c r="A125" s="1207" t="s">
        <v>1396</v>
      </c>
      <c r="B125" s="392" t="s">
        <v>1397</v>
      </c>
      <c r="C125" s="393">
        <v>45323</v>
      </c>
      <c r="D125" s="407">
        <f>20000</f>
        <v>20000</v>
      </c>
      <c r="E125" s="407"/>
      <c r="F125" s="416"/>
      <c r="G125" s="423">
        <f>17500</f>
        <v>17500</v>
      </c>
      <c r="H125" s="395">
        <f t="shared" si="1"/>
        <v>37500</v>
      </c>
      <c r="I125" s="399"/>
      <c r="N125" s="396"/>
      <c r="O125" s="396"/>
    </row>
    <row r="126" ht="16" spans="1:15">
      <c r="A126" s="1207" t="s">
        <v>1398</v>
      </c>
      <c r="B126" s="392" t="s">
        <v>312</v>
      </c>
      <c r="C126" s="393">
        <v>45323</v>
      </c>
      <c r="D126" s="398">
        <v>0</v>
      </c>
      <c r="E126" s="398">
        <v>0</v>
      </c>
      <c r="F126" s="398">
        <v>0</v>
      </c>
      <c r="G126" s="398">
        <f>100000</f>
        <v>100000</v>
      </c>
      <c r="H126" s="395">
        <f t="shared" si="1"/>
        <v>100000</v>
      </c>
      <c r="I126" s="399"/>
      <c r="N126" s="396"/>
      <c r="O126" s="402"/>
    </row>
    <row r="127" ht="16" spans="1:15">
      <c r="A127" s="1207" t="s">
        <v>1399</v>
      </c>
      <c r="B127" s="392" t="s">
        <v>1400</v>
      </c>
      <c r="C127" s="393">
        <v>45323</v>
      </c>
      <c r="D127" s="398"/>
      <c r="E127" s="398"/>
      <c r="F127" s="398"/>
      <c r="G127" s="398"/>
      <c r="H127" s="395">
        <f t="shared" si="1"/>
        <v>0</v>
      </c>
      <c r="I127" s="396"/>
      <c r="N127" s="396"/>
      <c r="O127" s="400"/>
    </row>
    <row r="128" ht="16" spans="1:15">
      <c r="A128" s="1207" t="s">
        <v>1401</v>
      </c>
      <c r="B128" s="392" t="s">
        <v>1402</v>
      </c>
      <c r="C128" s="393">
        <v>45323</v>
      </c>
      <c r="D128" s="395">
        <f>0</f>
        <v>0</v>
      </c>
      <c r="E128" s="398"/>
      <c r="F128" s="398"/>
      <c r="G128" s="398">
        <f>0</f>
        <v>0</v>
      </c>
      <c r="H128" s="395">
        <f t="shared" si="1"/>
        <v>0</v>
      </c>
      <c r="I128" s="396"/>
      <c r="N128" s="396"/>
    </row>
    <row r="129" ht="16" spans="1:15">
      <c r="A129" s="1207" t="s">
        <v>1403</v>
      </c>
      <c r="B129" s="392" t="s">
        <v>1404</v>
      </c>
      <c r="C129" s="393">
        <v>45323</v>
      </c>
      <c r="D129" s="395">
        <f>50000</f>
        <v>50000</v>
      </c>
      <c r="E129" s="398"/>
      <c r="F129" s="398">
        <f>0</f>
        <v>0</v>
      </c>
      <c r="G129" s="398"/>
      <c r="H129" s="395">
        <f t="shared" si="1"/>
        <v>50000</v>
      </c>
      <c r="I129" s="399"/>
      <c r="K129" s="396"/>
    </row>
    <row r="130" ht="16" spans="1:15">
      <c r="A130" s="1207" t="s">
        <v>1403</v>
      </c>
      <c r="B130" s="392" t="s">
        <v>1405</v>
      </c>
      <c r="C130" s="393">
        <v>45323</v>
      </c>
      <c r="D130" s="395"/>
      <c r="E130" s="398"/>
      <c r="F130" s="398"/>
      <c r="G130" s="398"/>
      <c r="H130" s="395">
        <f t="shared" si="1"/>
        <v>0</v>
      </c>
      <c r="I130" s="399"/>
      <c r="K130" s="396"/>
      <c r="O130" s="400"/>
    </row>
    <row r="131" ht="16" spans="1:15">
      <c r="A131" s="1207" t="s">
        <v>1406</v>
      </c>
      <c r="B131" s="392" t="s">
        <v>211</v>
      </c>
      <c r="C131" s="393">
        <v>45323</v>
      </c>
      <c r="D131" s="398">
        <f>50000</f>
        <v>50000</v>
      </c>
      <c r="E131" s="398">
        <f>0</f>
        <v>0</v>
      </c>
      <c r="F131" s="398">
        <v>0</v>
      </c>
      <c r="G131" s="398">
        <f>0</f>
        <v>0</v>
      </c>
      <c r="H131" s="395">
        <f t="shared" si="1"/>
        <v>50000</v>
      </c>
      <c r="I131" s="399"/>
      <c r="K131" s="396"/>
      <c r="L131" s="400"/>
    </row>
    <row r="132" ht="16" spans="1:15">
      <c r="A132" s="1207" t="s">
        <v>1407</v>
      </c>
      <c r="B132" s="392" t="s">
        <v>1408</v>
      </c>
      <c r="C132" s="393">
        <v>45323</v>
      </c>
      <c r="D132" s="398">
        <f>0</f>
        <v>0</v>
      </c>
      <c r="E132" s="398">
        <f>0</f>
        <v>0</v>
      </c>
      <c r="F132" s="398">
        <f>0</f>
        <v>0</v>
      </c>
      <c r="G132" s="398">
        <v>0</v>
      </c>
      <c r="H132" s="395">
        <f t="shared" si="1"/>
        <v>0</v>
      </c>
      <c r="I132" s="396"/>
      <c r="K132" s="400"/>
      <c r="L132" s="400"/>
      <c r="N132" s="396"/>
    </row>
    <row r="133" ht="16" spans="1:15">
      <c r="A133" s="1207" t="s">
        <v>1409</v>
      </c>
      <c r="B133" s="392" t="s">
        <v>1410</v>
      </c>
      <c r="C133" s="393">
        <v>45323</v>
      </c>
      <c r="D133" s="395">
        <f>50000</f>
        <v>50000</v>
      </c>
      <c r="E133" s="398"/>
      <c r="F133" s="398"/>
      <c r="G133" s="398">
        <v>59583.3333333333</v>
      </c>
      <c r="H133" s="395">
        <f t="shared" si="1"/>
        <v>109583.333333333</v>
      </c>
      <c r="I133" s="399"/>
      <c r="L133" s="400"/>
      <c r="N133" s="396"/>
    </row>
    <row r="134" ht="16" spans="1:15">
      <c r="A134" s="1207" t="s">
        <v>1411</v>
      </c>
      <c r="B134" s="392" t="s">
        <v>1412</v>
      </c>
      <c r="C134" s="393">
        <v>45323</v>
      </c>
      <c r="D134" s="405"/>
      <c r="E134" s="405"/>
      <c r="F134" s="398"/>
      <c r="G134" s="398"/>
      <c r="H134" s="395">
        <f t="shared" ref="H134:H184" si="2">D134+E134+F134+G134</f>
        <v>0</v>
      </c>
      <c r="I134" s="396"/>
      <c r="N134" s="396"/>
    </row>
    <row r="135" ht="16" spans="1:15">
      <c r="A135" s="1207" t="s">
        <v>1413</v>
      </c>
      <c r="B135" s="392" t="s">
        <v>1414</v>
      </c>
      <c r="C135" s="393">
        <v>45323</v>
      </c>
      <c r="D135" s="398">
        <f>10000</f>
        <v>10000</v>
      </c>
      <c r="E135" s="398">
        <f>0</f>
        <v>0</v>
      </c>
      <c r="F135" s="398"/>
      <c r="G135" s="398">
        <f>95833.33</f>
        <v>95833.33</v>
      </c>
      <c r="H135" s="395">
        <f t="shared" si="2"/>
        <v>105833.33</v>
      </c>
      <c r="I135" s="399"/>
      <c r="J135" s="396"/>
      <c r="L135" s="400"/>
      <c r="M135" s="396"/>
      <c r="N135" s="396"/>
    </row>
    <row r="136" ht="16" spans="1:15">
      <c r="A136" s="1207" t="s">
        <v>1415</v>
      </c>
      <c r="B136" s="392" t="s">
        <v>1416</v>
      </c>
      <c r="C136" s="393">
        <v>45323</v>
      </c>
      <c r="D136" s="398">
        <f>10000</f>
        <v>10000</v>
      </c>
      <c r="E136" s="398">
        <v>0</v>
      </c>
      <c r="F136" s="398">
        <f>5000+5000</f>
        <v>10000</v>
      </c>
      <c r="G136" s="407">
        <f>22916.67+10000</f>
        <v>32916.67</v>
      </c>
      <c r="H136" s="395">
        <f t="shared" si="2"/>
        <v>52916.67</v>
      </c>
      <c r="I136" s="399"/>
      <c r="J136" s="396"/>
      <c r="M136" s="396"/>
      <c r="N136" s="396"/>
    </row>
    <row r="137" ht="16" spans="1:15">
      <c r="A137" s="1207" t="s">
        <v>1417</v>
      </c>
      <c r="B137" s="392" t="s">
        <v>1418</v>
      </c>
      <c r="C137" s="393">
        <v>45323</v>
      </c>
      <c r="D137" s="407">
        <f>100000</f>
        <v>100000</v>
      </c>
      <c r="E137" s="398"/>
      <c r="F137" s="398"/>
      <c r="G137" s="407">
        <f>131250</f>
        <v>131250</v>
      </c>
      <c r="H137" s="395">
        <f t="shared" si="2"/>
        <v>231250</v>
      </c>
      <c r="I137" s="399"/>
      <c r="J137" s="396"/>
      <c r="M137" s="396"/>
    </row>
    <row r="138" ht="16" spans="1:15">
      <c r="A138" s="1207" t="s">
        <v>1419</v>
      </c>
      <c r="B138" s="392" t="s">
        <v>1420</v>
      </c>
      <c r="C138" s="393">
        <v>45323</v>
      </c>
      <c r="D138" s="407">
        <f>50000</f>
        <v>50000</v>
      </c>
      <c r="E138" s="407">
        <f>0</f>
        <v>0</v>
      </c>
      <c r="F138" s="407"/>
      <c r="G138" s="407"/>
      <c r="H138" s="395">
        <f t="shared" si="2"/>
        <v>50000</v>
      </c>
      <c r="I138" s="399"/>
      <c r="J138" s="396"/>
      <c r="M138" s="396"/>
    </row>
    <row r="139" ht="16" spans="1:15">
      <c r="A139" s="1207" t="s">
        <v>1421</v>
      </c>
      <c r="B139" s="392" t="s">
        <v>333</v>
      </c>
      <c r="C139" s="393">
        <v>45323</v>
      </c>
      <c r="D139" s="407">
        <f>10000</f>
        <v>10000</v>
      </c>
      <c r="E139" s="407">
        <f>0</f>
        <v>0</v>
      </c>
      <c r="F139" s="407"/>
      <c r="G139" s="395">
        <f>90000</f>
        <v>90000</v>
      </c>
      <c r="H139" s="395">
        <f t="shared" si="2"/>
        <v>100000</v>
      </c>
      <c r="I139" s="399"/>
      <c r="J139" s="396"/>
      <c r="M139" s="396"/>
    </row>
    <row r="140" ht="16" spans="1:15">
      <c r="A140" s="1207" t="s">
        <v>1422</v>
      </c>
      <c r="B140" s="392" t="s">
        <v>197</v>
      </c>
      <c r="C140" s="393">
        <v>45323</v>
      </c>
      <c r="D140" s="407">
        <f>50000</f>
        <v>50000</v>
      </c>
      <c r="E140" s="407"/>
      <c r="F140" s="407"/>
      <c r="G140" s="395">
        <f>50000</f>
        <v>50000</v>
      </c>
      <c r="H140" s="395">
        <f t="shared" si="2"/>
        <v>100000</v>
      </c>
      <c r="I140" s="399"/>
      <c r="M140" s="396"/>
    </row>
    <row r="141" ht="16" spans="1:15">
      <c r="A141" s="1207" t="s">
        <v>1423</v>
      </c>
      <c r="B141" s="392" t="s">
        <v>1424</v>
      </c>
      <c r="C141" s="393">
        <v>45323</v>
      </c>
      <c r="D141" s="407">
        <f>100000</f>
        <v>100000</v>
      </c>
      <c r="E141" s="407">
        <f>0</f>
        <v>0</v>
      </c>
      <c r="F141" s="407">
        <f>100000</f>
        <v>100000</v>
      </c>
      <c r="G141" s="407">
        <f>223611.11</f>
        <v>223611.11</v>
      </c>
      <c r="H141" s="395">
        <f t="shared" si="2"/>
        <v>423611.11</v>
      </c>
      <c r="I141" s="399"/>
      <c r="J141" s="396"/>
      <c r="M141" s="396"/>
      <c r="N141" s="400"/>
    </row>
    <row r="142" ht="16" spans="1:15">
      <c r="A142" s="1207" t="s">
        <v>1425</v>
      </c>
      <c r="B142" s="392" t="s">
        <v>1426</v>
      </c>
      <c r="C142" s="393">
        <v>45323</v>
      </c>
      <c r="D142" s="407">
        <f>10000</f>
        <v>10000</v>
      </c>
      <c r="E142" s="407">
        <f>0</f>
        <v>0</v>
      </c>
      <c r="F142" s="407"/>
      <c r="G142" s="407">
        <f>70000</f>
        <v>70000</v>
      </c>
      <c r="H142" s="395">
        <f t="shared" si="2"/>
        <v>80000</v>
      </c>
      <c r="I142" s="399"/>
      <c r="J142" s="396"/>
      <c r="M142" s="396"/>
    </row>
    <row r="143" ht="16" spans="1:15">
      <c r="A143" s="1207" t="s">
        <v>1427</v>
      </c>
      <c r="B143" s="392" t="s">
        <v>378</v>
      </c>
      <c r="C143" s="393">
        <v>45323</v>
      </c>
      <c r="D143" s="407">
        <f>5000</f>
        <v>5000</v>
      </c>
      <c r="E143" s="407">
        <f>0</f>
        <v>0</v>
      </c>
      <c r="F143" s="407">
        <f>5000+5000</f>
        <v>10000</v>
      </c>
      <c r="G143" s="407">
        <f>15000</f>
        <v>15000</v>
      </c>
      <c r="H143" s="395">
        <f t="shared" si="2"/>
        <v>30000</v>
      </c>
      <c r="I143" s="399"/>
      <c r="M143" s="396"/>
    </row>
    <row r="144" ht="16" spans="1:15">
      <c r="A144" s="1207" t="s">
        <v>1428</v>
      </c>
      <c r="B144" s="392" t="s">
        <v>1429</v>
      </c>
      <c r="C144" s="393">
        <v>45323</v>
      </c>
      <c r="D144" s="407">
        <f>0</f>
        <v>0</v>
      </c>
      <c r="E144" s="407">
        <v>0</v>
      </c>
      <c r="F144" s="407"/>
      <c r="G144" s="407">
        <f>0</f>
        <v>0</v>
      </c>
      <c r="H144" s="395">
        <f t="shared" si="2"/>
        <v>0</v>
      </c>
      <c r="I144" s="396"/>
      <c r="L144" s="396"/>
      <c r="M144" s="396"/>
    </row>
    <row r="145" ht="17.5" spans="1:13">
      <c r="A145" s="1207" t="s">
        <v>1430</v>
      </c>
      <c r="B145" s="392" t="s">
        <v>1431</v>
      </c>
      <c r="C145" s="393">
        <v>45323</v>
      </c>
      <c r="D145" s="407"/>
      <c r="E145" s="407"/>
      <c r="F145" s="407"/>
      <c r="G145" s="417"/>
      <c r="H145" s="395">
        <f t="shared" si="2"/>
        <v>0</v>
      </c>
      <c r="I145" s="399"/>
      <c r="L145" s="396"/>
      <c r="M145" s="396"/>
    </row>
    <row r="146" ht="16" spans="1:13">
      <c r="A146" s="1207" t="s">
        <v>1432</v>
      </c>
      <c r="B146" s="392" t="s">
        <v>1433</v>
      </c>
      <c r="C146" s="393">
        <v>45323</v>
      </c>
      <c r="D146" s="407">
        <f>200000</f>
        <v>200000</v>
      </c>
      <c r="E146" s="407">
        <f>0</f>
        <v>0</v>
      </c>
      <c r="F146" s="407"/>
      <c r="G146" s="407">
        <f>52500*2+275000</f>
        <v>380000</v>
      </c>
      <c r="H146" s="395">
        <f t="shared" si="2"/>
        <v>580000</v>
      </c>
      <c r="I146" s="399"/>
      <c r="L146" s="396"/>
    </row>
    <row r="147" ht="16" spans="1:13">
      <c r="A147" s="1207" t="s">
        <v>1434</v>
      </c>
      <c r="B147" s="392" t="s">
        <v>1435</v>
      </c>
      <c r="C147" s="393">
        <v>45323</v>
      </c>
      <c r="D147" s="407">
        <f>25000</f>
        <v>25000</v>
      </c>
      <c r="E147" s="407"/>
      <c r="F147" s="407"/>
      <c r="G147" s="409"/>
      <c r="H147" s="395">
        <f t="shared" si="2"/>
        <v>25000</v>
      </c>
      <c r="I147" s="399"/>
      <c r="L147" s="396"/>
    </row>
    <row r="148" ht="16" spans="1:13">
      <c r="A148" s="1207" t="s">
        <v>1436</v>
      </c>
      <c r="B148" s="392" t="s">
        <v>1437</v>
      </c>
      <c r="C148" s="393">
        <v>45323</v>
      </c>
      <c r="D148" s="407">
        <f>0</f>
        <v>0</v>
      </c>
      <c r="E148" s="407"/>
      <c r="F148" s="407"/>
      <c r="G148" s="407"/>
      <c r="H148" s="395">
        <f t="shared" si="2"/>
        <v>0</v>
      </c>
      <c r="I148" s="399"/>
      <c r="L148" s="396"/>
    </row>
    <row r="149" ht="16" spans="1:13">
      <c r="A149" s="1207" t="s">
        <v>1438</v>
      </c>
      <c r="B149" s="392" t="s">
        <v>162</v>
      </c>
      <c r="C149" s="393">
        <v>45323</v>
      </c>
      <c r="D149" s="407">
        <v>50000</v>
      </c>
      <c r="E149" s="407"/>
      <c r="F149" s="407"/>
      <c r="G149" s="407">
        <v>145000</v>
      </c>
      <c r="H149" s="395">
        <f t="shared" si="2"/>
        <v>195000</v>
      </c>
      <c r="I149" s="399"/>
    </row>
    <row r="150" ht="16" spans="1:13">
      <c r="A150" s="1207" t="s">
        <v>1439</v>
      </c>
      <c r="B150" s="392" t="s">
        <v>236</v>
      </c>
      <c r="C150" s="393">
        <v>45323</v>
      </c>
      <c r="D150" s="407">
        <f>10000</f>
        <v>10000</v>
      </c>
      <c r="E150" s="407">
        <f>0</f>
        <v>0</v>
      </c>
      <c r="F150" s="407"/>
      <c r="G150" s="398">
        <v>19583.33</v>
      </c>
      <c r="H150" s="395">
        <f t="shared" si="2"/>
        <v>29583.33</v>
      </c>
      <c r="I150" s="396"/>
      <c r="L150" s="396"/>
    </row>
    <row r="151" ht="16" spans="1:13">
      <c r="A151" s="1207" t="s">
        <v>1440</v>
      </c>
      <c r="B151" s="392" t="s">
        <v>1441</v>
      </c>
      <c r="C151" s="393">
        <v>45323</v>
      </c>
      <c r="D151" s="407">
        <f>10000</f>
        <v>10000</v>
      </c>
      <c r="E151" s="407"/>
      <c r="F151" s="407"/>
      <c r="G151" s="407">
        <f>95833.33</f>
        <v>95833.33</v>
      </c>
      <c r="H151" s="395">
        <f t="shared" si="2"/>
        <v>105833.33</v>
      </c>
      <c r="I151" s="399"/>
    </row>
    <row r="152" ht="16" spans="1:13">
      <c r="A152" s="1207" t="s">
        <v>1442</v>
      </c>
      <c r="B152" s="392" t="s">
        <v>95</v>
      </c>
      <c r="C152" s="393">
        <v>45323</v>
      </c>
      <c r="D152" s="407">
        <f>0</f>
        <v>0</v>
      </c>
      <c r="E152" s="407"/>
      <c r="F152" s="407"/>
      <c r="G152" s="407">
        <f>26666.67</f>
        <v>26666.67</v>
      </c>
      <c r="H152" s="395">
        <f t="shared" si="2"/>
        <v>26666.67</v>
      </c>
      <c r="I152" s="399"/>
    </row>
    <row r="153" ht="16" spans="1:13">
      <c r="A153" s="1207" t="s">
        <v>1443</v>
      </c>
      <c r="B153" s="392" t="s">
        <v>91</v>
      </c>
      <c r="C153" s="393">
        <v>45323</v>
      </c>
      <c r="D153" s="407">
        <f>50000</f>
        <v>50000</v>
      </c>
      <c r="E153" s="407"/>
      <c r="F153" s="407"/>
      <c r="G153" s="407">
        <f>50000</f>
        <v>50000</v>
      </c>
      <c r="H153" s="395">
        <f t="shared" si="2"/>
        <v>100000</v>
      </c>
      <c r="I153" s="399"/>
    </row>
    <row r="154" ht="16" spans="1:13">
      <c r="A154" s="1207" t="s">
        <v>1444</v>
      </c>
      <c r="B154" s="392" t="s">
        <v>1445</v>
      </c>
      <c r="C154" s="393">
        <v>45323</v>
      </c>
      <c r="D154" s="407">
        <f>30000</f>
        <v>30000</v>
      </c>
      <c r="E154" s="407"/>
      <c r="F154" s="407"/>
      <c r="G154" s="407"/>
      <c r="H154" s="395">
        <f t="shared" si="2"/>
        <v>30000</v>
      </c>
      <c r="I154" s="399"/>
    </row>
    <row r="155" ht="16" spans="1:13">
      <c r="A155" s="1207" t="s">
        <v>1446</v>
      </c>
      <c r="B155" s="392" t="s">
        <v>1447</v>
      </c>
      <c r="C155" s="393">
        <v>45323</v>
      </c>
      <c r="D155" s="407">
        <f>0</f>
        <v>0</v>
      </c>
      <c r="E155" s="407"/>
      <c r="F155" s="407"/>
      <c r="G155" s="407"/>
      <c r="H155" s="395">
        <f t="shared" si="2"/>
        <v>0</v>
      </c>
      <c r="I155" s="396"/>
    </row>
    <row r="156" ht="16" spans="1:13">
      <c r="A156" s="1207" t="s">
        <v>1448</v>
      </c>
      <c r="B156" s="392" t="s">
        <v>284</v>
      </c>
      <c r="C156" s="393">
        <v>45323</v>
      </c>
      <c r="D156" s="407">
        <f>100000</f>
        <v>100000</v>
      </c>
      <c r="E156" s="407"/>
      <c r="F156" s="407"/>
      <c r="G156" s="407">
        <f>51500</f>
        <v>51500</v>
      </c>
      <c r="H156" s="395">
        <f t="shared" si="2"/>
        <v>151500</v>
      </c>
      <c r="I156" s="399"/>
    </row>
    <row r="157" ht="16" spans="1:13">
      <c r="A157" s="1207" t="s">
        <v>1449</v>
      </c>
      <c r="B157" s="392" t="s">
        <v>1450</v>
      </c>
      <c r="C157" s="393">
        <v>45323</v>
      </c>
      <c r="D157" s="407">
        <f>10000</f>
        <v>10000</v>
      </c>
      <c r="E157" s="407"/>
      <c r="F157" s="407">
        <f>10000</f>
        <v>10000</v>
      </c>
      <c r="G157" s="407">
        <f>11518</f>
        <v>11518</v>
      </c>
      <c r="H157" s="395">
        <f t="shared" si="2"/>
        <v>31518</v>
      </c>
      <c r="I157" s="399"/>
    </row>
    <row r="158" ht="16" spans="1:13">
      <c r="A158" s="1207" t="s">
        <v>1451</v>
      </c>
      <c r="B158" s="392" t="s">
        <v>1452</v>
      </c>
      <c r="C158" s="393">
        <v>45323</v>
      </c>
      <c r="D158" s="407">
        <f>20000</f>
        <v>20000</v>
      </c>
      <c r="E158" s="407"/>
      <c r="F158" s="407"/>
      <c r="G158" s="407"/>
      <c r="H158" s="395">
        <f t="shared" si="2"/>
        <v>20000</v>
      </c>
      <c r="I158" s="399"/>
    </row>
    <row r="159" ht="16" spans="1:13">
      <c r="A159" s="1207" t="s">
        <v>1453</v>
      </c>
      <c r="B159" s="392" t="s">
        <v>385</v>
      </c>
      <c r="C159" s="393">
        <v>45323</v>
      </c>
      <c r="D159" s="407">
        <v>10000</v>
      </c>
      <c r="E159" s="407"/>
      <c r="F159" s="407">
        <f>5000+5000</f>
        <v>10000</v>
      </c>
      <c r="G159" s="407"/>
      <c r="H159" s="395">
        <f t="shared" si="2"/>
        <v>20000</v>
      </c>
      <c r="I159" s="399"/>
    </row>
    <row r="160" ht="16" spans="1:13">
      <c r="A160" s="1207" t="s">
        <v>1454</v>
      </c>
      <c r="B160" s="392" t="s">
        <v>1455</v>
      </c>
      <c r="C160" s="393">
        <v>45323</v>
      </c>
      <c r="D160" s="407">
        <v>200000</v>
      </c>
      <c r="E160" s="407"/>
      <c r="F160" s="407"/>
      <c r="G160" s="424">
        <f>0</f>
        <v>0</v>
      </c>
      <c r="H160" s="395">
        <f t="shared" si="2"/>
        <v>200000</v>
      </c>
      <c r="I160" s="399"/>
    </row>
    <row r="161" ht="16" spans="1:9">
      <c r="A161" s="1207" t="s">
        <v>1456</v>
      </c>
      <c r="B161" s="392" t="s">
        <v>1457</v>
      </c>
      <c r="C161" s="393">
        <v>45323</v>
      </c>
      <c r="D161" s="407">
        <f>0</f>
        <v>0</v>
      </c>
      <c r="E161" s="407"/>
      <c r="F161" s="407"/>
      <c r="G161" s="407">
        <f>0</f>
        <v>0</v>
      </c>
      <c r="H161" s="395">
        <f t="shared" si="2"/>
        <v>0</v>
      </c>
      <c r="I161" s="396"/>
    </row>
    <row r="162" ht="16" spans="1:9">
      <c r="A162" s="1207" t="s">
        <v>1458</v>
      </c>
      <c r="B162" s="392" t="s">
        <v>1459</v>
      </c>
      <c r="C162" s="393">
        <v>45323</v>
      </c>
      <c r="D162" s="407">
        <f>100000</f>
        <v>100000</v>
      </c>
      <c r="E162" s="407"/>
      <c r="F162" s="407"/>
      <c r="G162" s="407"/>
      <c r="H162" s="395">
        <f t="shared" si="2"/>
        <v>100000</v>
      </c>
      <c r="I162" s="399"/>
    </row>
    <row r="163" ht="16" spans="1:9">
      <c r="A163" s="1207" t="s">
        <v>1460</v>
      </c>
      <c r="B163" s="392" t="s">
        <v>1461</v>
      </c>
      <c r="C163" s="393">
        <v>45323</v>
      </c>
      <c r="D163" s="407">
        <f>5000</f>
        <v>5000</v>
      </c>
      <c r="E163" s="407">
        <f>0</f>
        <v>0</v>
      </c>
      <c r="F163" s="407">
        <f>10000</f>
        <v>10000</v>
      </c>
      <c r="G163" s="407">
        <v>20000</v>
      </c>
      <c r="H163" s="395">
        <f t="shared" si="2"/>
        <v>35000</v>
      </c>
      <c r="I163" s="399"/>
    </row>
    <row r="164" ht="16" spans="1:9">
      <c r="A164" s="1207" t="s">
        <v>1462</v>
      </c>
      <c r="B164" s="392" t="s">
        <v>1463</v>
      </c>
      <c r="C164" s="393">
        <v>45323</v>
      </c>
      <c r="D164" s="407">
        <f>20000</f>
        <v>20000</v>
      </c>
      <c r="E164" s="407"/>
      <c r="F164" s="407"/>
      <c r="G164" s="407"/>
      <c r="H164" s="395">
        <f t="shared" si="2"/>
        <v>20000</v>
      </c>
      <c r="I164" s="399"/>
    </row>
    <row r="165" ht="16" spans="1:9">
      <c r="A165" s="1207" t="s">
        <v>1464</v>
      </c>
      <c r="B165" s="392" t="s">
        <v>1465</v>
      </c>
      <c r="C165" s="393">
        <v>45323</v>
      </c>
      <c r="D165" s="407">
        <f>50000</f>
        <v>50000</v>
      </c>
      <c r="E165" s="407"/>
      <c r="F165" s="407"/>
      <c r="G165" s="407">
        <f>91666.67</f>
        <v>91666.67</v>
      </c>
      <c r="H165" s="395">
        <f t="shared" si="2"/>
        <v>141666.67</v>
      </c>
      <c r="I165" s="399"/>
    </row>
    <row r="166" ht="16" spans="1:9">
      <c r="A166" s="1207" t="s">
        <v>1466</v>
      </c>
      <c r="B166" s="392" t="s">
        <v>215</v>
      </c>
      <c r="C166" s="393">
        <v>45323</v>
      </c>
      <c r="D166" s="407">
        <f>20000</f>
        <v>20000</v>
      </c>
      <c r="E166" s="407">
        <f>0</f>
        <v>0</v>
      </c>
      <c r="F166" s="407"/>
      <c r="G166" s="407">
        <f>43750</f>
        <v>43750</v>
      </c>
      <c r="H166" s="395">
        <f t="shared" si="2"/>
        <v>63750</v>
      </c>
      <c r="I166" s="399"/>
    </row>
    <row r="167" ht="16" spans="1:9">
      <c r="A167" s="1207" t="s">
        <v>1467</v>
      </c>
      <c r="B167" s="392" t="s">
        <v>1468</v>
      </c>
      <c r="C167" s="393">
        <v>45323</v>
      </c>
      <c r="D167" s="407">
        <f>10000</f>
        <v>10000</v>
      </c>
      <c r="E167" s="407">
        <f>0</f>
        <v>0</v>
      </c>
      <c r="F167" s="407"/>
      <c r="G167" s="407"/>
      <c r="H167" s="395">
        <f t="shared" si="2"/>
        <v>10000</v>
      </c>
      <c r="I167" s="399"/>
    </row>
    <row r="168" ht="16" spans="1:9">
      <c r="A168" s="1207" t="s">
        <v>1469</v>
      </c>
      <c r="B168" s="392" t="s">
        <v>478</v>
      </c>
      <c r="C168" s="393">
        <v>45323</v>
      </c>
      <c r="D168" s="407">
        <f>10000</f>
        <v>10000</v>
      </c>
      <c r="E168" s="407">
        <f>0</f>
        <v>0</v>
      </c>
      <c r="F168" s="407"/>
      <c r="G168" s="407">
        <f>20000</f>
        <v>20000</v>
      </c>
      <c r="H168" s="395">
        <f t="shared" si="2"/>
        <v>30000</v>
      </c>
      <c r="I168" s="399"/>
    </row>
    <row r="169" ht="16" spans="1:9">
      <c r="A169" s="1207" t="s">
        <v>1470</v>
      </c>
      <c r="B169" s="392" t="s">
        <v>1471</v>
      </c>
      <c r="C169" s="393">
        <v>45323</v>
      </c>
      <c r="D169" s="407">
        <v>20000</v>
      </c>
      <c r="E169" s="407">
        <f>0</f>
        <v>0</v>
      </c>
      <c r="F169" s="407"/>
      <c r="G169" s="407"/>
      <c r="H169" s="395">
        <f t="shared" si="2"/>
        <v>20000</v>
      </c>
      <c r="I169" s="399"/>
    </row>
    <row r="170" ht="16" spans="1:9">
      <c r="A170" s="1207" t="s">
        <v>1472</v>
      </c>
      <c r="B170" s="392" t="s">
        <v>1473</v>
      </c>
      <c r="C170" s="393">
        <v>45323</v>
      </c>
      <c r="D170" s="407">
        <f>0</f>
        <v>0</v>
      </c>
      <c r="E170" s="407">
        <f>0</f>
        <v>0</v>
      </c>
      <c r="F170" s="407">
        <f>120000</f>
        <v>120000</v>
      </c>
      <c r="G170" s="407"/>
      <c r="H170" s="395">
        <f t="shared" si="2"/>
        <v>120000</v>
      </c>
      <c r="I170" s="399"/>
    </row>
    <row r="171" ht="16" spans="1:9">
      <c r="A171" s="1207" t="s">
        <v>1474</v>
      </c>
      <c r="B171" s="392" t="s">
        <v>1475</v>
      </c>
      <c r="C171" s="393">
        <v>45323</v>
      </c>
      <c r="D171" s="407">
        <f>50000</f>
        <v>50000</v>
      </c>
      <c r="E171" s="407"/>
      <c r="F171" s="407"/>
      <c r="G171" s="407"/>
      <c r="H171" s="395">
        <f t="shared" si="2"/>
        <v>50000</v>
      </c>
      <c r="I171" s="399"/>
    </row>
    <row r="172" ht="16" spans="1:9">
      <c r="A172" s="1207" t="s">
        <v>1476</v>
      </c>
      <c r="B172" s="392" t="s">
        <v>174</v>
      </c>
      <c r="C172" s="393">
        <v>45323</v>
      </c>
      <c r="D172" s="407">
        <f>65000</f>
        <v>65000</v>
      </c>
      <c r="E172" s="407"/>
      <c r="F172" s="407"/>
      <c r="G172" s="407"/>
      <c r="H172" s="395">
        <f t="shared" si="2"/>
        <v>65000</v>
      </c>
      <c r="I172" s="399"/>
    </row>
    <row r="173" ht="16" spans="1:9">
      <c r="A173" s="1207" t="s">
        <v>1477</v>
      </c>
      <c r="B173" s="392" t="s">
        <v>345</v>
      </c>
      <c r="C173" s="393">
        <v>45323</v>
      </c>
      <c r="D173" s="407">
        <f>10000</f>
        <v>10000</v>
      </c>
      <c r="E173" s="407"/>
      <c r="F173" s="407"/>
      <c r="G173" s="407"/>
      <c r="H173" s="395">
        <f t="shared" si="2"/>
        <v>10000</v>
      </c>
      <c r="I173" s="399"/>
    </row>
    <row r="174" ht="16" spans="1:9">
      <c r="A174" s="1207" t="s">
        <v>1478</v>
      </c>
      <c r="B174" s="392" t="s">
        <v>1479</v>
      </c>
      <c r="C174" s="393">
        <v>45323</v>
      </c>
      <c r="D174" s="407">
        <f>10000</f>
        <v>10000</v>
      </c>
      <c r="E174" s="407"/>
      <c r="F174" s="407"/>
      <c r="G174" s="407"/>
      <c r="H174" s="395">
        <f t="shared" si="2"/>
        <v>10000</v>
      </c>
      <c r="I174" s="399"/>
    </row>
    <row r="175" ht="16" spans="1:9">
      <c r="A175" s="1207" t="s">
        <v>1480</v>
      </c>
      <c r="B175" s="392" t="s">
        <v>1481</v>
      </c>
      <c r="C175" s="393">
        <v>45323</v>
      </c>
      <c r="D175" s="407">
        <f>30000</f>
        <v>30000</v>
      </c>
      <c r="E175" s="407"/>
      <c r="F175" s="407"/>
      <c r="G175" s="407"/>
      <c r="H175" s="395">
        <f t="shared" si="2"/>
        <v>30000</v>
      </c>
      <c r="I175" s="399"/>
    </row>
    <row r="176" ht="16" spans="1:9">
      <c r="A176" s="1207" t="s">
        <v>1482</v>
      </c>
      <c r="B176" s="392" t="s">
        <v>103</v>
      </c>
      <c r="C176" s="393">
        <v>45323</v>
      </c>
      <c r="D176" s="407">
        <f>20000</f>
        <v>20000</v>
      </c>
      <c r="E176" s="407"/>
      <c r="F176" s="407"/>
      <c r="G176" s="407"/>
      <c r="H176" s="395">
        <f t="shared" si="2"/>
        <v>20000</v>
      </c>
      <c r="I176" s="399"/>
    </row>
    <row r="177" ht="16" spans="1:12">
      <c r="A177" s="1207" t="s">
        <v>1483</v>
      </c>
      <c r="B177" s="392" t="s">
        <v>1484</v>
      </c>
      <c r="C177" s="393">
        <v>45323</v>
      </c>
      <c r="D177" s="407">
        <f>30000</f>
        <v>30000</v>
      </c>
      <c r="E177" s="407"/>
      <c r="F177" s="407"/>
      <c r="G177" s="407"/>
      <c r="H177" s="395">
        <f t="shared" si="2"/>
        <v>30000</v>
      </c>
      <c r="I177" s="399"/>
    </row>
    <row r="178" ht="16" spans="1:12">
      <c r="A178" s="1207" t="s">
        <v>1485</v>
      </c>
      <c r="B178" s="392" t="s">
        <v>1486</v>
      </c>
      <c r="C178" s="393">
        <v>45323</v>
      </c>
      <c r="D178" s="407">
        <v>30000</v>
      </c>
      <c r="E178" s="407"/>
      <c r="F178" s="407"/>
      <c r="G178" s="407"/>
      <c r="H178" s="395">
        <f t="shared" si="2"/>
        <v>30000</v>
      </c>
      <c r="I178" s="399"/>
    </row>
    <row r="179" ht="16" spans="1:12">
      <c r="A179" s="1207" t="s">
        <v>1487</v>
      </c>
      <c r="B179" s="392" t="s">
        <v>1488</v>
      </c>
      <c r="C179" s="393">
        <v>45323</v>
      </c>
      <c r="D179" s="407">
        <f>50000</f>
        <v>50000</v>
      </c>
      <c r="E179" s="407"/>
      <c r="F179" s="407"/>
      <c r="G179" s="407"/>
      <c r="H179" s="395">
        <f t="shared" si="2"/>
        <v>50000</v>
      </c>
      <c r="I179" s="399"/>
    </row>
    <row r="180" ht="16" spans="1:12">
      <c r="A180" s="1207" t="s">
        <v>1489</v>
      </c>
      <c r="B180" s="392" t="s">
        <v>1490</v>
      </c>
      <c r="C180" s="393">
        <v>45323</v>
      </c>
      <c r="D180" s="407">
        <v>5000</v>
      </c>
      <c r="E180" s="407"/>
      <c r="F180" s="407">
        <f>10000</f>
        <v>10000</v>
      </c>
      <c r="G180" s="407"/>
      <c r="H180" s="395">
        <f t="shared" si="2"/>
        <v>15000</v>
      </c>
      <c r="I180" s="399"/>
    </row>
    <row r="181" ht="16" spans="1:12">
      <c r="A181" s="1207" t="s">
        <v>1491</v>
      </c>
      <c r="B181" s="392" t="s">
        <v>401</v>
      </c>
      <c r="C181" s="393">
        <v>45323</v>
      </c>
      <c r="D181" s="407">
        <f>10000</f>
        <v>10000</v>
      </c>
      <c r="E181" s="407"/>
      <c r="F181" s="407">
        <f>10000</f>
        <v>10000</v>
      </c>
      <c r="G181" s="407"/>
      <c r="H181" s="395">
        <f t="shared" si="2"/>
        <v>20000</v>
      </c>
      <c r="I181" s="399"/>
    </row>
    <row r="182" ht="16" spans="1:12">
      <c r="A182" s="1207" t="s">
        <v>1489</v>
      </c>
      <c r="B182" s="392" t="s">
        <v>1492</v>
      </c>
      <c r="C182" s="393">
        <v>45323</v>
      </c>
      <c r="D182" s="407">
        <f>10000</f>
        <v>10000</v>
      </c>
      <c r="E182" s="407"/>
      <c r="F182" s="407"/>
      <c r="G182" s="407"/>
      <c r="H182" s="395">
        <f t="shared" si="2"/>
        <v>10000</v>
      </c>
      <c r="I182" s="399"/>
    </row>
    <row r="183" ht="16" spans="1:12">
      <c r="A183" s="1207" t="s">
        <v>1489</v>
      </c>
      <c r="B183" s="392" t="s">
        <v>396</v>
      </c>
      <c r="C183" s="393">
        <v>45323</v>
      </c>
      <c r="D183" s="407">
        <f>10000</f>
        <v>10000</v>
      </c>
      <c r="E183" s="407"/>
      <c r="F183" s="407"/>
      <c r="G183" s="407"/>
      <c r="H183" s="395">
        <f t="shared" si="2"/>
        <v>10000</v>
      </c>
      <c r="I183" s="399"/>
    </row>
    <row r="184" ht="16" spans="1:12">
      <c r="A184" s="1207" t="s">
        <v>1489</v>
      </c>
      <c r="B184" s="392" t="s">
        <v>1493</v>
      </c>
      <c r="C184" s="393">
        <v>45323</v>
      </c>
      <c r="D184" s="407">
        <f>10000</f>
        <v>10000</v>
      </c>
      <c r="E184" s="407"/>
      <c r="F184" s="407"/>
      <c r="G184" s="407"/>
      <c r="H184" s="395">
        <f t="shared" si="2"/>
        <v>10000</v>
      </c>
      <c r="I184" s="399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396"/>
      <c r="J185" s="396"/>
      <c r="L185" s="396"/>
    </row>
    <row r="186" ht="22" spans="1:12">
      <c r="A186" s="428"/>
      <c r="B186" s="429" t="s">
        <v>120</v>
      </c>
      <c r="C186" s="392"/>
      <c r="D186" s="430">
        <f>D185+E185+F185</f>
        <v>5123500</v>
      </c>
      <c r="E186" s="431"/>
      <c r="F186" s="431"/>
      <c r="G186" s="431"/>
      <c r="H186" s="431"/>
      <c r="I186" s="400"/>
      <c r="J186" s="400"/>
      <c r="L186" s="396"/>
    </row>
    <row r="187" ht="15" spans="1:12">
      <c r="A187" s="384"/>
      <c r="B187" s="387" t="s">
        <v>1494</v>
      </c>
      <c r="C187" s="387"/>
      <c r="D187" s="432"/>
      <c r="E187" s="392"/>
      <c r="F187" s="400"/>
      <c r="G187" s="433"/>
      <c r="H187" s="396"/>
      <c r="I187" s="396"/>
      <c r="L187" s="434"/>
    </row>
    <row r="188" ht="15" spans="1:12">
      <c r="A188" s="384"/>
      <c r="B188" s="392"/>
      <c r="C188" s="387" t="s">
        <v>1495</v>
      </c>
      <c r="D188" s="387" t="s">
        <v>1496</v>
      </c>
      <c r="E188" s="392"/>
      <c r="F188" s="433"/>
      <c r="G188" s="433"/>
      <c r="H188" s="434"/>
      <c r="I188" s="396"/>
    </row>
    <row r="189" ht="17.5" spans="1:12">
      <c r="A189" s="392"/>
      <c r="B189" s="392" t="s">
        <v>1497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1498</v>
      </c>
      <c r="G189" s="396"/>
      <c r="H189" s="396"/>
      <c r="I189" s="396"/>
      <c r="K189" s="396"/>
    </row>
    <row r="190" ht="17.5" spans="1:12">
      <c r="A190" s="392"/>
      <c r="B190" s="392" t="s">
        <v>1499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396"/>
      <c r="H190" s="396"/>
      <c r="I190" s="396"/>
      <c r="K190" s="396"/>
    </row>
    <row r="191" ht="17.5" spans="1:12">
      <c r="A191" s="392"/>
      <c r="B191" s="392" t="s">
        <v>1500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399"/>
      <c r="G191" s="396"/>
      <c r="H191" s="396"/>
      <c r="I191" s="396"/>
      <c r="K191" s="396"/>
    </row>
    <row r="192" ht="17.5" spans="1:12">
      <c r="A192" s="392"/>
      <c r="B192" s="392" t="s">
        <v>401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399"/>
      <c r="G192" s="396"/>
      <c r="H192" s="396"/>
      <c r="I192" s="396"/>
      <c r="K192" s="396"/>
    </row>
    <row r="193" ht="17.5" spans="1:11">
      <c r="A193" s="392"/>
      <c r="B193" s="392" t="s">
        <v>1492</v>
      </c>
      <c r="C193" s="415">
        <v>12000</v>
      </c>
      <c r="D193" s="437">
        <f>10000</f>
        <v>10000</v>
      </c>
      <c r="E193" s="415">
        <f t="shared" si="4"/>
        <v>-2000</v>
      </c>
      <c r="F193" s="399"/>
      <c r="G193" s="396"/>
      <c r="H193" s="396"/>
      <c r="I193" s="396"/>
      <c r="K193" s="396"/>
    </row>
    <row r="194" ht="17.5" spans="1:11">
      <c r="A194" s="392"/>
      <c r="B194" s="392" t="s">
        <v>396</v>
      </c>
      <c r="C194" s="415">
        <v>12000</v>
      </c>
      <c r="D194" s="437">
        <f>10000</f>
        <v>10000</v>
      </c>
      <c r="E194" s="415">
        <f t="shared" si="4"/>
        <v>-2000</v>
      </c>
      <c r="F194" s="399"/>
      <c r="G194" s="396"/>
      <c r="H194" s="396"/>
      <c r="I194" s="396"/>
      <c r="K194" s="396"/>
    </row>
    <row r="195" ht="17.5" spans="1:11">
      <c r="A195" s="392"/>
      <c r="B195" s="392" t="s">
        <v>1493</v>
      </c>
      <c r="C195" s="415">
        <v>12000</v>
      </c>
      <c r="D195" s="437">
        <f>10000</f>
        <v>10000</v>
      </c>
      <c r="E195" s="415">
        <f t="shared" si="4"/>
        <v>-2000</v>
      </c>
      <c r="F195" s="399"/>
      <c r="G195" s="396"/>
      <c r="H195" s="396"/>
      <c r="I195" s="396"/>
      <c r="K195" s="396"/>
    </row>
    <row r="196" ht="17.5" spans="1:11">
      <c r="A196" s="384"/>
      <c r="B196" s="438" t="s">
        <v>498</v>
      </c>
      <c r="C196" s="410"/>
      <c r="D196" s="439">
        <f>0</f>
        <v>0</v>
      </c>
      <c r="E196" s="440">
        <f>SUM(E190:E195)</f>
        <v>-12000</v>
      </c>
      <c r="I196" s="402"/>
      <c r="K196" s="396"/>
    </row>
    <row r="197" ht="15" spans="1:11">
      <c r="A197" s="392"/>
      <c r="B197" s="392"/>
      <c r="C197" s="387"/>
      <c r="D197" s="392"/>
      <c r="E197" s="392"/>
      <c r="K197" s="396"/>
    </row>
    <row r="198" ht="15" spans="1:11">
      <c r="A198" s="392"/>
      <c r="B198" s="387" t="s">
        <v>1501</v>
      </c>
      <c r="C198" s="387"/>
      <c r="D198" s="392"/>
      <c r="E198" s="392"/>
      <c r="K198" s="396"/>
    </row>
    <row r="199" ht="15" spans="1:11">
      <c r="A199" s="392"/>
      <c r="B199" s="387"/>
      <c r="C199" s="387" t="s">
        <v>1495</v>
      </c>
      <c r="D199" s="387" t="s">
        <v>1496</v>
      </c>
      <c r="E199" s="392"/>
      <c r="K199" s="396"/>
    </row>
    <row r="200" ht="17.5" spans="1:11">
      <c r="A200" s="441"/>
      <c r="B200" s="441" t="s">
        <v>1502</v>
      </c>
      <c r="C200" s="395">
        <f>20000</f>
        <v>20000</v>
      </c>
      <c r="D200" s="398">
        <f>0</f>
        <v>0</v>
      </c>
      <c r="E200" s="415">
        <f>D200-C200</f>
        <v>-20000</v>
      </c>
      <c r="G200" s="396"/>
      <c r="K200" s="396"/>
    </row>
    <row r="201" ht="17.5" spans="1:11">
      <c r="A201" s="441"/>
      <c r="B201" s="441" t="s">
        <v>1503</v>
      </c>
      <c r="C201" s="395">
        <v>120000</v>
      </c>
      <c r="D201" s="398"/>
      <c r="E201" s="415">
        <f>D201-C201</f>
        <v>-120000</v>
      </c>
      <c r="G201" s="396"/>
      <c r="K201" s="396"/>
    </row>
    <row r="202" ht="17.5" spans="1:11">
      <c r="A202" s="441"/>
      <c r="B202" s="441"/>
      <c r="C202" s="395"/>
      <c r="D202" s="398"/>
      <c r="E202" s="415"/>
      <c r="G202" s="396"/>
      <c r="K202" s="396"/>
    </row>
    <row r="203" ht="17.5" spans="1:11">
      <c r="A203" s="441"/>
      <c r="B203" s="441"/>
      <c r="C203" s="415"/>
      <c r="D203" s="415"/>
      <c r="E203" s="415"/>
      <c r="G203" s="396"/>
      <c r="K203" s="396"/>
    </row>
    <row r="204" ht="17.5" spans="1:11">
      <c r="A204" s="441"/>
      <c r="B204" s="441"/>
      <c r="C204" s="395"/>
      <c r="D204" s="398"/>
      <c r="E204" s="415"/>
      <c r="G204" s="396"/>
      <c r="H204" s="396"/>
      <c r="K204" s="396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396"/>
      <c r="K205" s="396"/>
    </row>
    <row r="206" ht="30" customHeight="1" spans="1:11">
      <c r="A206" s="384"/>
      <c r="B206" s="438" t="s">
        <v>584</v>
      </c>
      <c r="C206" s="384"/>
      <c r="D206" s="384"/>
      <c r="E206" s="442">
        <f>E196+E205</f>
        <v>-152000</v>
      </c>
      <c r="G206" s="396"/>
      <c r="K206" s="396"/>
    </row>
    <row r="207" ht="18.5" spans="1:11">
      <c r="E207" s="443"/>
      <c r="K207" s="396"/>
    </row>
    <row r="208" ht="16" spans="1:11">
      <c r="A208" s="1207" t="s">
        <v>1232</v>
      </c>
      <c r="B208" s="392" t="s">
        <v>1233</v>
      </c>
      <c r="C208" s="393">
        <v>45292</v>
      </c>
      <c r="D208" s="398">
        <v>10000</v>
      </c>
      <c r="E208" s="398">
        <v>0</v>
      </c>
      <c r="F208" s="398">
        <v>0</v>
      </c>
      <c r="G208" s="398">
        <f>40000</f>
        <v>40000</v>
      </c>
      <c r="H208" s="395">
        <f t="shared" ref="H208:H223" si="5">D208+E208+F208+G208</f>
        <v>50000</v>
      </c>
      <c r="I208" s="396"/>
      <c r="K208" s="396"/>
    </row>
    <row r="209" ht="16" spans="1:14">
      <c r="A209" s="1207" t="s">
        <v>1280</v>
      </c>
      <c r="B209" s="392" t="s">
        <v>1281</v>
      </c>
      <c r="C209" s="393">
        <v>45292</v>
      </c>
      <c r="D209" s="407">
        <v>30000</v>
      </c>
      <c r="E209" s="407">
        <v>0</v>
      </c>
      <c r="F209" s="407">
        <v>0</v>
      </c>
      <c r="G209" s="407">
        <f>0</f>
        <v>0</v>
      </c>
      <c r="H209" s="395">
        <f t="shared" si="5"/>
        <v>30000</v>
      </c>
      <c r="K209" s="396"/>
    </row>
    <row r="210" ht="16" spans="1:14">
      <c r="A210" s="1207" t="s">
        <v>1315</v>
      </c>
      <c r="B210" s="392" t="s">
        <v>1316</v>
      </c>
      <c r="C210" s="393">
        <v>45292</v>
      </c>
      <c r="D210" s="407">
        <v>10000</v>
      </c>
      <c r="E210" s="407">
        <v>0</v>
      </c>
      <c r="F210" s="407"/>
      <c r="G210" s="407">
        <f>20000</f>
        <v>20000</v>
      </c>
      <c r="H210" s="395">
        <f t="shared" si="5"/>
        <v>30000</v>
      </c>
      <c r="K210" s="396"/>
      <c r="N210" s="396"/>
    </row>
    <row r="211" ht="16" spans="1:14">
      <c r="A211" s="1207" t="s">
        <v>1389</v>
      </c>
      <c r="B211" s="392" t="s">
        <v>1390</v>
      </c>
      <c r="C211" s="393">
        <v>45292</v>
      </c>
      <c r="D211" s="407"/>
      <c r="E211" s="407"/>
      <c r="F211" s="407"/>
      <c r="G211" s="407"/>
      <c r="H211" s="395">
        <f t="shared" si="5"/>
        <v>0</v>
      </c>
      <c r="I211" s="396"/>
      <c r="K211" s="396"/>
      <c r="N211" s="396"/>
    </row>
    <row r="212" ht="16" spans="1:14">
      <c r="A212" s="1207" t="s">
        <v>1504</v>
      </c>
      <c r="B212" s="392" t="s">
        <v>1505</v>
      </c>
      <c r="C212" s="393">
        <v>45292</v>
      </c>
      <c r="D212" s="407">
        <f>5000</f>
        <v>5000</v>
      </c>
      <c r="E212" s="407">
        <f>0</f>
        <v>0</v>
      </c>
      <c r="F212" s="407">
        <f>5000+5000</f>
        <v>10000</v>
      </c>
      <c r="G212" s="407">
        <f>14350</f>
        <v>14350</v>
      </c>
      <c r="H212" s="395">
        <f t="shared" si="5"/>
        <v>29350</v>
      </c>
      <c r="I212" s="400"/>
      <c r="K212" s="396"/>
      <c r="N212" s="396"/>
    </row>
    <row r="213" ht="16" spans="1:14">
      <c r="A213" s="1207" t="s">
        <v>1506</v>
      </c>
      <c r="B213" s="392" t="s">
        <v>1507</v>
      </c>
      <c r="C213" s="393">
        <v>45292</v>
      </c>
      <c r="D213" s="407">
        <f>0</f>
        <v>0</v>
      </c>
      <c r="E213" s="407"/>
      <c r="F213" s="407"/>
      <c r="G213" s="407"/>
      <c r="H213" s="395">
        <f t="shared" si="5"/>
        <v>0</v>
      </c>
      <c r="K213" s="396"/>
      <c r="N213" s="396"/>
    </row>
    <row r="214" ht="16" spans="1:14">
      <c r="A214" s="1207" t="s">
        <v>1508</v>
      </c>
      <c r="B214" s="392" t="s">
        <v>1509</v>
      </c>
      <c r="C214" s="393">
        <v>45292</v>
      </c>
      <c r="D214" s="407">
        <f>5000</f>
        <v>5000</v>
      </c>
      <c r="E214" s="407"/>
      <c r="F214" s="407"/>
      <c r="G214" s="407">
        <f>0</f>
        <v>0</v>
      </c>
      <c r="H214" s="395">
        <f t="shared" si="5"/>
        <v>5000</v>
      </c>
      <c r="K214" s="396"/>
      <c r="N214" s="396"/>
    </row>
    <row r="215" ht="16" spans="1:14">
      <c r="A215" s="1207" t="s">
        <v>1510</v>
      </c>
      <c r="B215" s="392" t="s">
        <v>1511</v>
      </c>
      <c r="C215" s="393">
        <v>45292</v>
      </c>
      <c r="D215" s="407">
        <f>10000</f>
        <v>10000</v>
      </c>
      <c r="E215" s="407">
        <f>0</f>
        <v>0</v>
      </c>
      <c r="F215" s="407"/>
      <c r="G215" s="407">
        <f>20000</f>
        <v>20000</v>
      </c>
      <c r="H215" s="395">
        <f t="shared" si="5"/>
        <v>30000</v>
      </c>
      <c r="J215" s="396"/>
      <c r="K215" s="396"/>
      <c r="N215" s="396"/>
    </row>
    <row r="216" ht="16" spans="1:14">
      <c r="A216" s="1207" t="s">
        <v>1512</v>
      </c>
      <c r="B216" s="392" t="s">
        <v>1513</v>
      </c>
      <c r="C216" s="393">
        <v>45292</v>
      </c>
      <c r="D216" s="407">
        <f>25000</f>
        <v>25000</v>
      </c>
      <c r="E216" s="407"/>
      <c r="F216" s="407"/>
      <c r="G216" s="407">
        <f>60640</f>
        <v>60640</v>
      </c>
      <c r="H216" s="395">
        <f t="shared" si="5"/>
        <v>85640</v>
      </c>
      <c r="J216" s="396"/>
      <c r="K216" s="396"/>
      <c r="N216" s="396"/>
    </row>
    <row r="217" ht="17.5" spans="1:14">
      <c r="A217" s="1207" t="s">
        <v>1514</v>
      </c>
      <c r="B217" s="392" t="s">
        <v>1515</v>
      </c>
      <c r="C217" s="393">
        <v>45292</v>
      </c>
      <c r="D217" s="407">
        <v>10000</v>
      </c>
      <c r="E217" s="407"/>
      <c r="F217" s="407"/>
      <c r="G217" s="408">
        <f>0</f>
        <v>0</v>
      </c>
      <c r="H217" s="395">
        <f t="shared" si="5"/>
        <v>10000</v>
      </c>
      <c r="J217" s="396"/>
      <c r="K217" s="396"/>
      <c r="N217" s="396"/>
    </row>
    <row r="218" ht="16" spans="1:14">
      <c r="A218" s="1207" t="s">
        <v>1470</v>
      </c>
      <c r="B218" s="392" t="s">
        <v>1471</v>
      </c>
      <c r="C218" s="393">
        <v>45292</v>
      </c>
      <c r="D218" s="407"/>
      <c r="E218" s="407">
        <f>0</f>
        <v>0</v>
      </c>
      <c r="F218" s="407"/>
      <c r="G218" s="407"/>
      <c r="H218" s="395">
        <f t="shared" si="5"/>
        <v>0</v>
      </c>
      <c r="J218" s="396"/>
      <c r="K218" s="396"/>
      <c r="N218" s="400"/>
    </row>
    <row r="219" ht="16" spans="1:14">
      <c r="A219" s="1207" t="s">
        <v>1485</v>
      </c>
      <c r="B219" s="392" t="s">
        <v>1486</v>
      </c>
      <c r="C219" s="393">
        <v>45292</v>
      </c>
      <c r="D219" s="407"/>
      <c r="E219" s="407">
        <f>0</f>
        <v>0</v>
      </c>
      <c r="F219" s="407"/>
      <c r="G219" s="407"/>
      <c r="H219" s="395">
        <f t="shared" si="5"/>
        <v>0</v>
      </c>
      <c r="J219" s="396"/>
      <c r="K219" s="396"/>
      <c r="N219" s="400"/>
    </row>
    <row r="220" ht="16" spans="1:14">
      <c r="A220" s="1207" t="s">
        <v>1516</v>
      </c>
      <c r="B220" s="392" t="s">
        <v>1517</v>
      </c>
      <c r="C220" s="393">
        <v>45292</v>
      </c>
      <c r="D220" s="407">
        <f>20000</f>
        <v>20000</v>
      </c>
      <c r="E220" s="407"/>
      <c r="F220" s="407"/>
      <c r="G220" s="407"/>
      <c r="H220" s="395">
        <f t="shared" si="5"/>
        <v>20000</v>
      </c>
      <c r="J220" s="396"/>
      <c r="K220" s="396"/>
      <c r="N220" s="400"/>
    </row>
    <row r="221" ht="16" spans="1:14">
      <c r="A221" s="1207" t="s">
        <v>1518</v>
      </c>
      <c r="B221" s="392" t="s">
        <v>1519</v>
      </c>
      <c r="C221" s="393">
        <v>45292</v>
      </c>
      <c r="D221" s="407">
        <f>20000</f>
        <v>20000</v>
      </c>
      <c r="E221" s="407"/>
      <c r="F221" s="407"/>
      <c r="G221" s="407"/>
      <c r="H221" s="395">
        <f t="shared" si="5"/>
        <v>20000</v>
      </c>
      <c r="J221" s="396"/>
      <c r="K221" s="396"/>
      <c r="N221" s="400"/>
    </row>
    <row r="222" ht="16" spans="1:14">
      <c r="A222" s="1207" t="s">
        <v>1520</v>
      </c>
      <c r="B222" s="392" t="s">
        <v>106</v>
      </c>
      <c r="C222" s="393">
        <v>45292</v>
      </c>
      <c r="D222" s="407">
        <f>50000</f>
        <v>50000</v>
      </c>
      <c r="E222" s="407"/>
      <c r="F222" s="407"/>
      <c r="G222" s="407"/>
      <c r="H222" s="395">
        <f t="shared" si="5"/>
        <v>50000</v>
      </c>
      <c r="J222" s="396"/>
      <c r="K222" s="396"/>
      <c r="N222" s="400"/>
    </row>
    <row r="223" ht="16" spans="1:14">
      <c r="A223" s="1207" t="s">
        <v>1521</v>
      </c>
      <c r="B223" s="392" t="s">
        <v>1497</v>
      </c>
      <c r="C223" s="393">
        <v>45292</v>
      </c>
      <c r="D223" s="407">
        <f>20000</f>
        <v>20000</v>
      </c>
      <c r="E223" s="407">
        <f>2000</f>
        <v>2000</v>
      </c>
      <c r="F223" s="407"/>
      <c r="G223" s="407"/>
      <c r="H223" s="395">
        <f t="shared" si="5"/>
        <v>22000</v>
      </c>
      <c r="J223" s="396"/>
      <c r="K223" s="396"/>
      <c r="N223" s="400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02"/>
      <c r="J224" s="396"/>
      <c r="K224" s="396"/>
      <c r="N224" s="400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396"/>
      <c r="J225" s="396"/>
      <c r="K225" s="396"/>
      <c r="L225" s="396"/>
      <c r="M225" s="396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396"/>
      <c r="J226" s="396"/>
      <c r="K226" s="396"/>
      <c r="L226" s="396"/>
      <c r="M226" s="396"/>
    </row>
    <row r="227" ht="16" spans="1:13">
      <c r="B227" s="420"/>
      <c r="E227" s="400"/>
      <c r="F227" s="433"/>
      <c r="H227" s="433"/>
      <c r="I227" s="396"/>
      <c r="J227" s="434"/>
      <c r="K227" s="396"/>
      <c r="M227" s="396"/>
    </row>
    <row r="228" spans="1:13">
      <c r="H228" s="396"/>
      <c r="I228" s="402"/>
      <c r="J228" s="396"/>
      <c r="K228" s="396"/>
      <c r="L228" s="402"/>
      <c r="M228" s="396"/>
    </row>
    <row r="229" spans="1:13">
      <c r="D229" s="400"/>
      <c r="G229" s="400"/>
      <c r="H229" s="396"/>
      <c r="I229" s="400"/>
      <c r="J229" s="396"/>
      <c r="K229" s="396"/>
      <c r="M229" s="396"/>
    </row>
    <row r="230" spans="1:13">
      <c r="E230" s="400"/>
      <c r="H230" s="396"/>
      <c r="K230" s="396"/>
      <c r="M230" s="396"/>
    </row>
    <row r="231" spans="1:13">
      <c r="H231" s="396"/>
      <c r="K231" s="396"/>
      <c r="M231" s="396"/>
    </row>
    <row r="232" ht="14.5" spans="1:13">
      <c r="H232" s="396"/>
      <c r="K232" s="396"/>
      <c r="M232" s="434"/>
    </row>
    <row r="233" spans="1:13">
      <c r="H233" s="396"/>
      <c r="K233" s="396"/>
    </row>
    <row r="234" spans="1:13">
      <c r="H234" s="396"/>
      <c r="K234" s="396"/>
    </row>
    <row r="235" spans="1:13">
      <c r="H235" s="396"/>
      <c r="K235" s="396"/>
      <c r="M235" s="400"/>
    </row>
    <row r="236" spans="1:13">
      <c r="H236" s="396"/>
      <c r="K236" s="396"/>
    </row>
    <row r="237" spans="1:13">
      <c r="K237" s="396"/>
    </row>
    <row r="238" ht="14.5" spans="1:13">
      <c r="K238" s="434"/>
    </row>
  </sheetData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7">
      <c r="A1" s="370" t="s">
        <v>0</v>
      </c>
      <c r="B1" s="370"/>
      <c r="C1" s="370"/>
      <c r="D1" s="370"/>
      <c r="E1" s="370"/>
    </row>
    <row r="2" ht="33.75" customHeight="1" spans="1:7">
      <c r="A2" s="236" t="s">
        <v>1522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484</v>
      </c>
      <c r="F4" s="80" t="s">
        <v>1523</v>
      </c>
      <c r="G4" s="80" t="s">
        <v>1524</v>
      </c>
    </row>
    <row r="5" ht="17.25" customHeight="1" spans="1:7">
      <c r="C5" s="81"/>
      <c r="D5" s="8"/>
      <c r="E5" s="82" t="s">
        <v>21</v>
      </c>
      <c r="F5" s="82" t="s">
        <v>21</v>
      </c>
      <c r="G5" s="82" t="s">
        <v>21</v>
      </c>
    </row>
    <row r="6" customHeight="1" spans="1:7">
      <c r="A6" s="9" t="s">
        <v>22</v>
      </c>
      <c r="B6" s="8" t="s">
        <v>23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24</v>
      </c>
      <c r="C7" s="12" t="s">
        <v>25</v>
      </c>
      <c r="D7" s="12" t="s">
        <v>26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27</v>
      </c>
      <c r="C8" s="12" t="s">
        <v>28</v>
      </c>
      <c r="D8" s="10" t="s">
        <v>29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30</v>
      </c>
      <c r="C9" s="4" t="s">
        <v>31</v>
      </c>
      <c r="D9" s="10" t="s">
        <v>29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32</v>
      </c>
      <c r="C10" s="17" t="s">
        <v>33</v>
      </c>
      <c r="D10" s="10" t="s">
        <v>29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300</v>
      </c>
      <c r="C11" s="4" t="s">
        <v>907</v>
      </c>
      <c r="D11" s="10" t="s">
        <v>29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908</v>
      </c>
      <c r="C12" s="10" t="s">
        <v>909</v>
      </c>
      <c r="D12" s="10" t="s">
        <v>29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34</v>
      </c>
      <c r="C13" s="12" t="s">
        <v>910</v>
      </c>
      <c r="D13" s="15" t="s">
        <v>39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37</v>
      </c>
      <c r="C14" s="4" t="s">
        <v>38</v>
      </c>
      <c r="D14" s="10" t="s">
        <v>42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40</v>
      </c>
      <c r="C15" s="4" t="s">
        <v>643</v>
      </c>
      <c r="D15" s="15" t="s">
        <v>192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43</v>
      </c>
      <c r="C16" s="17" t="s">
        <v>52</v>
      </c>
      <c r="D16" s="15" t="s">
        <v>47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48</v>
      </c>
      <c r="C17" s="4" t="s">
        <v>911</v>
      </c>
      <c r="D17" s="10" t="s">
        <v>56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51</v>
      </c>
      <c r="C18" s="12" t="s">
        <v>61</v>
      </c>
      <c r="D18" s="15" t="s">
        <v>601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54</v>
      </c>
      <c r="C19" s="4" t="s">
        <v>55</v>
      </c>
      <c r="D19" s="15" t="s">
        <v>59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65</v>
      </c>
      <c r="C20" s="12" t="s">
        <v>178</v>
      </c>
      <c r="D20" s="15" t="s">
        <v>70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68</v>
      </c>
      <c r="C21" s="17" t="s">
        <v>69</v>
      </c>
      <c r="D21" s="10" t="s">
        <v>180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73</v>
      </c>
      <c r="C22" s="17" t="s">
        <v>74</v>
      </c>
      <c r="D22" s="10" t="s">
        <v>81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478</v>
      </c>
      <c r="C23" s="4" t="s">
        <v>94</v>
      </c>
      <c r="D23" s="10" t="s">
        <v>86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79</v>
      </c>
      <c r="C24" s="12" t="s">
        <v>94</v>
      </c>
      <c r="D24" s="15" t="s">
        <v>86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84</v>
      </c>
      <c r="C25" s="12" t="s">
        <v>85</v>
      </c>
      <c r="D25" s="15" t="s">
        <v>99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87</v>
      </c>
      <c r="C26" s="4" t="s">
        <v>88</v>
      </c>
      <c r="D26" s="10" t="s">
        <v>225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91</v>
      </c>
      <c r="C27" s="17" t="s">
        <v>646</v>
      </c>
      <c r="D27" s="15" t="s">
        <v>99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95</v>
      </c>
      <c r="C28" s="4" t="s">
        <v>647</v>
      </c>
      <c r="D28" s="10" t="s">
        <v>108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1525</v>
      </c>
      <c r="C29" s="12" t="s">
        <v>104</v>
      </c>
      <c r="D29" s="10" t="s">
        <v>108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103</v>
      </c>
      <c r="C30" s="12" t="s">
        <v>104</v>
      </c>
      <c r="D30" s="15" t="s">
        <v>111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120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121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122</v>
      </c>
      <c r="C34" s="4" t="s">
        <v>123</v>
      </c>
      <c r="D34" s="10" t="s">
        <v>124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127</v>
      </c>
      <c r="C35" s="4" t="s">
        <v>1137</v>
      </c>
      <c r="D35" s="10" t="s">
        <v>111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129</v>
      </c>
      <c r="C36" s="12" t="s">
        <v>1134</v>
      </c>
      <c r="D36" s="15" t="s">
        <v>75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137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912</v>
      </c>
      <c r="C40" s="4" t="s">
        <v>913</v>
      </c>
      <c r="D40" s="10" t="s">
        <v>124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914</v>
      </c>
      <c r="C41" s="4" t="s">
        <v>44</v>
      </c>
      <c r="D41" s="10" t="s">
        <v>39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138</v>
      </c>
      <c r="C42" s="4" t="s">
        <v>648</v>
      </c>
      <c r="D42" s="10" t="s">
        <v>210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141</v>
      </c>
      <c r="C43" s="4" t="s">
        <v>145</v>
      </c>
      <c r="D43" s="10" t="s">
        <v>39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144</v>
      </c>
      <c r="C44" s="4" t="s">
        <v>145</v>
      </c>
      <c r="D44" s="10" t="s">
        <v>39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146</v>
      </c>
      <c r="C45" s="4" t="s">
        <v>145</v>
      </c>
      <c r="D45" s="10" t="s">
        <v>42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147</v>
      </c>
      <c r="C46" s="4" t="s">
        <v>52</v>
      </c>
      <c r="D46" s="16" t="s">
        <v>47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45</v>
      </c>
      <c r="C47" s="4" t="s">
        <v>46</v>
      </c>
      <c r="D47" s="10" t="s">
        <v>53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151</v>
      </c>
      <c r="C48" s="4" t="s">
        <v>152</v>
      </c>
      <c r="D48" s="10" t="s">
        <v>75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155</v>
      </c>
      <c r="C49" s="4" t="s">
        <v>152</v>
      </c>
      <c r="D49" s="10" t="s">
        <v>99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915</v>
      </c>
      <c r="C50" s="4" t="s">
        <v>152</v>
      </c>
      <c r="D50" s="10" t="s">
        <v>99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157</v>
      </c>
      <c r="C51" s="4" t="s">
        <v>152</v>
      </c>
      <c r="D51" s="10" t="s">
        <v>99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120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159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916</v>
      </c>
      <c r="C55" s="12" t="s">
        <v>161</v>
      </c>
      <c r="D55" s="15" t="s">
        <v>124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162</v>
      </c>
      <c r="C56" s="12" t="s">
        <v>485</v>
      </c>
      <c r="D56" s="15" t="s">
        <v>486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120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164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917</v>
      </c>
      <c r="C60" s="17" t="s">
        <v>918</v>
      </c>
      <c r="D60" s="10" t="s">
        <v>124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919</v>
      </c>
      <c r="C61" s="17" t="s">
        <v>920</v>
      </c>
      <c r="D61" s="15" t="s">
        <v>50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167</v>
      </c>
      <c r="C62" s="4" t="s">
        <v>52</v>
      </c>
      <c r="D62" s="10" t="s">
        <v>53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921</v>
      </c>
      <c r="C63" s="17" t="s">
        <v>217</v>
      </c>
      <c r="D63" s="15" t="s">
        <v>601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922</v>
      </c>
      <c r="C64" s="17" t="s">
        <v>52</v>
      </c>
      <c r="D64" s="15" t="s">
        <v>192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171</v>
      </c>
      <c r="C65" s="4" t="s">
        <v>152</v>
      </c>
      <c r="D65" s="10" t="s">
        <v>131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172</v>
      </c>
      <c r="C66" s="17" t="s">
        <v>72</v>
      </c>
      <c r="D66" s="10" t="s">
        <v>131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174</v>
      </c>
      <c r="C67" s="17" t="s">
        <v>72</v>
      </c>
      <c r="D67" s="10" t="s">
        <v>131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175</v>
      </c>
      <c r="C68" s="4" t="s">
        <v>649</v>
      </c>
      <c r="D68" s="10" t="s">
        <v>70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179</v>
      </c>
      <c r="C69" s="4" t="s">
        <v>152</v>
      </c>
      <c r="D69" s="10" t="s">
        <v>75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82</v>
      </c>
      <c r="C70" s="17" t="s">
        <v>69</v>
      </c>
      <c r="D70" s="10" t="s">
        <v>86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120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183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184</v>
      </c>
      <c r="C74" s="4" t="s">
        <v>185</v>
      </c>
      <c r="D74" s="10" t="s">
        <v>124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923</v>
      </c>
      <c r="C75" s="4" t="s">
        <v>924</v>
      </c>
      <c r="D75" s="15" t="s">
        <v>925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186</v>
      </c>
      <c r="C76" s="12" t="s">
        <v>926</v>
      </c>
      <c r="D76" s="10" t="s">
        <v>486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190</v>
      </c>
      <c r="C77" s="4" t="s">
        <v>191</v>
      </c>
      <c r="D77" s="15" t="s">
        <v>214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197</v>
      </c>
      <c r="C78" s="4" t="s">
        <v>182</v>
      </c>
      <c r="D78" s="10" t="s">
        <v>78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201</v>
      </c>
      <c r="C79" s="4" t="s">
        <v>182</v>
      </c>
      <c r="D79" s="10" t="s">
        <v>99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203</v>
      </c>
      <c r="C80" s="4" t="s">
        <v>204</v>
      </c>
      <c r="D80" s="10" t="s">
        <v>111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120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205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208</v>
      </c>
      <c r="C84" s="4" t="s">
        <v>145</v>
      </c>
      <c r="D84" s="10" t="s">
        <v>39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206</v>
      </c>
      <c r="C85" s="4" t="s">
        <v>145</v>
      </c>
      <c r="D85" s="10" t="s">
        <v>39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165</v>
      </c>
      <c r="C86" s="4" t="s">
        <v>145</v>
      </c>
      <c r="D86" s="10" t="s">
        <v>50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479</v>
      </c>
      <c r="C87" s="4" t="s">
        <v>145</v>
      </c>
      <c r="D87" s="10" t="s">
        <v>42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211</v>
      </c>
      <c r="C88" s="4" t="s">
        <v>927</v>
      </c>
      <c r="D88" s="15" t="s">
        <v>56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212</v>
      </c>
      <c r="C89" s="12" t="s">
        <v>217</v>
      </c>
      <c r="D89" s="15" t="s">
        <v>601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213</v>
      </c>
      <c r="C90" s="12" t="s">
        <v>52</v>
      </c>
      <c r="D90" s="15" t="s">
        <v>600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215</v>
      </c>
      <c r="C91" s="17" t="s">
        <v>72</v>
      </c>
      <c r="D91" s="15" t="s">
        <v>131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216</v>
      </c>
      <c r="C92" s="17" t="s">
        <v>72</v>
      </c>
      <c r="D92" s="15" t="s">
        <v>67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220</v>
      </c>
      <c r="C93" s="4" t="s">
        <v>221</v>
      </c>
      <c r="D93" s="10" t="s">
        <v>75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224</v>
      </c>
      <c r="C94" s="17" t="s">
        <v>505</v>
      </c>
      <c r="D94" s="15" t="s">
        <v>108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120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226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227</v>
      </c>
      <c r="C98" s="4" t="s">
        <v>650</v>
      </c>
      <c r="D98" s="16" t="s">
        <v>36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229</v>
      </c>
      <c r="C99" s="4" t="s">
        <v>230</v>
      </c>
      <c r="D99" s="15" t="s">
        <v>214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235</v>
      </c>
      <c r="C100" s="4" t="s">
        <v>651</v>
      </c>
      <c r="D100" s="15" t="s">
        <v>70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236</v>
      </c>
      <c r="C101" s="4" t="s">
        <v>200</v>
      </c>
      <c r="D101" s="15" t="s">
        <v>75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120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239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652</v>
      </c>
      <c r="C105" s="12" t="s">
        <v>241</v>
      </c>
      <c r="D105" s="15" t="s">
        <v>124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242</v>
      </c>
      <c r="C106" s="4" t="s">
        <v>243</v>
      </c>
      <c r="D106" s="16" t="s">
        <v>36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244</v>
      </c>
      <c r="C107" s="4" t="s">
        <v>653</v>
      </c>
      <c r="D107" s="10" t="s">
        <v>56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246</v>
      </c>
      <c r="C108" s="4" t="s">
        <v>653</v>
      </c>
      <c r="D108" s="10" t="s">
        <v>56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249</v>
      </c>
      <c r="C109" s="4" t="s">
        <v>250</v>
      </c>
      <c r="D109" s="15" t="s">
        <v>928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252</v>
      </c>
      <c r="C110" s="4" t="s">
        <v>250</v>
      </c>
      <c r="D110" s="10" t="s">
        <v>506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253</v>
      </c>
      <c r="C111" s="4" t="s">
        <v>250</v>
      </c>
      <c r="D111" s="15" t="s">
        <v>108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120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257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259</v>
      </c>
      <c r="C115" s="4" t="s">
        <v>260</v>
      </c>
      <c r="D115" s="15" t="s">
        <v>70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193</v>
      </c>
      <c r="C116" s="12" t="s">
        <v>929</v>
      </c>
      <c r="D116" s="15" t="s">
        <v>173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120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7">
      <c r="A118" s="4"/>
      <c r="B118" s="22"/>
      <c r="C118" s="10"/>
      <c r="D118" s="4"/>
    </row>
    <row r="119" customHeight="1" spans="1:7">
      <c r="A119" s="4"/>
      <c r="B119" s="20" t="s">
        <v>278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279</v>
      </c>
      <c r="C120" s="12" t="s">
        <v>280</v>
      </c>
      <c r="D120" s="15" t="s">
        <v>124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281</v>
      </c>
      <c r="C121" s="12" t="s">
        <v>654</v>
      </c>
      <c r="D121" s="15" t="s">
        <v>210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283</v>
      </c>
      <c r="C122" s="12" t="s">
        <v>655</v>
      </c>
      <c r="D122" s="15" t="s">
        <v>39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930</v>
      </c>
      <c r="C123" s="12" t="s">
        <v>655</v>
      </c>
      <c r="D123" s="15" t="s">
        <v>50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286</v>
      </c>
      <c r="C124" s="12" t="s">
        <v>288</v>
      </c>
      <c r="D124" s="15" t="s">
        <v>47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287</v>
      </c>
      <c r="C125" s="12" t="s">
        <v>656</v>
      </c>
      <c r="D125" s="15" t="s">
        <v>53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289</v>
      </c>
      <c r="C126" s="12" t="s">
        <v>288</v>
      </c>
      <c r="D126" s="15" t="s">
        <v>214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292</v>
      </c>
      <c r="C127" s="12" t="s">
        <v>657</v>
      </c>
      <c r="D127" s="10" t="s">
        <v>86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294</v>
      </c>
      <c r="C128" s="12" t="s">
        <v>295</v>
      </c>
      <c r="D128" s="15" t="s">
        <v>111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296</v>
      </c>
      <c r="C129" s="12" t="s">
        <v>291</v>
      </c>
      <c r="D129" s="15" t="s">
        <v>111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120</v>
      </c>
      <c r="C130" s="26" t="s">
        <v>658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299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931</v>
      </c>
      <c r="C133" s="12" t="s">
        <v>932</v>
      </c>
      <c r="D133" s="15" t="s">
        <v>124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933</v>
      </c>
      <c r="C134" s="12" t="s">
        <v>934</v>
      </c>
      <c r="D134" s="15" t="s">
        <v>36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302</v>
      </c>
      <c r="C135" s="4" t="s">
        <v>488</v>
      </c>
      <c r="D135" s="16" t="s">
        <v>36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305</v>
      </c>
      <c r="C136" s="12" t="s">
        <v>935</v>
      </c>
      <c r="D136" s="15" t="s">
        <v>192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307</v>
      </c>
      <c r="C137" s="4" t="s">
        <v>311</v>
      </c>
      <c r="D137" s="15" t="s">
        <v>192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309</v>
      </c>
      <c r="C138" s="4" t="s">
        <v>311</v>
      </c>
      <c r="D138" s="15" t="s">
        <v>192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231</v>
      </c>
      <c r="C139" s="12" t="s">
        <v>936</v>
      </c>
      <c r="D139" s="15" t="s">
        <v>173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312</v>
      </c>
      <c r="C140" s="12" t="s">
        <v>936</v>
      </c>
      <c r="D140" s="15" t="s">
        <v>173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313</v>
      </c>
      <c r="C141" s="4" t="s">
        <v>937</v>
      </c>
      <c r="D141" s="15" t="s">
        <v>173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315</v>
      </c>
      <c r="C142" s="12" t="s">
        <v>660</v>
      </c>
      <c r="D142" s="15" t="s">
        <v>70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317</v>
      </c>
      <c r="C143" s="12" t="s">
        <v>318</v>
      </c>
      <c r="D143" s="15" t="s">
        <v>131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62</v>
      </c>
      <c r="C144" s="12" t="s">
        <v>938</v>
      </c>
      <c r="D144" s="15" t="s">
        <v>173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319</v>
      </c>
      <c r="C145" s="4" t="s">
        <v>320</v>
      </c>
      <c r="D145" s="15" t="s">
        <v>180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321</v>
      </c>
      <c r="C146" s="4" t="s">
        <v>939</v>
      </c>
      <c r="D146" s="15" t="s">
        <v>78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322</v>
      </c>
      <c r="C147" s="4" t="s">
        <v>939</v>
      </c>
      <c r="D147" s="15" t="s">
        <v>153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324</v>
      </c>
      <c r="C148" s="4" t="s">
        <v>939</v>
      </c>
      <c r="D148" s="15" t="s">
        <v>153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325</v>
      </c>
      <c r="C149" s="12" t="s">
        <v>326</v>
      </c>
      <c r="D149" s="15" t="s">
        <v>75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327</v>
      </c>
      <c r="C150" s="12" t="s">
        <v>328</v>
      </c>
      <c r="D150" s="10" t="s">
        <v>99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329</v>
      </c>
      <c r="C151" s="12" t="s">
        <v>661</v>
      </c>
      <c r="D151" s="15" t="s">
        <v>78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331</v>
      </c>
      <c r="C152" s="12" t="s">
        <v>662</v>
      </c>
      <c r="D152" s="15" t="s">
        <v>86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333</v>
      </c>
      <c r="C153" s="12" t="s">
        <v>663</v>
      </c>
      <c r="D153" s="15" t="s">
        <v>78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334</v>
      </c>
      <c r="C154" s="12" t="s">
        <v>664</v>
      </c>
      <c r="D154" s="15" t="s">
        <v>86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336</v>
      </c>
      <c r="C155" s="12" t="s">
        <v>337</v>
      </c>
      <c r="D155" s="15" t="s">
        <v>225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343</v>
      </c>
      <c r="C156" s="12" t="s">
        <v>344</v>
      </c>
      <c r="D156" s="15" t="s">
        <v>111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345</v>
      </c>
      <c r="C157" s="12" t="s">
        <v>346</v>
      </c>
      <c r="D157" s="15" t="s">
        <v>111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347</v>
      </c>
      <c r="C158" s="12" t="s">
        <v>348</v>
      </c>
      <c r="D158" s="15" t="s">
        <v>111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349</v>
      </c>
      <c r="C159" s="12" t="s">
        <v>665</v>
      </c>
      <c r="D159" s="15" t="s">
        <v>108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350</v>
      </c>
      <c r="C160" s="12" t="s">
        <v>346</v>
      </c>
      <c r="D160" s="15" t="s">
        <v>111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359</v>
      </c>
      <c r="C161" s="12" t="s">
        <v>512</v>
      </c>
      <c r="D161" s="15" t="s">
        <v>384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362</v>
      </c>
      <c r="C162" s="12" t="s">
        <v>512</v>
      </c>
      <c r="D162" s="15" t="s">
        <v>384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666</v>
      </c>
      <c r="C163" s="12" t="s">
        <v>512</v>
      </c>
      <c r="D163" s="15" t="s">
        <v>384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363</v>
      </c>
      <c r="C164" s="12" t="s">
        <v>512</v>
      </c>
      <c r="D164" s="15" t="s">
        <v>384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364</v>
      </c>
      <c r="C165" s="12" t="s">
        <v>512</v>
      </c>
      <c r="D165" s="15" t="s">
        <v>384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365</v>
      </c>
      <c r="C166" s="12" t="s">
        <v>512</v>
      </c>
      <c r="D166" s="15" t="s">
        <v>377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367</v>
      </c>
      <c r="C167" s="12" t="s">
        <v>512</v>
      </c>
      <c r="D167" s="15" t="s">
        <v>377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368</v>
      </c>
      <c r="C168" s="12" t="s">
        <v>512</v>
      </c>
      <c r="D168" s="15" t="s">
        <v>377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369</v>
      </c>
      <c r="C169" s="12" t="s">
        <v>512</v>
      </c>
      <c r="D169" s="15" t="s">
        <v>377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370</v>
      </c>
      <c r="C170" s="12" t="s">
        <v>512</v>
      </c>
      <c r="D170" s="15" t="s">
        <v>377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357</v>
      </c>
      <c r="C171" s="12" t="s">
        <v>512</v>
      </c>
      <c r="D171" s="15" t="s">
        <v>377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371</v>
      </c>
      <c r="C172" s="12" t="s">
        <v>360</v>
      </c>
      <c r="D172" s="15" t="s">
        <v>607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373</v>
      </c>
      <c r="C173" s="12" t="s">
        <v>360</v>
      </c>
      <c r="D173" s="15" t="s">
        <v>607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374</v>
      </c>
      <c r="C174" s="12" t="s">
        <v>360</v>
      </c>
      <c r="D174" s="15" t="s">
        <v>606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376</v>
      </c>
      <c r="C175" s="12" t="s">
        <v>387</v>
      </c>
      <c r="D175" s="15" t="s">
        <v>608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378</v>
      </c>
      <c r="C176" s="12" t="s">
        <v>514</v>
      </c>
      <c r="D176" s="15" t="s">
        <v>669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379</v>
      </c>
      <c r="C177" s="12" t="s">
        <v>514</v>
      </c>
      <c r="D177" s="15" t="s">
        <v>669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380</v>
      </c>
      <c r="C178" s="12" t="s">
        <v>514</v>
      </c>
      <c r="D178" s="15" t="s">
        <v>669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381</v>
      </c>
      <c r="C179" s="12" t="s">
        <v>514</v>
      </c>
      <c r="D179" s="15" t="s">
        <v>669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382</v>
      </c>
      <c r="C180" s="12" t="s">
        <v>514</v>
      </c>
      <c r="D180" s="15" t="s">
        <v>669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383</v>
      </c>
      <c r="C181" s="12" t="s">
        <v>514</v>
      </c>
      <c r="D181" s="15" t="s">
        <v>669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385</v>
      </c>
      <c r="C182" s="12" t="s">
        <v>514</v>
      </c>
      <c r="D182" s="15" t="s">
        <v>669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668</v>
      </c>
      <c r="C183" s="12" t="s">
        <v>387</v>
      </c>
      <c r="D183" s="15" t="s">
        <v>669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386</v>
      </c>
      <c r="C184" s="12" t="s">
        <v>387</v>
      </c>
      <c r="D184" s="15" t="s">
        <v>669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358</v>
      </c>
      <c r="C185" s="12" t="s">
        <v>390</v>
      </c>
      <c r="D185" s="15" t="s">
        <v>391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392</v>
      </c>
      <c r="C186" s="12" t="s">
        <v>514</v>
      </c>
      <c r="D186" s="15" t="s">
        <v>398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396</v>
      </c>
      <c r="C187" s="12" t="s">
        <v>397</v>
      </c>
      <c r="D187" s="15" t="s">
        <v>940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399</v>
      </c>
      <c r="C188" s="12" t="s">
        <v>397</v>
      </c>
      <c r="D188" s="15" t="s">
        <v>940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400</v>
      </c>
      <c r="C189" s="12" t="s">
        <v>397</v>
      </c>
      <c r="D189" s="15" t="s">
        <v>940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401</v>
      </c>
      <c r="C190" s="12" t="s">
        <v>402</v>
      </c>
      <c r="D190" s="15" t="s">
        <v>393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404</v>
      </c>
      <c r="C191" s="12" t="s">
        <v>402</v>
      </c>
      <c r="D191" s="15" t="s">
        <v>393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120</v>
      </c>
      <c r="C192" s="28" t="s">
        <v>941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7">
      <c r="A193" s="4"/>
      <c r="B193" s="30"/>
      <c r="C193" s="31"/>
      <c r="D193" s="32"/>
    </row>
    <row r="194" ht="33" customHeight="1" spans="1:7">
      <c r="A194" s="4"/>
      <c r="B194" s="30" t="s">
        <v>406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1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1:7">
      <c r="E197" s="104"/>
      <c r="F197" s="104"/>
      <c r="G197" s="104"/>
    </row>
    <row r="198" customHeight="1" spans="1:7">
      <c r="E198" s="104"/>
      <c r="F198" s="104"/>
      <c r="G198" s="104"/>
    </row>
    <row r="199" customHeight="1" spans="1:7">
      <c r="E199" s="104"/>
      <c r="F199" s="104"/>
      <c r="G199" s="104"/>
    </row>
    <row r="200" customHeight="1" spans="1:7">
      <c r="E200" s="104"/>
      <c r="F200" s="104"/>
      <c r="G200" s="104"/>
    </row>
    <row r="201" customHeight="1" spans="1:7">
      <c r="E201" s="104"/>
      <c r="F201" s="104"/>
      <c r="G201" s="104"/>
    </row>
    <row r="202" customHeight="1" spans="1:7">
      <c r="E202" s="104"/>
      <c r="F202" s="104"/>
      <c r="G202" s="104"/>
    </row>
    <row r="203" customHeight="1" spans="1:7">
      <c r="E203" s="104"/>
      <c r="F203" s="104"/>
      <c r="G203" s="104"/>
    </row>
    <row r="204" customHeight="1" spans="1:7">
      <c r="E204" s="104"/>
      <c r="F204" s="104"/>
      <c r="G204" s="104"/>
    </row>
    <row r="205" customHeight="1" spans="1:7">
      <c r="E205" s="104"/>
      <c r="F205" s="104"/>
      <c r="G205" s="104"/>
    </row>
    <row r="206" customHeight="1" spans="1:7">
      <c r="E206" s="104"/>
      <c r="F206" s="104"/>
      <c r="G206" s="104"/>
    </row>
    <row r="207" customHeight="1" spans="1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3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30">
      <c r="A2" s="76" t="s">
        <v>1526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0"/>
      <c r="X2" s="78"/>
      <c r="Y2" s="78"/>
      <c r="Z2" s="78"/>
      <c r="AA2" s="78"/>
      <c r="AB2" s="78"/>
    </row>
    <row r="3" ht="9.75" customHeight="1" spans="1:3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30">
      <c r="A4" s="4"/>
      <c r="B4" s="6" t="s">
        <v>2</v>
      </c>
      <c r="C4" s="6" t="s">
        <v>3</v>
      </c>
      <c r="D4" s="7" t="s">
        <v>1527</v>
      </c>
      <c r="E4" s="80" t="s">
        <v>5</v>
      </c>
      <c r="F4" s="21" t="s">
        <v>523</v>
      </c>
      <c r="G4" s="21" t="s">
        <v>1163</v>
      </c>
      <c r="H4" s="80" t="s">
        <v>1164</v>
      </c>
      <c r="I4" s="21" t="s">
        <v>1165</v>
      </c>
      <c r="J4" s="21" t="s">
        <v>1166</v>
      </c>
      <c r="K4" s="21" t="s">
        <v>1167</v>
      </c>
      <c r="L4" s="80" t="s">
        <v>7</v>
      </c>
      <c r="M4" s="80" t="s">
        <v>7</v>
      </c>
      <c r="N4" s="21" t="s">
        <v>1168</v>
      </c>
      <c r="O4" s="21" t="s">
        <v>1168</v>
      </c>
      <c r="P4" s="80" t="s">
        <v>8</v>
      </c>
      <c r="Q4" s="301" t="s">
        <v>1045</v>
      </c>
      <c r="R4" s="7" t="s">
        <v>588</v>
      </c>
      <c r="S4" s="301" t="s">
        <v>1046</v>
      </c>
      <c r="T4" s="80" t="s">
        <v>1047</v>
      </c>
      <c r="U4" s="80" t="s">
        <v>1048</v>
      </c>
      <c r="V4" s="80" t="s">
        <v>620</v>
      </c>
      <c r="W4" s="80" t="s">
        <v>1049</v>
      </c>
      <c r="X4" s="80" t="s">
        <v>1050</v>
      </c>
      <c r="Y4" s="302" t="s">
        <v>1051</v>
      </c>
      <c r="Z4" s="303" t="s">
        <v>1052</v>
      </c>
      <c r="AA4" s="80" t="s">
        <v>466</v>
      </c>
      <c r="AB4" s="304" t="s">
        <v>833</v>
      </c>
    </row>
    <row r="5" ht="17.25" customHeight="1" spans="1:30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5" t="s">
        <v>21</v>
      </c>
      <c r="T5" s="82"/>
      <c r="U5" s="82" t="s">
        <v>21</v>
      </c>
      <c r="V5" s="82"/>
      <c r="W5" s="306" t="s">
        <v>21</v>
      </c>
      <c r="X5" s="82"/>
      <c r="Y5" s="82"/>
      <c r="Z5" s="230"/>
      <c r="AA5" s="82"/>
      <c r="AB5" s="230"/>
    </row>
    <row r="6" customHeight="1" spans="1:30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5"/>
      <c r="T6" s="82"/>
      <c r="U6" s="82"/>
      <c r="V6" s="82"/>
      <c r="W6" s="306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1528</v>
      </c>
      <c r="C7" s="1" t="s">
        <v>1529</v>
      </c>
      <c r="D7" s="15" t="s">
        <v>105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225</v>
      </c>
      <c r="S7" s="219">
        <f>205204.08</f>
        <v>205204.08</v>
      </c>
      <c r="T7" s="85">
        <f>205204.08-183791.03</f>
        <v>21413.05</v>
      </c>
      <c r="U7" s="85"/>
      <c r="V7" s="85"/>
      <c r="W7" s="307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30">
      <c r="A8" s="10"/>
      <c r="B8" s="20" t="s">
        <v>120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30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08"/>
      <c r="R9" s="10"/>
      <c r="S9" s="308"/>
      <c r="T9" s="85"/>
      <c r="U9" s="221"/>
      <c r="V9" s="221"/>
      <c r="W9" s="309"/>
      <c r="X9" s="221"/>
      <c r="Y9" s="85"/>
      <c r="Z9" s="231"/>
      <c r="AA9" s="221"/>
      <c r="AB9" s="231"/>
      <c r="AC9" s="13"/>
    </row>
    <row r="10" customHeight="1" spans="1:30">
      <c r="A10" s="10"/>
      <c r="B10" s="23" t="s">
        <v>137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7"/>
      <c r="X10" s="85"/>
      <c r="Y10" s="85"/>
      <c r="Z10" s="231"/>
      <c r="AA10" s="85"/>
      <c r="AB10" s="231"/>
      <c r="AC10" s="13"/>
    </row>
    <row r="11" customHeight="1" spans="1:30">
      <c r="A11" s="10">
        <v>2</v>
      </c>
      <c r="B11" s="11" t="s">
        <v>138</v>
      </c>
      <c r="C11" s="4" t="s">
        <v>145</v>
      </c>
      <c r="D11" s="10" t="s">
        <v>39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143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7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30">
      <c r="A12" s="10">
        <v>3</v>
      </c>
      <c r="B12" s="11" t="s">
        <v>146</v>
      </c>
      <c r="C12" s="4" t="s">
        <v>46</v>
      </c>
      <c r="D12" s="10" t="s">
        <v>47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42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46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28">
        <f t="shared" si="7"/>
        <v>0</v>
      </c>
    </row>
    <row r="13" ht="25.5" customHeight="1" spans="1:30">
      <c r="A13" s="10"/>
      <c r="B13" s="20" t="s">
        <v>120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30">
      <c r="A14" s="10"/>
      <c r="B14" s="20"/>
      <c r="C14" s="21"/>
      <c r="D14" s="21"/>
      <c r="E14" s="156"/>
      <c r="F14" s="156"/>
      <c r="G14" s="156"/>
      <c r="H14" s="156"/>
      <c r="I14" s="156"/>
      <c r="J14" s="156"/>
      <c r="K14" s="156"/>
      <c r="L14" s="220"/>
      <c r="M14" s="220"/>
      <c r="N14" s="156"/>
      <c r="O14" s="156"/>
      <c r="P14" s="156"/>
      <c r="Q14" s="311"/>
      <c r="R14" s="21"/>
      <c r="S14" s="311"/>
      <c r="T14" s="85">
        <f t="shared" ref="T14" si="16">S14-Q14</f>
        <v>0</v>
      </c>
      <c r="U14" s="156"/>
      <c r="V14" s="156"/>
      <c r="W14" s="312"/>
      <c r="X14" s="156"/>
      <c r="Y14" s="85"/>
      <c r="Z14" s="231"/>
      <c r="AA14" s="156"/>
      <c r="AB14" s="231"/>
      <c r="AC14" s="13"/>
    </row>
    <row r="15" customHeight="1" spans="1:30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30">
      <c r="A16" s="4"/>
      <c r="B16" s="20" t="s">
        <v>278</v>
      </c>
      <c r="C16" s="21"/>
      <c r="D16" s="21"/>
      <c r="E16" s="156"/>
      <c r="F16" s="156"/>
      <c r="G16" s="156"/>
      <c r="H16" s="156"/>
      <c r="I16" s="156"/>
      <c r="J16" s="156"/>
      <c r="K16" s="156"/>
      <c r="L16" s="220"/>
      <c r="M16" s="220"/>
      <c r="N16" s="156"/>
      <c r="O16" s="156"/>
      <c r="P16" s="156"/>
      <c r="Q16" s="311"/>
      <c r="R16" s="21"/>
      <c r="S16" s="311"/>
      <c r="T16" s="85"/>
      <c r="U16" s="156"/>
      <c r="V16" s="156"/>
      <c r="W16" s="312"/>
      <c r="X16" s="156"/>
      <c r="Y16" s="85">
        <f t="shared" si="5"/>
        <v>0</v>
      </c>
      <c r="Z16" s="231">
        <f t="shared" si="6"/>
        <v>0</v>
      </c>
      <c r="AA16" s="156"/>
      <c r="AB16" s="231">
        <f t="shared" si="7"/>
        <v>0</v>
      </c>
      <c r="AC16" s="13"/>
    </row>
    <row r="17" customHeight="1" spans="1:29">
      <c r="A17" s="4">
        <v>3</v>
      </c>
      <c r="B17" s="11" t="s">
        <v>281</v>
      </c>
      <c r="C17" s="12" t="s">
        <v>655</v>
      </c>
      <c r="D17" s="15" t="s">
        <v>39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143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7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287</v>
      </c>
      <c r="C18" s="12" t="s">
        <v>656</v>
      </c>
      <c r="D18" s="15" t="s">
        <v>601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1530</v>
      </c>
      <c r="S18" s="85">
        <f>'APRIL 2026'!J170</f>
        <v>659657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46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120</v>
      </c>
      <c r="C19" s="26"/>
      <c r="D19" s="15"/>
      <c r="E19" s="156">
        <f t="shared" ref="E19:L19" si="24">SUM(E17:E17)</f>
        <v>33507.5</v>
      </c>
      <c r="F19" s="156">
        <f t="shared" si="24"/>
        <v>0</v>
      </c>
      <c r="G19" s="156">
        <f t="shared" si="24"/>
        <v>100522.5</v>
      </c>
      <c r="H19" s="156">
        <f t="shared" si="24"/>
        <v>2513.0625</v>
      </c>
      <c r="I19" s="156">
        <f t="shared" si="24"/>
        <v>40122.19</v>
      </c>
      <c r="J19" s="156">
        <f t="shared" si="24"/>
        <v>16753.75</v>
      </c>
      <c r="K19" s="156">
        <f t="shared" si="24"/>
        <v>117276.25</v>
      </c>
      <c r="L19" s="156">
        <f t="shared" si="24"/>
        <v>33507.5</v>
      </c>
      <c r="M19" s="156" t="e">
        <f>SUM(#REF!)</f>
        <v>#REF!</v>
      </c>
      <c r="N19" s="156">
        <f>SUM(M17:M17)</f>
        <v>80000</v>
      </c>
      <c r="O19" s="156">
        <f>SUM(N17:N17)</f>
        <v>3350.75</v>
      </c>
      <c r="P19" s="156">
        <f>SUM(O17:O17)</f>
        <v>20000</v>
      </c>
      <c r="Q19" s="156">
        <f>SUM(P17:P17)</f>
        <v>100000</v>
      </c>
      <c r="R19" s="15"/>
      <c r="S19" s="156">
        <f t="shared" ref="S19:Z19" si="25">SUM(S17:S17)</f>
        <v>614023.333333333</v>
      </c>
      <c r="T19" s="156">
        <f t="shared" si="25"/>
        <v>66469.8308333331</v>
      </c>
      <c r="U19" s="156">
        <f t="shared" si="25"/>
        <v>837.69</v>
      </c>
      <c r="V19" s="156">
        <f t="shared" si="25"/>
        <v>1028.94</v>
      </c>
      <c r="W19" s="156">
        <f t="shared" si="25"/>
        <v>83626.1</v>
      </c>
      <c r="X19" s="156">
        <f t="shared" si="25"/>
        <v>96398.31</v>
      </c>
      <c r="Y19" s="156">
        <f t="shared" si="25"/>
        <v>12772.21</v>
      </c>
      <c r="Z19" s="233">
        <f t="shared" si="25"/>
        <v>53697.6208333331</v>
      </c>
      <c r="AA19" s="15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"/>
      <c r="S20" s="156"/>
      <c r="T20" s="156"/>
      <c r="U20" s="156"/>
      <c r="V20" s="156"/>
      <c r="W20" s="156"/>
      <c r="X20" s="156"/>
      <c r="Y20" s="156"/>
      <c r="Z20" s="233"/>
      <c r="AA20" s="156"/>
      <c r="AB20" s="233"/>
      <c r="AC20" s="13"/>
    </row>
    <row r="21" ht="28.5" customHeight="1" spans="1:29">
      <c r="A21" s="4"/>
      <c r="B21" s="20" t="s">
        <v>278</v>
      </c>
      <c r="C21" s="26"/>
      <c r="D21" s="15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"/>
      <c r="S21" s="156"/>
      <c r="T21" s="156"/>
      <c r="U21" s="156"/>
      <c r="V21" s="156"/>
      <c r="W21" s="156"/>
      <c r="X21" s="156"/>
      <c r="Y21" s="156"/>
      <c r="Z21" s="233"/>
      <c r="AA21" s="156"/>
      <c r="AB21" s="233"/>
      <c r="AC21" s="13"/>
    </row>
    <row r="22" customHeight="1" spans="1:29">
      <c r="A22" s="27">
        <v>15</v>
      </c>
      <c r="B22" s="11" t="s">
        <v>371</v>
      </c>
      <c r="C22" s="12" t="s">
        <v>387</v>
      </c>
      <c r="D22" s="15" t="s">
        <v>608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607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7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17">
        <v>16</v>
      </c>
      <c r="B23" s="318" t="s">
        <v>373</v>
      </c>
      <c r="C23" s="319" t="s">
        <v>387</v>
      </c>
      <c r="D23" s="320" t="s">
        <v>608</v>
      </c>
      <c r="E23" s="65">
        <v>5428.12</v>
      </c>
      <c r="F23" s="65">
        <f t="shared" si="26"/>
        <v>16284.36</v>
      </c>
      <c r="G23" s="65">
        <f t="shared" si="27"/>
        <v>407.109</v>
      </c>
      <c r="H23" s="65"/>
      <c r="I23" s="65">
        <f t="shared" si="28"/>
        <v>2714.06</v>
      </c>
      <c r="J23" s="65">
        <f t="shared" si="29"/>
        <v>18998.42</v>
      </c>
      <c r="K23" s="65">
        <f t="shared" si="30"/>
        <v>5428.12</v>
      </c>
      <c r="L23" s="321"/>
      <c r="M23" s="321">
        <f>20000</f>
        <v>20000</v>
      </c>
      <c r="N23" s="65">
        <f t="shared" si="31"/>
        <v>542.812</v>
      </c>
      <c r="O23" s="65">
        <v>5000</v>
      </c>
      <c r="P23" s="65">
        <f>7000</f>
        <v>7000</v>
      </c>
      <c r="Q23" s="65">
        <f t="shared" si="32"/>
        <v>81803.001</v>
      </c>
      <c r="R23" s="320" t="s">
        <v>607</v>
      </c>
      <c r="S23" s="65" t="e">
        <f>'SALARY STRUCTURE'!#REF!+30000</f>
        <v>#REF!</v>
      </c>
      <c r="T23" s="65" t="e">
        <f t="shared" si="33"/>
        <v>#REF!</v>
      </c>
      <c r="U23" s="65"/>
      <c r="V23" s="65"/>
      <c r="W23" s="322">
        <f>4365.33075466667</f>
        <v>4365.33075466667</v>
      </c>
      <c r="X23" s="65">
        <f>'[10]October 2023'!$Z$164</f>
        <v>8312.59</v>
      </c>
      <c r="Y23" s="65">
        <f t="shared" si="34"/>
        <v>3947.25924533333</v>
      </c>
      <c r="Z23" s="65" t="e">
        <f t="shared" si="35"/>
        <v>#REF!</v>
      </c>
      <c r="AA23" s="65">
        <f>(17/31)+1</f>
        <v>1.54838709677419</v>
      </c>
      <c r="AB23" s="65" t="e">
        <f t="shared" si="36"/>
        <v>#REF!</v>
      </c>
      <c r="AC23" s="323"/>
    </row>
    <row r="24" customHeight="1" spans="1:29">
      <c r="A24" s="27">
        <v>17</v>
      </c>
      <c r="B24" s="18" t="s">
        <v>374</v>
      </c>
      <c r="C24" s="12" t="s">
        <v>387</v>
      </c>
      <c r="D24" s="15" t="s">
        <v>388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607</v>
      </c>
      <c r="S24" s="219">
        <v>115104.916666667</v>
      </c>
      <c r="T24" s="85">
        <f t="shared" si="33"/>
        <v>31734.825666667</v>
      </c>
      <c r="U24" s="85"/>
      <c r="V24" s="85"/>
      <c r="W24" s="307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56"/>
      <c r="F25" s="156"/>
      <c r="G25" s="156"/>
      <c r="H25" s="156"/>
      <c r="I25" s="156"/>
      <c r="J25" s="156"/>
      <c r="K25" s="156"/>
      <c r="L25" s="220">
        <f>226713.38+70000</f>
        <v>296713.38</v>
      </c>
      <c r="M25" s="220"/>
      <c r="N25" s="156"/>
      <c r="O25" s="156"/>
      <c r="P25" s="156"/>
      <c r="Q25" s="311"/>
      <c r="R25" s="15"/>
      <c r="S25" s="311"/>
      <c r="T25" s="85"/>
      <c r="U25" s="156"/>
      <c r="V25" s="156"/>
      <c r="W25" s="312"/>
      <c r="X25" s="156"/>
      <c r="Y25" s="85"/>
      <c r="Z25" s="231"/>
      <c r="AA25" s="156"/>
      <c r="AB25" s="231"/>
      <c r="AC25" s="13"/>
    </row>
    <row r="26" customHeight="1" spans="1:29">
      <c r="A26" s="4"/>
      <c r="B26" s="22"/>
      <c r="C26" s="26"/>
      <c r="D26" s="15"/>
      <c r="E26" s="156"/>
      <c r="F26" s="156"/>
      <c r="G26" s="156"/>
      <c r="H26" s="156"/>
      <c r="I26" s="156"/>
      <c r="J26" s="156"/>
      <c r="K26" s="156"/>
      <c r="L26" s="220"/>
      <c r="M26" s="220"/>
      <c r="N26" s="156"/>
      <c r="O26" s="156"/>
      <c r="P26" s="156"/>
      <c r="Q26" s="311"/>
      <c r="R26" s="15"/>
      <c r="S26" s="311"/>
      <c r="T26" s="85"/>
      <c r="U26" s="156"/>
      <c r="V26" s="156"/>
      <c r="W26" s="312"/>
      <c r="X26" s="156"/>
      <c r="Y26" s="85"/>
      <c r="Z26" s="231"/>
      <c r="AA26" s="156"/>
      <c r="AB26" s="231"/>
      <c r="AC26" s="13"/>
    </row>
    <row r="27" ht="19.5" customHeight="1" spans="1:29">
      <c r="A27" s="4"/>
      <c r="B27" s="30" t="s">
        <v>406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1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25"/>
      <c r="X28" s="229"/>
      <c r="Y28" s="229"/>
      <c r="Z28" s="229"/>
      <c r="AA28" s="229"/>
      <c r="AB28" s="229"/>
      <c r="AC28" s="35"/>
    </row>
    <row r="29" ht="36.75" customHeight="1" spans="1:29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25"/>
      <c r="X29" s="229"/>
      <c r="Y29" s="229"/>
      <c r="Z29" s="229"/>
      <c r="AA29" s="229"/>
      <c r="AB29" s="229"/>
    </row>
    <row r="32" customHeight="1" spans="1:29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36"/>
    </row>
    <row r="2" ht="33.75" customHeight="1" spans="1:6">
      <c r="A2" s="236" t="s">
        <v>1531</v>
      </c>
      <c r="B2" s="257"/>
      <c r="C2" s="236"/>
      <c r="D2" s="236"/>
      <c r="E2" s="236"/>
    </row>
    <row r="3" ht="9.75" customHeight="1" spans="1:6">
      <c r="E3" s="217" t="e">
        <f>'[1]FEB 08'!E11/'[1]FEB 08'!M11</f>
        <v>#REF!</v>
      </c>
    </row>
    <row r="4" ht="49.5" customHeight="1" spans="1:6">
      <c r="A4" s="4"/>
      <c r="B4" s="5" t="s">
        <v>2</v>
      </c>
      <c r="C4" s="6" t="s">
        <v>3</v>
      </c>
      <c r="D4" s="7" t="s">
        <v>4</v>
      </c>
      <c r="E4" s="357" t="s">
        <v>484</v>
      </c>
    </row>
    <row r="5" ht="17.25" customHeight="1" spans="1:6">
      <c r="C5" s="8"/>
      <c r="D5" s="8"/>
      <c r="E5" s="358" t="s">
        <v>21</v>
      </c>
    </row>
    <row r="6" customHeight="1" spans="1:6">
      <c r="A6" s="9" t="s">
        <v>22</v>
      </c>
      <c r="B6" s="8" t="s">
        <v>23</v>
      </c>
      <c r="C6" s="8"/>
      <c r="D6" s="8"/>
      <c r="E6" s="358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356">
        <v>540000</v>
      </c>
      <c r="F7" s="13"/>
    </row>
    <row r="8" customHeight="1" spans="1:6">
      <c r="A8" s="10">
        <v>2</v>
      </c>
      <c r="B8" s="11" t="s">
        <v>27</v>
      </c>
      <c r="C8" s="12" t="s">
        <v>28</v>
      </c>
      <c r="D8" s="10" t="s">
        <v>29</v>
      </c>
      <c r="E8" s="356">
        <v>180000</v>
      </c>
      <c r="F8" s="13"/>
    </row>
    <row r="9" customHeight="1" spans="1:6">
      <c r="A9" s="10">
        <v>3</v>
      </c>
      <c r="B9" s="14" t="s">
        <v>30</v>
      </c>
      <c r="C9" s="4" t="s">
        <v>31</v>
      </c>
      <c r="D9" s="15" t="s">
        <v>210</v>
      </c>
      <c r="E9" s="356">
        <v>180000</v>
      </c>
      <c r="F9" s="13"/>
    </row>
    <row r="10" customHeight="1" spans="1:6">
      <c r="A10" s="10">
        <v>4</v>
      </c>
      <c r="B10" s="11" t="s">
        <v>32</v>
      </c>
      <c r="C10" s="17" t="s">
        <v>33</v>
      </c>
      <c r="D10" s="16" t="s">
        <v>210</v>
      </c>
      <c r="E10" s="356">
        <v>180000</v>
      </c>
      <c r="F10" s="13"/>
    </row>
    <row r="11" customHeight="1" spans="1:6">
      <c r="A11" s="10">
        <v>5</v>
      </c>
      <c r="B11" s="14" t="s">
        <v>300</v>
      </c>
      <c r="C11" s="4" t="s">
        <v>907</v>
      </c>
      <c r="D11" s="16" t="s">
        <v>210</v>
      </c>
      <c r="E11" s="356">
        <v>180000</v>
      </c>
      <c r="F11" s="13"/>
    </row>
    <row r="12" customHeight="1" spans="1:6">
      <c r="A12" s="10">
        <v>6</v>
      </c>
      <c r="B12" s="18" t="s">
        <v>908</v>
      </c>
      <c r="C12" s="10" t="s">
        <v>909</v>
      </c>
      <c r="D12" s="15" t="s">
        <v>210</v>
      </c>
      <c r="E12" s="356">
        <v>180000</v>
      </c>
      <c r="F12" s="13"/>
    </row>
    <row r="13" customHeight="1" spans="1:6">
      <c r="A13" s="10">
        <v>7</v>
      </c>
      <c r="B13" s="11" t="s">
        <v>34</v>
      </c>
      <c r="C13" s="12" t="s">
        <v>910</v>
      </c>
      <c r="D13" s="15" t="s">
        <v>39</v>
      </c>
      <c r="E13" s="356">
        <v>126000</v>
      </c>
      <c r="F13" s="13"/>
    </row>
    <row r="14" customHeight="1" spans="1:6">
      <c r="A14" s="10">
        <v>8</v>
      </c>
      <c r="B14" s="11" t="s">
        <v>37</v>
      </c>
      <c r="C14" s="4" t="s">
        <v>38</v>
      </c>
      <c r="D14" s="10" t="s">
        <v>42</v>
      </c>
      <c r="E14" s="356">
        <v>126000</v>
      </c>
      <c r="F14" s="13"/>
    </row>
    <row r="15" customHeight="1" spans="1:6">
      <c r="A15" s="10">
        <v>9</v>
      </c>
      <c r="B15" s="11" t="s">
        <v>40</v>
      </c>
      <c r="C15" s="4" t="s">
        <v>643</v>
      </c>
      <c r="D15" s="15" t="s">
        <v>47</v>
      </c>
      <c r="E15" s="356">
        <f>90000</f>
        <v>90000</v>
      </c>
      <c r="F15" s="13"/>
    </row>
    <row r="16" customHeight="1" spans="1:6">
      <c r="A16" s="10">
        <v>10</v>
      </c>
      <c r="B16" s="14" t="s">
        <v>43</v>
      </c>
      <c r="C16" s="17" t="s">
        <v>52</v>
      </c>
      <c r="D16" s="15" t="s">
        <v>214</v>
      </c>
      <c r="E16" s="356">
        <f>90000</f>
        <v>90000</v>
      </c>
      <c r="F16" s="13"/>
    </row>
    <row r="17" customHeight="1" spans="1:6">
      <c r="A17" s="10">
        <v>11</v>
      </c>
      <c r="B17" s="11" t="s">
        <v>48</v>
      </c>
      <c r="C17" s="4" t="s">
        <v>911</v>
      </c>
      <c r="D17" s="10" t="s">
        <v>56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51</v>
      </c>
      <c r="C18" s="12" t="s">
        <v>61</v>
      </c>
      <c r="D18" s="15" t="s">
        <v>218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54</v>
      </c>
      <c r="C19" s="4" t="s">
        <v>55</v>
      </c>
      <c r="D19" s="15" t="s">
        <v>602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65</v>
      </c>
      <c r="C20" s="12" t="s">
        <v>178</v>
      </c>
      <c r="D20" s="15" t="s">
        <v>131</v>
      </c>
      <c r="E20" s="356">
        <v>54000</v>
      </c>
      <c r="F20" s="13"/>
    </row>
    <row r="21" customHeight="1" spans="1:6">
      <c r="A21" s="10">
        <v>15</v>
      </c>
      <c r="B21" s="14" t="s">
        <v>68</v>
      </c>
      <c r="C21" s="17" t="s">
        <v>69</v>
      </c>
      <c r="D21" s="10" t="s">
        <v>180</v>
      </c>
      <c r="E21" s="356">
        <v>54000</v>
      </c>
      <c r="F21" s="13"/>
    </row>
    <row r="22" customHeight="1" spans="1:6">
      <c r="A22" s="10">
        <v>16</v>
      </c>
      <c r="B22" s="14" t="s">
        <v>73</v>
      </c>
      <c r="C22" s="17" t="s">
        <v>74</v>
      </c>
      <c r="D22" s="10" t="s">
        <v>81</v>
      </c>
      <c r="E22" s="356">
        <v>54000</v>
      </c>
      <c r="F22" s="13"/>
    </row>
    <row r="23" ht="18.75" customHeight="1" spans="1:6">
      <c r="A23" s="10">
        <v>17</v>
      </c>
      <c r="B23" s="4" t="s">
        <v>478</v>
      </c>
      <c r="C23" s="4" t="s">
        <v>94</v>
      </c>
      <c r="D23" s="10" t="s">
        <v>99</v>
      </c>
      <c r="E23" s="356">
        <v>54000</v>
      </c>
      <c r="F23" s="13"/>
    </row>
    <row r="24" ht="18.75" customHeight="1" spans="1:6">
      <c r="A24" s="10">
        <v>18</v>
      </c>
      <c r="B24" s="18" t="s">
        <v>79</v>
      </c>
      <c r="C24" s="12" t="s">
        <v>94</v>
      </c>
      <c r="D24" s="15" t="s">
        <v>99</v>
      </c>
      <c r="E24" s="356">
        <v>54000</v>
      </c>
      <c r="F24" s="13"/>
    </row>
    <row r="25" ht="18.75" customHeight="1" spans="1:6">
      <c r="A25" s="10">
        <v>19</v>
      </c>
      <c r="B25" s="18" t="s">
        <v>84</v>
      </c>
      <c r="C25" s="12" t="s">
        <v>85</v>
      </c>
      <c r="D25" s="15" t="s">
        <v>225</v>
      </c>
      <c r="E25" s="356">
        <v>54000</v>
      </c>
      <c r="F25" s="13"/>
    </row>
    <row r="26" ht="18.75" customHeight="1" spans="1:6">
      <c r="A26" s="10">
        <v>20</v>
      </c>
      <c r="B26" s="18" t="s">
        <v>87</v>
      </c>
      <c r="C26" s="4" t="s">
        <v>88</v>
      </c>
      <c r="D26" s="10" t="s">
        <v>225</v>
      </c>
      <c r="E26" s="356">
        <v>54000</v>
      </c>
      <c r="F26" s="13"/>
    </row>
    <row r="27" ht="18.75" customHeight="1" spans="1:6">
      <c r="A27" s="10">
        <v>21</v>
      </c>
      <c r="B27" s="18" t="s">
        <v>91</v>
      </c>
      <c r="C27" s="17" t="s">
        <v>646</v>
      </c>
      <c r="D27" s="15" t="s">
        <v>99</v>
      </c>
      <c r="E27" s="356">
        <v>54000</v>
      </c>
      <c r="F27" s="13"/>
    </row>
    <row r="28" ht="18.75" customHeight="1" spans="1:6">
      <c r="A28" s="10">
        <v>22</v>
      </c>
      <c r="B28" s="18" t="s">
        <v>95</v>
      </c>
      <c r="C28" s="4" t="s">
        <v>647</v>
      </c>
      <c r="D28" s="10" t="s">
        <v>111</v>
      </c>
      <c r="E28" s="356">
        <v>54000</v>
      </c>
      <c r="F28" s="13"/>
    </row>
    <row r="29" ht="18.75" customHeight="1" spans="1:6">
      <c r="A29" s="10">
        <v>23</v>
      </c>
      <c r="B29" s="18" t="s">
        <v>1525</v>
      </c>
      <c r="C29" s="12" t="s">
        <v>104</v>
      </c>
      <c r="D29" s="15" t="s">
        <v>111</v>
      </c>
      <c r="E29" s="356">
        <v>54000</v>
      </c>
      <c r="F29" s="13"/>
    </row>
    <row r="30" ht="18.75" customHeight="1" spans="1:6">
      <c r="A30" s="10">
        <v>24</v>
      </c>
      <c r="B30" s="18" t="s">
        <v>103</v>
      </c>
      <c r="C30" s="12" t="s">
        <v>104</v>
      </c>
      <c r="D30" s="15" t="s">
        <v>275</v>
      </c>
      <c r="E30" s="356">
        <v>54000</v>
      </c>
      <c r="F30" s="13"/>
    </row>
    <row r="31" ht="26.25" customHeight="1" spans="1:6">
      <c r="A31" s="10"/>
      <c r="B31" s="20" t="s">
        <v>120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121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122</v>
      </c>
      <c r="C34" s="4" t="s">
        <v>123</v>
      </c>
      <c r="D34" s="10" t="s">
        <v>124</v>
      </c>
      <c r="E34" s="356">
        <v>270000</v>
      </c>
      <c r="F34" s="13"/>
    </row>
    <row r="35" ht="18.75" customHeight="1" spans="1:6">
      <c r="A35" s="10">
        <v>2</v>
      </c>
      <c r="B35" s="18" t="s">
        <v>127</v>
      </c>
      <c r="C35" s="4" t="s">
        <v>1137</v>
      </c>
      <c r="D35" s="10" t="s">
        <v>275</v>
      </c>
      <c r="E35" s="356">
        <v>54000</v>
      </c>
      <c r="F35" s="13"/>
    </row>
    <row r="36" ht="18.75" customHeight="1" spans="1:6">
      <c r="A36" s="10">
        <v>3</v>
      </c>
      <c r="B36" s="11" t="s">
        <v>129</v>
      </c>
      <c r="C36" s="12" t="s">
        <v>1134</v>
      </c>
      <c r="D36" s="15" t="s">
        <v>81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137</v>
      </c>
      <c r="C39" s="5"/>
      <c r="D39" s="24"/>
      <c r="E39" s="359"/>
      <c r="F39" s="13"/>
    </row>
    <row r="40" customHeight="1" spans="1:6">
      <c r="A40" s="10">
        <v>1</v>
      </c>
      <c r="B40" s="11" t="s">
        <v>912</v>
      </c>
      <c r="C40" s="4" t="s">
        <v>913</v>
      </c>
      <c r="D40" s="10" t="s">
        <v>124</v>
      </c>
      <c r="E40" s="356">
        <v>270000</v>
      </c>
      <c r="F40" s="13"/>
    </row>
    <row r="41" customHeight="1" spans="1:6">
      <c r="A41" s="10">
        <v>2</v>
      </c>
      <c r="B41" s="11" t="s">
        <v>138</v>
      </c>
      <c r="C41" s="4" t="s">
        <v>648</v>
      </c>
      <c r="D41" s="10" t="s">
        <v>143</v>
      </c>
      <c r="E41" s="356">
        <f>180000</f>
        <v>180000</v>
      </c>
      <c r="F41" s="13"/>
    </row>
    <row r="42" customHeight="1" spans="1:6">
      <c r="A42" s="10">
        <v>3</v>
      </c>
      <c r="B42" s="11" t="s">
        <v>914</v>
      </c>
      <c r="C42" s="4" t="s">
        <v>44</v>
      </c>
      <c r="D42" s="10" t="s">
        <v>39</v>
      </c>
      <c r="E42" s="356">
        <v>126000</v>
      </c>
      <c r="F42" s="13"/>
    </row>
    <row r="43" customHeight="1" spans="1:6">
      <c r="A43" s="10">
        <v>4</v>
      </c>
      <c r="B43" s="11" t="s">
        <v>141</v>
      </c>
      <c r="C43" s="4" t="s">
        <v>145</v>
      </c>
      <c r="D43" s="10" t="s">
        <v>39</v>
      </c>
      <c r="E43" s="356">
        <v>126000</v>
      </c>
      <c r="F43" s="13"/>
    </row>
    <row r="44" customHeight="1" spans="1:6">
      <c r="A44" s="10">
        <v>5</v>
      </c>
      <c r="B44" s="11" t="s">
        <v>144</v>
      </c>
      <c r="C44" s="4" t="s">
        <v>145</v>
      </c>
      <c r="D44" s="10" t="s">
        <v>50</v>
      </c>
      <c r="E44" s="356">
        <v>126000</v>
      </c>
      <c r="F44" s="13"/>
    </row>
    <row r="45" customHeight="1" spans="1:6">
      <c r="A45" s="10">
        <v>6</v>
      </c>
      <c r="B45" s="11" t="s">
        <v>146</v>
      </c>
      <c r="C45" s="4" t="s">
        <v>145</v>
      </c>
      <c r="D45" s="10" t="s">
        <v>42</v>
      </c>
      <c r="E45" s="356">
        <v>126000</v>
      </c>
      <c r="F45" s="13"/>
    </row>
    <row r="46" customHeight="1" spans="1:6">
      <c r="A46" s="10">
        <v>7</v>
      </c>
      <c r="B46" s="14" t="s">
        <v>147</v>
      </c>
      <c r="C46" s="4" t="s">
        <v>52</v>
      </c>
      <c r="D46" s="16" t="s">
        <v>47</v>
      </c>
      <c r="E46" s="356">
        <v>90000</v>
      </c>
      <c r="F46" s="13"/>
    </row>
    <row r="47" customHeight="1" spans="1:6">
      <c r="A47" s="10">
        <v>8</v>
      </c>
      <c r="B47" s="11" t="s">
        <v>45</v>
      </c>
      <c r="C47" s="4" t="s">
        <v>46</v>
      </c>
      <c r="D47" s="10" t="s">
        <v>53</v>
      </c>
      <c r="E47" s="356">
        <v>90000</v>
      </c>
      <c r="F47" s="13"/>
    </row>
    <row r="48" customHeight="1" spans="1:6">
      <c r="A48" s="10">
        <v>9</v>
      </c>
      <c r="B48" s="11" t="s">
        <v>151</v>
      </c>
      <c r="C48" s="4" t="s">
        <v>152</v>
      </c>
      <c r="D48" s="10" t="s">
        <v>81</v>
      </c>
      <c r="E48" s="356">
        <v>54000</v>
      </c>
      <c r="F48" s="13"/>
    </row>
    <row r="49" customHeight="1" spans="1:6">
      <c r="A49" s="10">
        <v>10</v>
      </c>
      <c r="B49" s="11" t="s">
        <v>155</v>
      </c>
      <c r="C49" s="4" t="s">
        <v>152</v>
      </c>
      <c r="D49" s="10" t="s">
        <v>225</v>
      </c>
      <c r="E49" s="356">
        <v>54000</v>
      </c>
      <c r="F49" s="13"/>
    </row>
    <row r="50" customHeight="1" spans="1:6">
      <c r="A50" s="10">
        <v>11</v>
      </c>
      <c r="B50" s="11" t="s">
        <v>915</v>
      </c>
      <c r="C50" s="4" t="s">
        <v>152</v>
      </c>
      <c r="D50" s="10" t="s">
        <v>225</v>
      </c>
      <c r="E50" s="356">
        <v>54000</v>
      </c>
      <c r="F50" s="13"/>
    </row>
    <row r="51" customHeight="1" spans="1:6">
      <c r="A51" s="10">
        <v>12</v>
      </c>
      <c r="B51" s="11" t="s">
        <v>157</v>
      </c>
      <c r="C51" s="4" t="s">
        <v>152</v>
      </c>
      <c r="D51" s="10" t="s">
        <v>225</v>
      </c>
      <c r="E51" s="356">
        <v>54000</v>
      </c>
      <c r="F51" s="13"/>
    </row>
    <row r="52" ht="25.5" customHeight="1" spans="1:6">
      <c r="A52" s="10"/>
      <c r="B52" s="20" t="s">
        <v>120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159</v>
      </c>
      <c r="C54" s="21"/>
      <c r="D54" s="21"/>
      <c r="E54" s="361"/>
      <c r="F54" s="13"/>
    </row>
    <row r="55" customHeight="1" spans="1:6">
      <c r="A55" s="10">
        <v>1</v>
      </c>
      <c r="B55" s="11" t="s">
        <v>916</v>
      </c>
      <c r="C55" s="12" t="s">
        <v>161</v>
      </c>
      <c r="D55" s="15" t="s">
        <v>124</v>
      </c>
      <c r="E55" s="356">
        <v>270000</v>
      </c>
      <c r="F55" s="13"/>
    </row>
    <row r="56" customHeight="1" spans="1:6">
      <c r="A56" s="10">
        <v>2</v>
      </c>
      <c r="B56" s="11" t="s">
        <v>162</v>
      </c>
      <c r="C56" s="12" t="s">
        <v>485</v>
      </c>
      <c r="D56" s="15" t="s">
        <v>925</v>
      </c>
      <c r="E56" s="356">
        <v>126000</v>
      </c>
      <c r="F56" s="13"/>
    </row>
    <row r="57" customHeight="1" spans="1:6">
      <c r="A57" s="10"/>
      <c r="B57" s="20" t="s">
        <v>120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164</v>
      </c>
      <c r="C59" s="21"/>
      <c r="D59" s="21"/>
      <c r="E59" s="361"/>
      <c r="F59" s="13"/>
    </row>
    <row r="60" customHeight="1" spans="1:6">
      <c r="A60" s="10">
        <v>1</v>
      </c>
      <c r="B60" s="11" t="s">
        <v>917</v>
      </c>
      <c r="C60" s="17" t="s">
        <v>918</v>
      </c>
      <c r="D60" s="10" t="s">
        <v>124</v>
      </c>
      <c r="E60" s="356">
        <v>270000</v>
      </c>
      <c r="F60" s="13"/>
    </row>
    <row r="61" customHeight="1" spans="1:6">
      <c r="A61" s="10">
        <v>2</v>
      </c>
      <c r="B61" s="351" t="s">
        <v>919</v>
      </c>
      <c r="C61" s="17" t="s">
        <v>920</v>
      </c>
      <c r="D61" s="15" t="s">
        <v>1532</v>
      </c>
      <c r="E61" s="356">
        <v>126000</v>
      </c>
      <c r="F61" s="13"/>
    </row>
    <row r="62" customHeight="1" spans="1:6">
      <c r="A62" s="10">
        <v>3</v>
      </c>
      <c r="B62" s="11" t="s">
        <v>167</v>
      </c>
      <c r="C62" s="4" t="s">
        <v>52</v>
      </c>
      <c r="D62" s="10" t="s">
        <v>53</v>
      </c>
      <c r="E62" s="356">
        <v>90000</v>
      </c>
      <c r="F62" s="13"/>
    </row>
    <row r="63" customHeight="1" spans="1:6">
      <c r="A63" s="10">
        <v>4</v>
      </c>
      <c r="B63" s="18" t="s">
        <v>921</v>
      </c>
      <c r="C63" s="17" t="s">
        <v>217</v>
      </c>
      <c r="D63" s="15" t="s">
        <v>218</v>
      </c>
      <c r="E63" s="356">
        <v>90000</v>
      </c>
      <c r="F63" s="13"/>
    </row>
    <row r="64" customHeight="1" spans="1:6">
      <c r="A64" s="10">
        <v>5</v>
      </c>
      <c r="B64" s="14" t="s">
        <v>922</v>
      </c>
      <c r="C64" s="17" t="s">
        <v>52</v>
      </c>
      <c r="D64" s="15" t="s">
        <v>47</v>
      </c>
      <c r="E64" s="356">
        <v>90000</v>
      </c>
      <c r="F64" s="13"/>
    </row>
    <row r="65" customHeight="1" spans="1:6">
      <c r="A65" s="10">
        <v>7</v>
      </c>
      <c r="B65" s="11" t="s">
        <v>171</v>
      </c>
      <c r="C65" s="4" t="s">
        <v>152</v>
      </c>
      <c r="D65" s="10" t="s">
        <v>180</v>
      </c>
      <c r="E65" s="356">
        <v>54000</v>
      </c>
      <c r="F65" s="13"/>
    </row>
    <row r="66" customHeight="1" spans="1:6">
      <c r="A66" s="10">
        <v>8</v>
      </c>
      <c r="B66" s="11" t="s">
        <v>172</v>
      </c>
      <c r="C66" s="17" t="s">
        <v>72</v>
      </c>
      <c r="D66" s="15" t="s">
        <v>180</v>
      </c>
      <c r="E66" s="356">
        <v>54000</v>
      </c>
      <c r="F66" s="13"/>
    </row>
    <row r="67" customHeight="1" spans="1:6">
      <c r="A67" s="10">
        <v>9</v>
      </c>
      <c r="B67" s="11" t="s">
        <v>174</v>
      </c>
      <c r="C67" s="17" t="s">
        <v>72</v>
      </c>
      <c r="D67" s="15" t="s">
        <v>180</v>
      </c>
      <c r="E67" s="356">
        <v>54000</v>
      </c>
      <c r="F67" s="13"/>
    </row>
    <row r="68" customHeight="1" spans="1:6">
      <c r="A68" s="10">
        <v>10</v>
      </c>
      <c r="B68" s="11" t="s">
        <v>175</v>
      </c>
      <c r="C68" s="4" t="s">
        <v>649</v>
      </c>
      <c r="D68" s="10" t="s">
        <v>131</v>
      </c>
      <c r="E68" s="356">
        <v>54000</v>
      </c>
      <c r="F68" s="13"/>
    </row>
    <row r="69" ht="21.6" customHeight="1" spans="1:6">
      <c r="A69" s="10">
        <v>11</v>
      </c>
      <c r="B69" s="11" t="s">
        <v>179</v>
      </c>
      <c r="C69" s="4" t="s">
        <v>152</v>
      </c>
      <c r="D69" s="10" t="s">
        <v>81</v>
      </c>
      <c r="E69" s="356">
        <v>54000</v>
      </c>
    </row>
    <row r="70" customHeight="1" spans="1:6">
      <c r="A70" s="10">
        <v>12</v>
      </c>
      <c r="B70" s="11" t="s">
        <v>82</v>
      </c>
      <c r="C70" s="17" t="s">
        <v>69</v>
      </c>
      <c r="D70" s="10" t="s">
        <v>99</v>
      </c>
      <c r="E70" s="356">
        <v>54000</v>
      </c>
      <c r="F70" s="13"/>
    </row>
    <row r="71" ht="27" customHeight="1" spans="1:6">
      <c r="A71" s="10"/>
      <c r="B71" s="20" t="s">
        <v>120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183</v>
      </c>
      <c r="C73" s="21"/>
      <c r="D73" s="21"/>
      <c r="E73" s="361"/>
      <c r="F73" s="13"/>
    </row>
    <row r="74" customHeight="1" spans="1:6">
      <c r="A74" s="10">
        <v>1</v>
      </c>
      <c r="B74" s="11" t="s">
        <v>184</v>
      </c>
      <c r="C74" s="4" t="s">
        <v>185</v>
      </c>
      <c r="D74" s="10" t="s">
        <v>124</v>
      </c>
      <c r="E74" s="356">
        <v>270000</v>
      </c>
      <c r="F74" s="13"/>
    </row>
    <row r="75" customHeight="1" spans="1:6">
      <c r="A75" s="10">
        <v>2</v>
      </c>
      <c r="B75" s="14" t="s">
        <v>923</v>
      </c>
      <c r="C75" s="4" t="s">
        <v>924</v>
      </c>
      <c r="D75" s="15" t="s">
        <v>1532</v>
      </c>
      <c r="E75" s="356">
        <v>126000</v>
      </c>
      <c r="F75" s="13"/>
    </row>
    <row r="76" customHeight="1" spans="1:6">
      <c r="A76" s="10">
        <v>3</v>
      </c>
      <c r="B76" s="18" t="s">
        <v>186</v>
      </c>
      <c r="C76" s="12" t="s">
        <v>926</v>
      </c>
      <c r="D76" s="10" t="s">
        <v>925</v>
      </c>
      <c r="E76" s="356">
        <v>126000</v>
      </c>
      <c r="F76" s="13"/>
    </row>
    <row r="77" customHeight="1" spans="1:6">
      <c r="A77" s="10">
        <v>4</v>
      </c>
      <c r="B77" s="11" t="s">
        <v>190</v>
      </c>
      <c r="C77" s="4" t="s">
        <v>191</v>
      </c>
      <c r="D77" s="15" t="s">
        <v>53</v>
      </c>
      <c r="E77" s="356">
        <v>90000</v>
      </c>
      <c r="F77" s="13"/>
    </row>
    <row r="78" customHeight="1" spans="1:6">
      <c r="A78" s="10">
        <v>5</v>
      </c>
      <c r="B78" s="11" t="s">
        <v>197</v>
      </c>
      <c r="C78" s="4" t="s">
        <v>182</v>
      </c>
      <c r="D78" s="10" t="s">
        <v>75</v>
      </c>
      <c r="E78" s="356">
        <v>54000</v>
      </c>
      <c r="F78" s="13"/>
    </row>
    <row r="79" customHeight="1" spans="1:6">
      <c r="A79" s="10">
        <v>6</v>
      </c>
      <c r="B79" s="11" t="s">
        <v>201</v>
      </c>
      <c r="C79" s="4" t="s">
        <v>182</v>
      </c>
      <c r="D79" s="10" t="s">
        <v>225</v>
      </c>
      <c r="E79" s="356">
        <v>54000</v>
      </c>
      <c r="F79" s="13"/>
    </row>
    <row r="80" customHeight="1" spans="1:6">
      <c r="A80" s="10">
        <v>7</v>
      </c>
      <c r="B80" s="11" t="s">
        <v>203</v>
      </c>
      <c r="C80" s="4" t="s">
        <v>204</v>
      </c>
      <c r="D80" s="10" t="s">
        <v>275</v>
      </c>
      <c r="E80" s="356">
        <v>54000</v>
      </c>
      <c r="F80" s="13"/>
    </row>
    <row r="81" customHeight="1" spans="1:6">
      <c r="A81" s="10"/>
      <c r="B81" s="20" t="s">
        <v>120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205</v>
      </c>
      <c r="C83" s="25"/>
      <c r="D83" s="21"/>
      <c r="E83" s="361"/>
      <c r="F83" s="13"/>
    </row>
    <row r="84" customHeight="1" spans="1:6">
      <c r="A84" s="10">
        <v>1</v>
      </c>
      <c r="B84" s="11" t="s">
        <v>208</v>
      </c>
      <c r="C84" s="4" t="s">
        <v>145</v>
      </c>
      <c r="D84" s="10" t="s">
        <v>39</v>
      </c>
      <c r="E84" s="356">
        <v>126000</v>
      </c>
      <c r="F84" s="13"/>
    </row>
    <row r="85" customHeight="1" spans="1:6">
      <c r="A85" s="10">
        <v>2</v>
      </c>
      <c r="B85" s="11" t="s">
        <v>206</v>
      </c>
      <c r="C85" s="4" t="s">
        <v>145</v>
      </c>
      <c r="D85" s="10" t="s">
        <v>39</v>
      </c>
      <c r="E85" s="356">
        <v>126000</v>
      </c>
      <c r="F85" s="13"/>
    </row>
    <row r="86" customHeight="1" spans="1:6">
      <c r="A86" s="10">
        <v>3</v>
      </c>
      <c r="B86" s="14" t="s">
        <v>165</v>
      </c>
      <c r="C86" s="4" t="s">
        <v>145</v>
      </c>
      <c r="D86" s="10" t="s">
        <v>42</v>
      </c>
      <c r="E86" s="356">
        <v>126000</v>
      </c>
      <c r="F86" s="13"/>
    </row>
    <row r="87" customHeight="1" spans="1:6">
      <c r="A87" s="10">
        <v>4</v>
      </c>
      <c r="B87" s="11" t="s">
        <v>479</v>
      </c>
      <c r="C87" s="4" t="s">
        <v>145</v>
      </c>
      <c r="D87" s="10" t="s">
        <v>42</v>
      </c>
      <c r="E87" s="356">
        <v>126000</v>
      </c>
      <c r="F87" s="13"/>
    </row>
    <row r="88" ht="21.6" customHeight="1" spans="1:6">
      <c r="A88" s="10">
        <v>5</v>
      </c>
      <c r="B88" s="11" t="s">
        <v>211</v>
      </c>
      <c r="C88" s="4" t="s">
        <v>927</v>
      </c>
      <c r="D88" s="15" t="s">
        <v>601</v>
      </c>
      <c r="E88" s="356">
        <v>90000</v>
      </c>
      <c r="F88" s="13"/>
    </row>
    <row r="89" ht="21.6" customHeight="1" spans="1:6">
      <c r="A89" s="10">
        <v>6</v>
      </c>
      <c r="B89" s="11" t="s">
        <v>212</v>
      </c>
      <c r="C89" s="12" t="s">
        <v>217</v>
      </c>
      <c r="D89" s="15" t="s">
        <v>218</v>
      </c>
      <c r="E89" s="356">
        <v>90000</v>
      </c>
      <c r="F89" s="13"/>
    </row>
    <row r="90" ht="21.6" customHeight="1" spans="1:6">
      <c r="A90" s="10">
        <v>7</v>
      </c>
      <c r="B90" s="11" t="s">
        <v>213</v>
      </c>
      <c r="C90" s="12" t="s">
        <v>52</v>
      </c>
      <c r="D90" s="15" t="s">
        <v>600</v>
      </c>
      <c r="E90" s="356">
        <v>90000</v>
      </c>
      <c r="F90" s="13"/>
    </row>
    <row r="91" ht="21.6" customHeight="1" spans="1:6">
      <c r="A91" s="10">
        <v>8</v>
      </c>
      <c r="B91" s="11" t="s">
        <v>215</v>
      </c>
      <c r="C91" s="17" t="s">
        <v>72</v>
      </c>
      <c r="D91" s="15" t="s">
        <v>180</v>
      </c>
      <c r="E91" s="356">
        <v>54000</v>
      </c>
      <c r="F91" s="13"/>
    </row>
    <row r="92" ht="21.6" customHeight="1" spans="1:6">
      <c r="A92" s="10">
        <v>9</v>
      </c>
      <c r="B92" s="11" t="s">
        <v>216</v>
      </c>
      <c r="C92" s="17" t="s">
        <v>72</v>
      </c>
      <c r="D92" s="15" t="s">
        <v>180</v>
      </c>
      <c r="E92" s="356">
        <v>54000</v>
      </c>
      <c r="F92" s="13"/>
    </row>
    <row r="93" ht="21.6" customHeight="1" spans="1:6">
      <c r="A93" s="10">
        <v>10</v>
      </c>
      <c r="B93" s="11" t="s">
        <v>220</v>
      </c>
      <c r="C93" s="4" t="s">
        <v>221</v>
      </c>
      <c r="D93" s="10" t="s">
        <v>81</v>
      </c>
      <c r="E93" s="356">
        <v>54000</v>
      </c>
      <c r="F93" s="13"/>
    </row>
    <row r="94" ht="21.6" customHeight="1" spans="1:6">
      <c r="A94" s="10">
        <v>11</v>
      </c>
      <c r="B94" s="11" t="s">
        <v>224</v>
      </c>
      <c r="C94" s="17" t="s">
        <v>505</v>
      </c>
      <c r="D94" s="15" t="s">
        <v>111</v>
      </c>
      <c r="E94" s="356">
        <v>54000</v>
      </c>
      <c r="F94" s="13"/>
    </row>
    <row r="95" customHeight="1" spans="1:6">
      <c r="A95" s="10"/>
      <c r="B95" s="20" t="s">
        <v>120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226</v>
      </c>
      <c r="C97" s="21"/>
      <c r="D97" s="21"/>
      <c r="E97" s="361"/>
      <c r="F97" s="13"/>
    </row>
    <row r="98" customHeight="1" spans="1:6">
      <c r="A98" s="10">
        <v>1</v>
      </c>
      <c r="B98" s="14" t="s">
        <v>227</v>
      </c>
      <c r="C98" s="4" t="s">
        <v>650</v>
      </c>
      <c r="D98" s="16" t="s">
        <v>210</v>
      </c>
      <c r="E98" s="356">
        <f>180000</f>
        <v>180000</v>
      </c>
      <c r="F98" s="13"/>
    </row>
    <row r="99" customHeight="1" spans="1:6">
      <c r="A99" s="10">
        <v>2</v>
      </c>
      <c r="B99" s="11" t="s">
        <v>229</v>
      </c>
      <c r="C99" s="4" t="s">
        <v>230</v>
      </c>
      <c r="D99" s="15" t="s">
        <v>53</v>
      </c>
      <c r="E99" s="356">
        <v>90000</v>
      </c>
      <c r="F99" s="13"/>
    </row>
    <row r="100" customHeight="1" spans="1:6">
      <c r="A100" s="10">
        <v>3</v>
      </c>
      <c r="B100" s="11" t="s">
        <v>235</v>
      </c>
      <c r="C100" s="4" t="s">
        <v>651</v>
      </c>
      <c r="D100" s="15" t="s">
        <v>131</v>
      </c>
      <c r="E100" s="356">
        <v>54000</v>
      </c>
      <c r="F100" s="13"/>
    </row>
    <row r="101" customHeight="1" spans="1:6">
      <c r="A101" s="10">
        <v>4</v>
      </c>
      <c r="B101" s="11" t="s">
        <v>236</v>
      </c>
      <c r="C101" s="4" t="s">
        <v>200</v>
      </c>
      <c r="D101" s="15" t="s">
        <v>81</v>
      </c>
      <c r="E101" s="356">
        <v>54000</v>
      </c>
      <c r="F101" s="13"/>
    </row>
    <row r="102" customHeight="1" spans="1:6">
      <c r="A102" s="4"/>
      <c r="B102" s="20" t="s">
        <v>120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239</v>
      </c>
      <c r="C104" s="4"/>
      <c r="D104" s="4"/>
      <c r="E104" s="362"/>
      <c r="F104" s="13"/>
    </row>
    <row r="105" customHeight="1" spans="1:6">
      <c r="A105" s="4">
        <v>1</v>
      </c>
      <c r="B105" s="11" t="s">
        <v>652</v>
      </c>
      <c r="C105" s="12" t="s">
        <v>241</v>
      </c>
      <c r="D105" s="15" t="s">
        <v>124</v>
      </c>
      <c r="E105" s="356">
        <v>270000</v>
      </c>
      <c r="F105" s="13"/>
    </row>
    <row r="106" customHeight="1" spans="1:6">
      <c r="A106" s="4">
        <v>2</v>
      </c>
      <c r="B106" s="11" t="s">
        <v>242</v>
      </c>
      <c r="C106" s="4" t="s">
        <v>243</v>
      </c>
      <c r="D106" s="16" t="s">
        <v>210</v>
      </c>
      <c r="E106" s="356">
        <v>180000</v>
      </c>
      <c r="F106" s="13"/>
    </row>
    <row r="107" customHeight="1" spans="1:6">
      <c r="A107" s="4">
        <v>3</v>
      </c>
      <c r="B107" s="11" t="s">
        <v>244</v>
      </c>
      <c r="C107" s="4" t="s">
        <v>653</v>
      </c>
      <c r="D107" s="10" t="s">
        <v>56</v>
      </c>
      <c r="E107" s="356">
        <v>90000</v>
      </c>
      <c r="F107" s="13"/>
    </row>
    <row r="108" customHeight="1" spans="1:6">
      <c r="A108" s="4">
        <v>4</v>
      </c>
      <c r="B108" s="11" t="s">
        <v>246</v>
      </c>
      <c r="C108" s="4" t="s">
        <v>653</v>
      </c>
      <c r="D108" s="10" t="s">
        <v>56</v>
      </c>
      <c r="E108" s="356">
        <v>90000</v>
      </c>
      <c r="F108" s="13"/>
    </row>
    <row r="109" customHeight="1" spans="1:6">
      <c r="A109" s="4">
        <v>5</v>
      </c>
      <c r="B109" s="11" t="s">
        <v>249</v>
      </c>
      <c r="C109" s="4" t="s">
        <v>250</v>
      </c>
      <c r="D109" s="15" t="s">
        <v>506</v>
      </c>
      <c r="E109" s="363">
        <v>54000</v>
      </c>
      <c r="F109" s="13"/>
    </row>
    <row r="110" customHeight="1" spans="1:6">
      <c r="A110" s="4">
        <v>6</v>
      </c>
      <c r="B110" s="18" t="s">
        <v>252</v>
      </c>
      <c r="C110" s="4" t="s">
        <v>250</v>
      </c>
      <c r="D110" s="10" t="s">
        <v>105</v>
      </c>
      <c r="E110" s="363">
        <v>54000</v>
      </c>
      <c r="F110" s="13"/>
    </row>
    <row r="111" customHeight="1" spans="1:6">
      <c r="A111" s="4">
        <v>7</v>
      </c>
      <c r="B111" s="18" t="s">
        <v>253</v>
      </c>
      <c r="C111" s="4" t="s">
        <v>250</v>
      </c>
      <c r="D111" s="15" t="s">
        <v>111</v>
      </c>
      <c r="E111" s="363">
        <v>54000</v>
      </c>
      <c r="F111" s="13"/>
    </row>
    <row r="112" ht="25.5" customHeight="1" spans="1:6">
      <c r="A112" s="4"/>
      <c r="B112" s="20" t="s">
        <v>120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257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259</v>
      </c>
      <c r="C115" s="4" t="s">
        <v>260</v>
      </c>
      <c r="D115" s="15" t="s">
        <v>131</v>
      </c>
      <c r="E115" s="356">
        <v>54000</v>
      </c>
      <c r="F115" s="13"/>
    </row>
    <row r="116" customHeight="1" spans="1:6">
      <c r="A116" s="10">
        <v>2</v>
      </c>
      <c r="B116" s="11" t="s">
        <v>193</v>
      </c>
      <c r="C116" s="12" t="s">
        <v>929</v>
      </c>
      <c r="D116" s="15" t="s">
        <v>70</v>
      </c>
      <c r="E116" s="356">
        <v>54000</v>
      </c>
      <c r="F116" s="13"/>
    </row>
    <row r="117" ht="24.75" customHeight="1" spans="1:6">
      <c r="A117" s="4"/>
      <c r="B117" s="20" t="s">
        <v>120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278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279</v>
      </c>
      <c r="C120" s="12" t="s">
        <v>280</v>
      </c>
      <c r="D120" s="15" t="s">
        <v>124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281</v>
      </c>
      <c r="C121" s="12" t="s">
        <v>654</v>
      </c>
      <c r="D121" s="15" t="s">
        <v>143</v>
      </c>
      <c r="E121" s="356">
        <v>180000</v>
      </c>
      <c r="F121" s="13"/>
    </row>
    <row r="122" customHeight="1" spans="1:6">
      <c r="A122" s="4">
        <v>3</v>
      </c>
      <c r="B122" s="14" t="s">
        <v>283</v>
      </c>
      <c r="C122" s="12" t="s">
        <v>655</v>
      </c>
      <c r="D122" s="15" t="s">
        <v>39</v>
      </c>
      <c r="E122" s="356">
        <v>126000</v>
      </c>
      <c r="F122" s="13"/>
    </row>
    <row r="123" customHeight="1" spans="1:6">
      <c r="A123" s="4">
        <v>4</v>
      </c>
      <c r="B123" s="14" t="s">
        <v>930</v>
      </c>
      <c r="C123" s="12" t="s">
        <v>655</v>
      </c>
      <c r="D123" s="15" t="s">
        <v>42</v>
      </c>
      <c r="E123" s="356">
        <v>126000</v>
      </c>
      <c r="F123" s="13"/>
    </row>
    <row r="124" customHeight="1" spans="1:6">
      <c r="A124" s="4">
        <v>5</v>
      </c>
      <c r="B124" s="11" t="s">
        <v>286</v>
      </c>
      <c r="C124" s="12" t="s">
        <v>288</v>
      </c>
      <c r="D124" s="15" t="s">
        <v>214</v>
      </c>
      <c r="E124" s="356">
        <v>90000</v>
      </c>
      <c r="F124" s="13"/>
    </row>
    <row r="125" customHeight="1" spans="1:6">
      <c r="A125" s="4">
        <v>6</v>
      </c>
      <c r="B125" s="11" t="s">
        <v>287</v>
      </c>
      <c r="C125" s="12" t="s">
        <v>656</v>
      </c>
      <c r="D125" s="15" t="s">
        <v>53</v>
      </c>
      <c r="E125" s="356">
        <v>90000</v>
      </c>
      <c r="F125" s="13"/>
    </row>
    <row r="126" customHeight="1" spans="1:6">
      <c r="A126" s="4">
        <v>7</v>
      </c>
      <c r="B126" s="11" t="s">
        <v>289</v>
      </c>
      <c r="C126" s="12" t="s">
        <v>288</v>
      </c>
      <c r="D126" s="15" t="s">
        <v>53</v>
      </c>
      <c r="E126" s="356">
        <v>90000</v>
      </c>
      <c r="F126" s="13"/>
    </row>
    <row r="127" customHeight="1" spans="1:6">
      <c r="A127" s="4">
        <v>8</v>
      </c>
      <c r="B127" s="11" t="s">
        <v>292</v>
      </c>
      <c r="C127" s="12" t="s">
        <v>657</v>
      </c>
      <c r="D127" s="10" t="s">
        <v>99</v>
      </c>
      <c r="E127" s="356">
        <v>54000</v>
      </c>
      <c r="F127" s="13"/>
    </row>
    <row r="128" customHeight="1" spans="1:6">
      <c r="A128" s="4">
        <v>9</v>
      </c>
      <c r="B128" s="18" t="s">
        <v>294</v>
      </c>
      <c r="C128" s="12" t="s">
        <v>295</v>
      </c>
      <c r="D128" s="15" t="s">
        <v>275</v>
      </c>
      <c r="E128" s="356">
        <v>54000</v>
      </c>
      <c r="F128" s="13"/>
    </row>
    <row r="129" customHeight="1" spans="1:6">
      <c r="A129" s="4">
        <v>10</v>
      </c>
      <c r="B129" s="18" t="s">
        <v>296</v>
      </c>
      <c r="C129" s="12" t="s">
        <v>291</v>
      </c>
      <c r="D129" s="15" t="s">
        <v>275</v>
      </c>
      <c r="E129" s="356">
        <v>54000</v>
      </c>
      <c r="F129" s="13"/>
    </row>
    <row r="130" ht="28.5" customHeight="1" spans="1:6">
      <c r="A130" s="4"/>
      <c r="B130" s="20" t="s">
        <v>120</v>
      </c>
      <c r="C130" s="26" t="s">
        <v>658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299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931</v>
      </c>
      <c r="C133" s="12" t="s">
        <v>932</v>
      </c>
      <c r="D133" s="15" t="s">
        <v>124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933</v>
      </c>
      <c r="C134" s="12" t="s">
        <v>934</v>
      </c>
      <c r="D134" s="15" t="s">
        <v>36</v>
      </c>
      <c r="E134" s="356">
        <v>180000</v>
      </c>
      <c r="F134" s="13"/>
    </row>
    <row r="135" customHeight="1" spans="1:6">
      <c r="A135" s="27">
        <v>3</v>
      </c>
      <c r="B135" s="14" t="s">
        <v>302</v>
      </c>
      <c r="C135" s="4" t="s">
        <v>488</v>
      </c>
      <c r="D135" s="16" t="s">
        <v>210</v>
      </c>
      <c r="E135" s="356">
        <v>180000</v>
      </c>
      <c r="F135" s="13"/>
    </row>
    <row r="136" customHeight="1" spans="1:6">
      <c r="A136" s="27">
        <v>4</v>
      </c>
      <c r="B136" s="11" t="s">
        <v>305</v>
      </c>
      <c r="C136" s="12" t="s">
        <v>935</v>
      </c>
      <c r="D136" s="15" t="s">
        <v>47</v>
      </c>
      <c r="E136" s="356">
        <v>90000</v>
      </c>
      <c r="F136" s="13"/>
    </row>
    <row r="137" customHeight="1" spans="1:6">
      <c r="A137" s="27">
        <v>5</v>
      </c>
      <c r="B137" s="11" t="s">
        <v>307</v>
      </c>
      <c r="C137" s="4" t="s">
        <v>311</v>
      </c>
      <c r="D137" s="15" t="s">
        <v>47</v>
      </c>
      <c r="E137" s="356">
        <v>90000</v>
      </c>
      <c r="F137" s="13"/>
    </row>
    <row r="138" customHeight="1" spans="1:6">
      <c r="A138" s="27">
        <v>6</v>
      </c>
      <c r="B138" s="11" t="s">
        <v>309</v>
      </c>
      <c r="C138" s="4" t="s">
        <v>311</v>
      </c>
      <c r="D138" s="15" t="s">
        <v>47</v>
      </c>
      <c r="E138" s="356">
        <v>90000</v>
      </c>
      <c r="F138" s="13"/>
    </row>
    <row r="139" customHeight="1" spans="1:6">
      <c r="A139" s="27">
        <v>7</v>
      </c>
      <c r="B139" s="11" t="s">
        <v>231</v>
      </c>
      <c r="C139" s="12" t="s">
        <v>936</v>
      </c>
      <c r="D139" s="15" t="s">
        <v>70</v>
      </c>
      <c r="E139" s="356">
        <v>54000</v>
      </c>
      <c r="F139" s="13"/>
    </row>
    <row r="140" customHeight="1" spans="1:6">
      <c r="A140" s="27">
        <v>8</v>
      </c>
      <c r="B140" s="11" t="s">
        <v>312</v>
      </c>
      <c r="C140" s="12" t="s">
        <v>936</v>
      </c>
      <c r="D140" s="15" t="s">
        <v>70</v>
      </c>
      <c r="E140" s="356">
        <v>54000</v>
      </c>
      <c r="F140" s="13"/>
    </row>
    <row r="141" customHeight="1" spans="1:6">
      <c r="A141" s="27">
        <v>9</v>
      </c>
      <c r="B141" s="11" t="s">
        <v>313</v>
      </c>
      <c r="C141" s="4" t="s">
        <v>937</v>
      </c>
      <c r="D141" s="15" t="s">
        <v>70</v>
      </c>
      <c r="E141" s="356">
        <v>54000</v>
      </c>
      <c r="F141" s="13"/>
    </row>
    <row r="142" customHeight="1" spans="1:6">
      <c r="A142" s="27">
        <v>10</v>
      </c>
      <c r="B142" s="11" t="s">
        <v>315</v>
      </c>
      <c r="C142" s="12" t="s">
        <v>660</v>
      </c>
      <c r="D142" s="15" t="s">
        <v>131</v>
      </c>
      <c r="E142" s="356">
        <v>54000</v>
      </c>
      <c r="F142" s="13"/>
    </row>
    <row r="143" customHeight="1" spans="1:6">
      <c r="A143" s="27">
        <v>11</v>
      </c>
      <c r="B143" s="11" t="s">
        <v>317</v>
      </c>
      <c r="C143" s="12" t="s">
        <v>318</v>
      </c>
      <c r="D143" s="15" t="s">
        <v>180</v>
      </c>
      <c r="E143" s="356">
        <v>54000</v>
      </c>
      <c r="F143" s="13"/>
    </row>
    <row r="144" customHeight="1" spans="1:6">
      <c r="A144" s="27">
        <v>12</v>
      </c>
      <c r="B144" s="11" t="s">
        <v>62</v>
      </c>
      <c r="C144" s="12" t="s">
        <v>938</v>
      </c>
      <c r="D144" s="15" t="s">
        <v>70</v>
      </c>
      <c r="E144" s="356">
        <v>54000</v>
      </c>
      <c r="F144" s="13"/>
    </row>
    <row r="145" customHeight="1" spans="1:6">
      <c r="A145" s="27">
        <v>13</v>
      </c>
      <c r="B145" s="18" t="s">
        <v>319</v>
      </c>
      <c r="C145" s="4" t="s">
        <v>320</v>
      </c>
      <c r="D145" s="15" t="s">
        <v>180</v>
      </c>
      <c r="E145" s="356">
        <v>54000</v>
      </c>
      <c r="F145" s="13"/>
    </row>
    <row r="146" customHeight="1" spans="1:6">
      <c r="A146" s="27">
        <v>14</v>
      </c>
      <c r="B146" s="11" t="s">
        <v>321</v>
      </c>
      <c r="C146" s="4" t="s">
        <v>939</v>
      </c>
      <c r="D146" s="15" t="s">
        <v>75</v>
      </c>
      <c r="E146" s="356">
        <v>54000</v>
      </c>
      <c r="F146" s="13"/>
    </row>
    <row r="147" customHeight="1" spans="1:6">
      <c r="A147" s="27">
        <v>15</v>
      </c>
      <c r="B147" s="11" t="s">
        <v>322</v>
      </c>
      <c r="C147" s="4" t="s">
        <v>939</v>
      </c>
      <c r="D147" s="15" t="s">
        <v>78</v>
      </c>
      <c r="E147" s="356">
        <v>54000</v>
      </c>
      <c r="F147" s="13"/>
    </row>
    <row r="148" customHeight="1" spans="1:6">
      <c r="A148" s="27">
        <v>16</v>
      </c>
      <c r="B148" s="11" t="s">
        <v>324</v>
      </c>
      <c r="C148" s="4" t="s">
        <v>939</v>
      </c>
      <c r="D148" s="15" t="s">
        <v>78</v>
      </c>
      <c r="E148" s="356">
        <v>54000</v>
      </c>
      <c r="F148" s="13"/>
    </row>
    <row r="149" customHeight="1" spans="1:6">
      <c r="A149" s="27">
        <v>17</v>
      </c>
      <c r="B149" s="11" t="s">
        <v>325</v>
      </c>
      <c r="C149" s="12" t="s">
        <v>326</v>
      </c>
      <c r="D149" s="15" t="s">
        <v>81</v>
      </c>
      <c r="E149" s="356">
        <v>54000</v>
      </c>
      <c r="F149" s="13"/>
    </row>
    <row r="150" customHeight="1" spans="1:6">
      <c r="A150" s="27">
        <v>18</v>
      </c>
      <c r="B150" s="11" t="s">
        <v>1533</v>
      </c>
      <c r="C150" s="12" t="s">
        <v>328</v>
      </c>
      <c r="D150" s="10" t="s">
        <v>225</v>
      </c>
      <c r="E150" s="356">
        <v>54000</v>
      </c>
      <c r="F150" s="13"/>
    </row>
    <row r="151" customHeight="1" spans="1:6">
      <c r="A151" s="27">
        <v>19</v>
      </c>
      <c r="B151" s="11" t="s">
        <v>329</v>
      </c>
      <c r="C151" s="12" t="s">
        <v>661</v>
      </c>
      <c r="D151" s="15" t="s">
        <v>75</v>
      </c>
      <c r="E151" s="356">
        <v>54000</v>
      </c>
      <c r="F151" s="13"/>
    </row>
    <row r="152" customHeight="1" spans="1:6">
      <c r="A152" s="27">
        <v>20</v>
      </c>
      <c r="B152" s="11" t="s">
        <v>331</v>
      </c>
      <c r="C152" s="12" t="s">
        <v>662</v>
      </c>
      <c r="D152" s="15" t="s">
        <v>99</v>
      </c>
      <c r="E152" s="356">
        <v>54000</v>
      </c>
      <c r="F152" s="13"/>
    </row>
    <row r="153" customHeight="1" spans="1:6">
      <c r="A153" s="27">
        <v>21</v>
      </c>
      <c r="B153" s="11" t="s">
        <v>333</v>
      </c>
      <c r="C153" s="12" t="s">
        <v>663</v>
      </c>
      <c r="D153" s="15" t="s">
        <v>75</v>
      </c>
      <c r="E153" s="356">
        <v>54000</v>
      </c>
      <c r="F153" s="13"/>
    </row>
    <row r="154" customHeight="1" spans="1:6">
      <c r="A154" s="27">
        <v>22</v>
      </c>
      <c r="B154" s="11" t="s">
        <v>334</v>
      </c>
      <c r="C154" s="12" t="s">
        <v>664</v>
      </c>
      <c r="D154" s="15" t="s">
        <v>99</v>
      </c>
      <c r="E154" s="356">
        <v>54000</v>
      </c>
      <c r="F154" s="13"/>
    </row>
    <row r="155" customHeight="1" spans="1:6">
      <c r="A155" s="27">
        <v>23</v>
      </c>
      <c r="B155" s="18" t="s">
        <v>336</v>
      </c>
      <c r="C155" s="12" t="s">
        <v>337</v>
      </c>
      <c r="D155" s="15" t="s">
        <v>225</v>
      </c>
      <c r="E155" s="356">
        <v>54000</v>
      </c>
      <c r="F155" s="13"/>
    </row>
    <row r="156" customHeight="1" spans="1:6">
      <c r="A156" s="27">
        <v>24</v>
      </c>
      <c r="B156" s="18" t="s">
        <v>343</v>
      </c>
      <c r="C156" s="12" t="s">
        <v>344</v>
      </c>
      <c r="D156" s="15" t="s">
        <v>275</v>
      </c>
      <c r="E156" s="356">
        <v>54000</v>
      </c>
      <c r="F156" s="13"/>
    </row>
    <row r="157" customHeight="1" spans="1:6">
      <c r="A157" s="27">
        <v>25</v>
      </c>
      <c r="B157" s="18" t="s">
        <v>345</v>
      </c>
      <c r="C157" s="12" t="s">
        <v>346</v>
      </c>
      <c r="D157" s="15" t="s">
        <v>275</v>
      </c>
      <c r="E157" s="356">
        <v>54000</v>
      </c>
      <c r="F157" s="13"/>
    </row>
    <row r="158" customHeight="1" spans="1:6">
      <c r="A158" s="27">
        <v>26</v>
      </c>
      <c r="B158" s="18" t="s">
        <v>347</v>
      </c>
      <c r="C158" s="12" t="s">
        <v>348</v>
      </c>
      <c r="D158" s="15" t="s">
        <v>275</v>
      </c>
      <c r="E158" s="356">
        <v>54000</v>
      </c>
      <c r="F158" s="13"/>
    </row>
    <row r="159" customHeight="1" spans="1:6">
      <c r="A159" s="27">
        <v>27</v>
      </c>
      <c r="B159" s="18" t="s">
        <v>349</v>
      </c>
      <c r="C159" s="12" t="s">
        <v>665</v>
      </c>
      <c r="D159" s="15" t="s">
        <v>111</v>
      </c>
      <c r="E159" s="356">
        <v>54000</v>
      </c>
      <c r="F159" s="13"/>
    </row>
    <row r="160" customHeight="1" spans="1:6">
      <c r="A160" s="27">
        <v>28</v>
      </c>
      <c r="B160" s="18" t="s">
        <v>350</v>
      </c>
      <c r="C160" s="12" t="s">
        <v>346</v>
      </c>
      <c r="D160" s="15" t="s">
        <v>275</v>
      </c>
      <c r="E160" s="356">
        <v>54000</v>
      </c>
      <c r="F160" s="13"/>
    </row>
    <row r="161" customHeight="1" spans="1:6">
      <c r="A161" s="27">
        <v>29</v>
      </c>
      <c r="B161" s="11" t="s">
        <v>359</v>
      </c>
      <c r="C161" s="12" t="s">
        <v>512</v>
      </c>
      <c r="D161" s="15" t="s">
        <v>377</v>
      </c>
      <c r="E161" s="366">
        <v>36000</v>
      </c>
      <c r="F161" s="13"/>
    </row>
    <row r="162" customHeight="1" spans="1:6">
      <c r="A162" s="27">
        <v>30</v>
      </c>
      <c r="B162" s="11" t="s">
        <v>362</v>
      </c>
      <c r="C162" s="12" t="s">
        <v>512</v>
      </c>
      <c r="D162" s="15" t="s">
        <v>377</v>
      </c>
      <c r="E162" s="366">
        <v>36000</v>
      </c>
      <c r="F162" s="13"/>
    </row>
    <row r="163" customHeight="1" spans="1:6">
      <c r="A163" s="27">
        <v>31</v>
      </c>
      <c r="B163" s="11" t="s">
        <v>666</v>
      </c>
      <c r="C163" s="12" t="s">
        <v>512</v>
      </c>
      <c r="D163" s="15" t="s">
        <v>377</v>
      </c>
      <c r="E163" s="366">
        <v>36000</v>
      </c>
      <c r="F163" s="13"/>
    </row>
    <row r="164" customHeight="1" spans="1:6">
      <c r="A164" s="27">
        <v>32</v>
      </c>
      <c r="B164" s="11" t="s">
        <v>363</v>
      </c>
      <c r="C164" s="12" t="s">
        <v>512</v>
      </c>
      <c r="D164" s="15" t="s">
        <v>377</v>
      </c>
      <c r="E164" s="366">
        <v>36000</v>
      </c>
      <c r="F164" s="13"/>
    </row>
    <row r="165" customHeight="1" spans="1:6">
      <c r="A165" s="27">
        <v>33</v>
      </c>
      <c r="B165" s="11" t="s">
        <v>364</v>
      </c>
      <c r="C165" s="12" t="s">
        <v>512</v>
      </c>
      <c r="D165" s="15" t="s">
        <v>377</v>
      </c>
      <c r="E165" s="366">
        <v>36000</v>
      </c>
      <c r="F165" s="13"/>
    </row>
    <row r="166" customHeight="1" spans="1:6">
      <c r="A166" s="27">
        <v>34</v>
      </c>
      <c r="B166" s="11" t="s">
        <v>365</v>
      </c>
      <c r="C166" s="12" t="s">
        <v>512</v>
      </c>
      <c r="D166" s="15" t="s">
        <v>606</v>
      </c>
      <c r="E166" s="366">
        <v>36000</v>
      </c>
      <c r="F166" s="13"/>
    </row>
    <row r="167" customHeight="1" spans="1:6">
      <c r="A167" s="27">
        <v>35</v>
      </c>
      <c r="B167" s="11" t="s">
        <v>367</v>
      </c>
      <c r="C167" s="12" t="s">
        <v>512</v>
      </c>
      <c r="D167" s="15" t="s">
        <v>606</v>
      </c>
      <c r="E167" s="366">
        <v>36000</v>
      </c>
      <c r="F167" s="13"/>
    </row>
    <row r="168" customHeight="1" spans="1:6">
      <c r="A168" s="27">
        <v>36</v>
      </c>
      <c r="B168" s="14" t="s">
        <v>368</v>
      </c>
      <c r="C168" s="12" t="s">
        <v>512</v>
      </c>
      <c r="D168" s="15" t="s">
        <v>606</v>
      </c>
      <c r="E168" s="366">
        <v>36000</v>
      </c>
      <c r="F168" s="13"/>
    </row>
    <row r="169" customHeight="1" spans="1:6">
      <c r="A169" s="27">
        <v>37</v>
      </c>
      <c r="B169" s="11" t="s">
        <v>369</v>
      </c>
      <c r="C169" s="12" t="s">
        <v>512</v>
      </c>
      <c r="D169" s="15" t="s">
        <v>606</v>
      </c>
      <c r="E169" s="366">
        <v>36000</v>
      </c>
      <c r="F169" s="13"/>
    </row>
    <row r="170" customHeight="1" spans="1:6">
      <c r="A170" s="27">
        <v>38</v>
      </c>
      <c r="B170" s="18" t="s">
        <v>370</v>
      </c>
      <c r="C170" s="12" t="s">
        <v>512</v>
      </c>
      <c r="D170" s="15" t="s">
        <v>606</v>
      </c>
      <c r="E170" s="366">
        <v>36000</v>
      </c>
      <c r="F170" s="13"/>
    </row>
    <row r="171" customHeight="1" spans="1:6">
      <c r="A171" s="27">
        <v>39</v>
      </c>
      <c r="B171" s="18" t="s">
        <v>357</v>
      </c>
      <c r="C171" s="12" t="s">
        <v>512</v>
      </c>
      <c r="D171" s="15" t="s">
        <v>606</v>
      </c>
      <c r="E171" s="366">
        <v>36000</v>
      </c>
      <c r="F171" s="13"/>
    </row>
    <row r="172" customHeight="1" spans="1:6">
      <c r="A172" s="27">
        <v>40</v>
      </c>
      <c r="B172" s="11" t="s">
        <v>371</v>
      </c>
      <c r="C172" s="12" t="s">
        <v>360</v>
      </c>
      <c r="D172" s="15" t="s">
        <v>607</v>
      </c>
      <c r="E172" s="366">
        <v>36000</v>
      </c>
      <c r="F172" s="13"/>
    </row>
    <row r="173" customHeight="1" spans="1:6">
      <c r="A173" s="27">
        <v>41</v>
      </c>
      <c r="B173" s="11" t="s">
        <v>373</v>
      </c>
      <c r="C173" s="12" t="s">
        <v>360</v>
      </c>
      <c r="D173" s="15" t="s">
        <v>607</v>
      </c>
      <c r="E173" s="366">
        <v>36000</v>
      </c>
      <c r="F173" s="13"/>
    </row>
    <row r="174" customHeight="1" spans="1:6">
      <c r="A174" s="27">
        <v>42</v>
      </c>
      <c r="B174" s="18" t="s">
        <v>374</v>
      </c>
      <c r="C174" s="12" t="s">
        <v>360</v>
      </c>
      <c r="D174" s="15" t="s">
        <v>607</v>
      </c>
      <c r="E174" s="366">
        <v>36000</v>
      </c>
      <c r="F174" s="13"/>
    </row>
    <row r="175" customHeight="1" spans="1:6">
      <c r="A175" s="27">
        <v>43</v>
      </c>
      <c r="B175" s="11" t="s">
        <v>376</v>
      </c>
      <c r="C175" s="12" t="s">
        <v>387</v>
      </c>
      <c r="D175" s="15" t="s">
        <v>403</v>
      </c>
      <c r="E175" s="366">
        <v>36000</v>
      </c>
      <c r="F175" s="13"/>
    </row>
    <row r="176" customHeight="1" spans="1:6">
      <c r="A176" s="27">
        <v>44</v>
      </c>
      <c r="B176" s="11" t="s">
        <v>378</v>
      </c>
      <c r="C176" s="12" t="s">
        <v>514</v>
      </c>
      <c r="D176" s="15" t="s">
        <v>1534</v>
      </c>
      <c r="E176" s="366">
        <v>36000</v>
      </c>
      <c r="F176" s="13"/>
    </row>
    <row r="177" customHeight="1" spans="1:6">
      <c r="A177" s="27">
        <v>45</v>
      </c>
      <c r="B177" s="11" t="s">
        <v>379</v>
      </c>
      <c r="C177" s="12" t="s">
        <v>514</v>
      </c>
      <c r="D177" s="15" t="s">
        <v>1534</v>
      </c>
      <c r="E177" s="366">
        <v>36000</v>
      </c>
      <c r="F177" s="13"/>
    </row>
    <row r="178" customHeight="1" spans="1:6">
      <c r="A178" s="27">
        <v>46</v>
      </c>
      <c r="B178" s="11" t="s">
        <v>380</v>
      </c>
      <c r="C178" s="12" t="s">
        <v>514</v>
      </c>
      <c r="D178" s="15" t="s">
        <v>1534</v>
      </c>
      <c r="E178" s="366">
        <v>36000</v>
      </c>
      <c r="F178" s="13"/>
    </row>
    <row r="179" customHeight="1" spans="1:6">
      <c r="A179" s="27">
        <v>47</v>
      </c>
      <c r="B179" s="11" t="s">
        <v>381</v>
      </c>
      <c r="C179" s="12" t="s">
        <v>514</v>
      </c>
      <c r="D179" s="15" t="s">
        <v>1534</v>
      </c>
      <c r="E179" s="366">
        <v>36000</v>
      </c>
      <c r="F179" s="13"/>
    </row>
    <row r="180" customHeight="1" spans="1:6">
      <c r="A180" s="27">
        <v>48</v>
      </c>
      <c r="B180" s="11" t="s">
        <v>382</v>
      </c>
      <c r="C180" s="12" t="s">
        <v>514</v>
      </c>
      <c r="D180" s="15" t="s">
        <v>1534</v>
      </c>
      <c r="E180" s="366">
        <v>36000</v>
      </c>
      <c r="F180" s="13"/>
    </row>
    <row r="181" customHeight="1" spans="1:6">
      <c r="A181" s="27">
        <v>49</v>
      </c>
      <c r="B181" s="18" t="s">
        <v>383</v>
      </c>
      <c r="C181" s="12" t="s">
        <v>514</v>
      </c>
      <c r="D181" s="15" t="s">
        <v>1534</v>
      </c>
      <c r="E181" s="366">
        <v>36000</v>
      </c>
      <c r="F181" s="13"/>
    </row>
    <row r="182" customHeight="1" spans="1:6">
      <c r="A182" s="27">
        <v>50</v>
      </c>
      <c r="B182" s="18" t="s">
        <v>385</v>
      </c>
      <c r="C182" s="12" t="s">
        <v>514</v>
      </c>
      <c r="D182" s="15" t="s">
        <v>1534</v>
      </c>
      <c r="E182" s="366">
        <v>36000</v>
      </c>
      <c r="F182" s="13"/>
    </row>
    <row r="183" customHeight="1" spans="1:6">
      <c r="A183" s="27">
        <v>51</v>
      </c>
      <c r="B183" s="11" t="s">
        <v>668</v>
      </c>
      <c r="C183" s="12" t="s">
        <v>387</v>
      </c>
      <c r="D183" s="15" t="s">
        <v>1534</v>
      </c>
      <c r="E183" s="366">
        <v>36000</v>
      </c>
      <c r="F183" s="13"/>
    </row>
    <row r="184" customHeight="1" spans="1:6">
      <c r="A184" s="27">
        <v>52</v>
      </c>
      <c r="B184" s="11" t="s">
        <v>386</v>
      </c>
      <c r="C184" s="12" t="s">
        <v>387</v>
      </c>
      <c r="D184" s="15" t="s">
        <v>1534</v>
      </c>
      <c r="E184" s="366">
        <v>36000</v>
      </c>
      <c r="F184" s="13"/>
    </row>
    <row r="185" customHeight="1" spans="1:6">
      <c r="A185" s="27">
        <v>53</v>
      </c>
      <c r="B185" s="18" t="s">
        <v>358</v>
      </c>
      <c r="C185" s="12" t="s">
        <v>390</v>
      </c>
      <c r="D185" s="15" t="s">
        <v>393</v>
      </c>
      <c r="E185" s="366">
        <v>36000</v>
      </c>
      <c r="F185" s="13"/>
    </row>
    <row r="186" customHeight="1" spans="1:6">
      <c r="A186" s="27">
        <v>54</v>
      </c>
      <c r="B186" s="18" t="s">
        <v>392</v>
      </c>
      <c r="C186" s="12" t="s">
        <v>514</v>
      </c>
      <c r="D186" s="15" t="s">
        <v>609</v>
      </c>
      <c r="E186" s="366">
        <v>36000</v>
      </c>
      <c r="F186" s="13"/>
    </row>
    <row r="187" customHeight="1" spans="1:6">
      <c r="A187" s="27">
        <v>55</v>
      </c>
      <c r="B187" s="18" t="s">
        <v>396</v>
      </c>
      <c r="C187" s="12" t="s">
        <v>397</v>
      </c>
      <c r="D187" s="15" t="s">
        <v>1535</v>
      </c>
      <c r="E187" s="366">
        <v>36000</v>
      </c>
      <c r="F187" s="13"/>
    </row>
    <row r="188" customHeight="1" spans="1:6">
      <c r="A188" s="27">
        <v>56</v>
      </c>
      <c r="B188" s="18" t="s">
        <v>399</v>
      </c>
      <c r="C188" s="12" t="s">
        <v>397</v>
      </c>
      <c r="D188" s="15" t="s">
        <v>1535</v>
      </c>
      <c r="E188" s="366">
        <v>36000</v>
      </c>
      <c r="F188" s="13"/>
    </row>
    <row r="189" customHeight="1" spans="1:6">
      <c r="A189" s="27">
        <v>57</v>
      </c>
      <c r="B189" s="18" t="s">
        <v>400</v>
      </c>
      <c r="C189" s="12" t="s">
        <v>397</v>
      </c>
      <c r="D189" s="15" t="s">
        <v>1535</v>
      </c>
      <c r="E189" s="366">
        <v>36000</v>
      </c>
      <c r="F189" s="13"/>
    </row>
    <row r="190" customHeight="1" spans="1:6">
      <c r="A190" s="27">
        <v>58</v>
      </c>
      <c r="B190" s="18" t="s">
        <v>401</v>
      </c>
      <c r="C190" s="12" t="s">
        <v>402</v>
      </c>
      <c r="D190" s="15" t="s">
        <v>395</v>
      </c>
      <c r="E190" s="366">
        <v>36000</v>
      </c>
      <c r="F190" s="13"/>
    </row>
    <row r="191" customHeight="1" spans="1:6">
      <c r="A191" s="27">
        <v>59</v>
      </c>
      <c r="B191" s="18" t="s">
        <v>404</v>
      </c>
      <c r="C191" s="12" t="s">
        <v>402</v>
      </c>
      <c r="D191" s="15" t="s">
        <v>395</v>
      </c>
      <c r="E191" s="366">
        <v>36000</v>
      </c>
      <c r="F191" s="13"/>
    </row>
    <row r="192" ht="24.75" customHeight="1" spans="1:6">
      <c r="A192" s="27"/>
      <c r="B192" s="8" t="s">
        <v>120</v>
      </c>
      <c r="C192" s="28" t="s">
        <v>941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406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1:6">
      <c r="B195" s="33"/>
      <c r="D195" s="34"/>
      <c r="E195" s="34"/>
      <c r="F195" s="35"/>
    </row>
    <row r="196" ht="36.75" customHeight="1" spans="1:6">
      <c r="B196" s="33"/>
      <c r="C196" s="34"/>
      <c r="D196" s="34"/>
      <c r="E196" s="328"/>
    </row>
    <row r="197" customHeight="1" spans="1:6">
      <c r="E197" s="328"/>
    </row>
    <row r="198" customHeight="1" spans="1:6">
      <c r="E198" s="328"/>
    </row>
    <row r="199" customHeight="1" spans="1:6">
      <c r="E199" s="328"/>
    </row>
    <row r="200" customHeight="1" spans="1:6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7">
      <c r="A1" s="76" t="s">
        <v>0</v>
      </c>
      <c r="B1" s="76"/>
      <c r="C1" s="76"/>
      <c r="D1" s="76"/>
    </row>
    <row r="2" ht="33.75" customHeight="1" spans="1:7">
      <c r="A2" s="350" t="s">
        <v>1536</v>
      </c>
      <c r="B2" s="350"/>
      <c r="C2" s="350"/>
      <c r="D2" s="350"/>
      <c r="E2" s="350"/>
      <c r="F2" s="350"/>
    </row>
    <row r="3" ht="9.75" customHeight="1"/>
    <row r="4" ht="49.5" customHeight="1" spans="1:7">
      <c r="A4" s="4"/>
      <c r="B4" s="5" t="s">
        <v>2</v>
      </c>
      <c r="C4" s="6" t="s">
        <v>3</v>
      </c>
      <c r="D4" s="7" t="s">
        <v>4</v>
      </c>
      <c r="E4" s="301" t="s">
        <v>884</v>
      </c>
      <c r="F4" s="304" t="s">
        <v>1069</v>
      </c>
    </row>
    <row r="5" ht="17.25" customHeight="1" spans="1:7">
      <c r="C5" s="8"/>
      <c r="D5" s="8"/>
      <c r="E5" s="305" t="s">
        <v>21</v>
      </c>
      <c r="F5" s="230" t="s">
        <v>21</v>
      </c>
    </row>
    <row r="6" customHeight="1" spans="1:7">
      <c r="A6" s="9" t="s">
        <v>22</v>
      </c>
      <c r="B6" s="8" t="s">
        <v>23</v>
      </c>
      <c r="C6" s="8"/>
      <c r="D6" s="8"/>
      <c r="E6" s="305"/>
      <c r="F6" s="230"/>
    </row>
    <row r="7" customHeight="1" spans="1:7">
      <c r="A7" s="10">
        <v>1</v>
      </c>
      <c r="B7" s="11" t="s">
        <v>24</v>
      </c>
      <c r="C7" s="12" t="s">
        <v>25</v>
      </c>
      <c r="D7" s="12" t="s">
        <v>26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27</v>
      </c>
      <c r="C8" s="12" t="s">
        <v>28</v>
      </c>
      <c r="D8" s="10" t="s">
        <v>29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30</v>
      </c>
      <c r="C9" s="4" t="s">
        <v>31</v>
      </c>
      <c r="D9" s="15" t="s">
        <v>210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32</v>
      </c>
      <c r="C10" s="17" t="s">
        <v>33</v>
      </c>
      <c r="D10" s="16" t="s">
        <v>210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300</v>
      </c>
      <c r="C11" s="4" t="s">
        <v>907</v>
      </c>
      <c r="D11" s="16" t="s">
        <v>210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908</v>
      </c>
      <c r="C12" s="10" t="s">
        <v>909</v>
      </c>
      <c r="D12" s="15" t="s">
        <v>210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34</v>
      </c>
      <c r="C13" s="12" t="s">
        <v>910</v>
      </c>
      <c r="D13" s="15" t="s">
        <v>39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37</v>
      </c>
      <c r="C14" s="4" t="s">
        <v>38</v>
      </c>
      <c r="D14" s="10" t="s">
        <v>42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40</v>
      </c>
      <c r="C15" s="4" t="s">
        <v>643</v>
      </c>
      <c r="D15" s="15" t="s">
        <v>47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43</v>
      </c>
      <c r="C16" s="17" t="s">
        <v>52</v>
      </c>
      <c r="D16" s="15" t="s">
        <v>214</v>
      </c>
      <c r="E16" s="219">
        <v>455272.06375</v>
      </c>
      <c r="F16" s="231">
        <f t="shared" si="0"/>
        <v>227636.031875</v>
      </c>
      <c r="G16" s="13"/>
    </row>
    <row r="17" customHeight="1" spans="1:7">
      <c r="A17" s="10">
        <v>11</v>
      </c>
      <c r="B17" s="11" t="s">
        <v>48</v>
      </c>
      <c r="C17" s="4" t="s">
        <v>911</v>
      </c>
      <c r="D17" s="10" t="s">
        <v>56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51</v>
      </c>
      <c r="C18" s="12" t="s">
        <v>61</v>
      </c>
      <c r="D18" s="15" t="s">
        <v>218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54</v>
      </c>
      <c r="C19" s="4" t="s">
        <v>55</v>
      </c>
      <c r="D19" s="15" t="s">
        <v>602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65</v>
      </c>
      <c r="C20" s="12" t="s">
        <v>178</v>
      </c>
      <c r="D20" s="15" t="s">
        <v>131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68</v>
      </c>
      <c r="C21" s="17" t="s">
        <v>69</v>
      </c>
      <c r="D21" s="10" t="s">
        <v>180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73</v>
      </c>
      <c r="C22" s="17" t="s">
        <v>74</v>
      </c>
      <c r="D22" s="10" t="s">
        <v>81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478</v>
      </c>
      <c r="C23" s="4" t="s">
        <v>94</v>
      </c>
      <c r="D23" s="10" t="s">
        <v>99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79</v>
      </c>
      <c r="C24" s="12" t="s">
        <v>94</v>
      </c>
      <c r="D24" s="15" t="s">
        <v>99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84</v>
      </c>
      <c r="C25" s="12" t="s">
        <v>85</v>
      </c>
      <c r="D25" s="15" t="s">
        <v>225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87</v>
      </c>
      <c r="C26" s="4" t="s">
        <v>88</v>
      </c>
      <c r="D26" s="10" t="s">
        <v>225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91</v>
      </c>
      <c r="C27" s="17" t="s">
        <v>646</v>
      </c>
      <c r="D27" s="15" t="s">
        <v>99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95</v>
      </c>
      <c r="C28" s="4" t="s">
        <v>647</v>
      </c>
      <c r="D28" s="10" t="s">
        <v>111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1525</v>
      </c>
      <c r="C29" s="12" t="s">
        <v>104</v>
      </c>
      <c r="D29" s="15" t="s">
        <v>111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103</v>
      </c>
      <c r="C30" s="12" t="s">
        <v>104</v>
      </c>
      <c r="D30" s="15" t="s">
        <v>275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120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08"/>
      <c r="F32" s="232"/>
      <c r="G32" s="13"/>
    </row>
    <row r="33" ht="18.75" customHeight="1" spans="1:7">
      <c r="A33" s="10"/>
      <c r="B33" s="20" t="s">
        <v>121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122</v>
      </c>
      <c r="C34" s="4" t="s">
        <v>123</v>
      </c>
      <c r="D34" s="10" t="s">
        <v>124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127</v>
      </c>
      <c r="C35" s="4" t="s">
        <v>1137</v>
      </c>
      <c r="D35" s="10" t="s">
        <v>275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129</v>
      </c>
      <c r="C36" s="12" t="s">
        <v>1134</v>
      </c>
      <c r="D36" s="15" t="s">
        <v>81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08"/>
      <c r="F38" s="231"/>
      <c r="G38" s="13"/>
    </row>
    <row r="39" customHeight="1" spans="1:7">
      <c r="A39" s="10"/>
      <c r="B39" s="23" t="s">
        <v>137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912</v>
      </c>
      <c r="C40" s="4" t="s">
        <v>913</v>
      </c>
      <c r="D40" s="10" t="s">
        <v>124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914</v>
      </c>
      <c r="C41" s="4" t="s">
        <v>44</v>
      </c>
      <c r="D41" s="10" t="s">
        <v>39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138</v>
      </c>
      <c r="C42" s="4" t="s">
        <v>648</v>
      </c>
      <c r="D42" s="10" t="s">
        <v>143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141</v>
      </c>
      <c r="C43" s="4" t="s">
        <v>145</v>
      </c>
      <c r="D43" s="10" t="s">
        <v>39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144</v>
      </c>
      <c r="C44" s="4" t="s">
        <v>145</v>
      </c>
      <c r="D44" s="10" t="s">
        <v>50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146</v>
      </c>
      <c r="C45" s="4" t="s">
        <v>145</v>
      </c>
      <c r="D45" s="10" t="s">
        <v>42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147</v>
      </c>
      <c r="C46" s="4" t="s">
        <v>52</v>
      </c>
      <c r="D46" s="16" t="s">
        <v>47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45</v>
      </c>
      <c r="C47" s="4" t="s">
        <v>46</v>
      </c>
      <c r="D47" s="10" t="s">
        <v>53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151</v>
      </c>
      <c r="C48" s="4" t="s">
        <v>152</v>
      </c>
      <c r="D48" s="10" t="s">
        <v>81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155</v>
      </c>
      <c r="C49" s="4" t="s">
        <v>152</v>
      </c>
      <c r="D49" s="10" t="s">
        <v>225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915</v>
      </c>
      <c r="C50" s="4" t="s">
        <v>152</v>
      </c>
      <c r="D50" s="10" t="s">
        <v>225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157</v>
      </c>
      <c r="C51" s="4" t="s">
        <v>152</v>
      </c>
      <c r="D51" s="10" t="s">
        <v>225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120</v>
      </c>
      <c r="C52" s="21">
        <v>12</v>
      </c>
      <c r="D52" s="21"/>
      <c r="E52" s="93">
        <v>6101043.81325</v>
      </c>
      <c r="F52" s="310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1"/>
      <c r="F53" s="233"/>
      <c r="G53" s="13"/>
    </row>
    <row r="54" customHeight="1" spans="1:7">
      <c r="A54" s="10"/>
      <c r="B54" s="20" t="s">
        <v>159</v>
      </c>
      <c r="C54" s="21"/>
      <c r="D54" s="21"/>
      <c r="E54" s="311"/>
      <c r="F54" s="233"/>
      <c r="G54" s="13"/>
    </row>
    <row r="55" customHeight="1" spans="1:7">
      <c r="A55" s="10">
        <v>1</v>
      </c>
      <c r="B55" s="11" t="s">
        <v>916</v>
      </c>
      <c r="C55" s="12" t="s">
        <v>161</v>
      </c>
      <c r="D55" s="15" t="s">
        <v>124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162</v>
      </c>
      <c r="C56" s="12" t="s">
        <v>485</v>
      </c>
      <c r="D56" s="15" t="s">
        <v>925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120</v>
      </c>
      <c r="C57" s="21">
        <v>2</v>
      </c>
      <c r="D57" s="21"/>
      <c r="E57" s="93">
        <v>1486346.1135</v>
      </c>
      <c r="F57" s="310">
        <f>SUM(F55:F56)</f>
        <v>743173.05675</v>
      </c>
      <c r="G57" s="13"/>
    </row>
    <row r="58" customHeight="1" spans="1:7">
      <c r="A58" s="10"/>
      <c r="B58" s="20"/>
      <c r="C58" s="21"/>
      <c r="D58" s="21"/>
      <c r="E58" s="311"/>
      <c r="F58" s="233"/>
      <c r="G58" s="13"/>
    </row>
    <row r="59" customHeight="1" spans="1:7">
      <c r="A59" s="10"/>
      <c r="B59" s="20" t="s">
        <v>164</v>
      </c>
      <c r="C59" s="21"/>
      <c r="D59" s="21"/>
      <c r="E59" s="311"/>
      <c r="F59" s="233"/>
      <c r="G59" s="13"/>
    </row>
    <row r="60" customHeight="1" spans="1:7">
      <c r="A60" s="10">
        <v>1</v>
      </c>
      <c r="B60" s="11" t="s">
        <v>917</v>
      </c>
      <c r="C60" s="17" t="s">
        <v>918</v>
      </c>
      <c r="D60" s="10" t="s">
        <v>124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919</v>
      </c>
      <c r="C61" s="17" t="s">
        <v>920</v>
      </c>
      <c r="D61" s="15" t="s">
        <v>1532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167</v>
      </c>
      <c r="C62" s="4" t="s">
        <v>52</v>
      </c>
      <c r="D62" s="10" t="s">
        <v>53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921</v>
      </c>
      <c r="C63" s="17" t="s">
        <v>217</v>
      </c>
      <c r="D63" s="15" t="s">
        <v>218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922</v>
      </c>
      <c r="C64" s="17" t="s">
        <v>52</v>
      </c>
      <c r="D64" s="15" t="s">
        <v>47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171</v>
      </c>
      <c r="C65" s="4" t="s">
        <v>152</v>
      </c>
      <c r="D65" s="10" t="s">
        <v>180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172</v>
      </c>
      <c r="C66" s="17" t="s">
        <v>72</v>
      </c>
      <c r="D66" s="15" t="s">
        <v>180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174</v>
      </c>
      <c r="C67" s="17" t="s">
        <v>72</v>
      </c>
      <c r="D67" s="15" t="s">
        <v>180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175</v>
      </c>
      <c r="C68" s="4" t="s">
        <v>649</v>
      </c>
      <c r="D68" s="10" t="s">
        <v>131</v>
      </c>
      <c r="E68" s="219">
        <v>322454.074</v>
      </c>
      <c r="F68" s="231">
        <f t="shared" si="3"/>
        <v>161227.037</v>
      </c>
      <c r="G68" s="13"/>
    </row>
    <row r="69" ht="21.6" customHeight="1" spans="1:7">
      <c r="A69" s="10">
        <v>11</v>
      </c>
      <c r="B69" s="11" t="s">
        <v>179</v>
      </c>
      <c r="C69" s="4" t="s">
        <v>152</v>
      </c>
      <c r="D69" s="10" t="s">
        <v>81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82</v>
      </c>
      <c r="C70" s="17" t="s">
        <v>69</v>
      </c>
      <c r="D70" s="10" t="s">
        <v>99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120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1"/>
      <c r="F72" s="233"/>
      <c r="G72" s="13"/>
    </row>
    <row r="73" customHeight="1" spans="1:7">
      <c r="A73" s="10"/>
      <c r="B73" s="20" t="s">
        <v>183</v>
      </c>
      <c r="C73" s="21"/>
      <c r="D73" s="21"/>
      <c r="E73" s="311"/>
      <c r="F73" s="233"/>
      <c r="G73" s="13"/>
    </row>
    <row r="74" customHeight="1" spans="1:7">
      <c r="A74" s="10">
        <v>1</v>
      </c>
      <c r="B74" s="11" t="s">
        <v>184</v>
      </c>
      <c r="C74" s="4" t="s">
        <v>185</v>
      </c>
      <c r="D74" s="10" t="s">
        <v>124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923</v>
      </c>
      <c r="C75" s="4" t="s">
        <v>924</v>
      </c>
      <c r="D75" s="15" t="s">
        <v>1532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186</v>
      </c>
      <c r="C76" s="12" t="s">
        <v>926</v>
      </c>
      <c r="D76" s="10" t="s">
        <v>925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190</v>
      </c>
      <c r="C77" s="4" t="s">
        <v>191</v>
      </c>
      <c r="D77" s="15" t="s">
        <v>53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197</v>
      </c>
      <c r="C78" s="4" t="s">
        <v>182</v>
      </c>
      <c r="D78" s="10" t="s">
        <v>75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201</v>
      </c>
      <c r="C79" s="4" t="s">
        <v>182</v>
      </c>
      <c r="D79" s="10" t="s">
        <v>225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203</v>
      </c>
      <c r="C80" s="4" t="s">
        <v>204</v>
      </c>
      <c r="D80" s="10" t="s">
        <v>275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120</v>
      </c>
      <c r="C81" s="21">
        <v>7</v>
      </c>
      <c r="D81" s="21"/>
      <c r="E81" s="93">
        <v>3129988.9545</v>
      </c>
      <c r="F81" s="310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1"/>
      <c r="F82" s="231"/>
      <c r="G82" s="13"/>
    </row>
    <row r="83" customHeight="1" spans="1:7">
      <c r="A83" s="10"/>
      <c r="B83" s="20" t="s">
        <v>205</v>
      </c>
      <c r="C83" s="25"/>
      <c r="D83" s="21"/>
      <c r="E83" s="311"/>
      <c r="F83" s="231"/>
      <c r="G83" s="13"/>
    </row>
    <row r="84" customHeight="1" spans="1:7">
      <c r="A84" s="10">
        <v>1</v>
      </c>
      <c r="B84" s="11" t="s">
        <v>208</v>
      </c>
      <c r="C84" s="4" t="s">
        <v>145</v>
      </c>
      <c r="D84" s="10" t="s">
        <v>39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206</v>
      </c>
      <c r="C85" s="4" t="s">
        <v>145</v>
      </c>
      <c r="D85" s="10" t="s">
        <v>39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165</v>
      </c>
      <c r="C86" s="4" t="s">
        <v>145</v>
      </c>
      <c r="D86" s="10" t="s">
        <v>42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479</v>
      </c>
      <c r="C87" s="4" t="s">
        <v>145</v>
      </c>
      <c r="D87" s="10" t="s">
        <v>42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211</v>
      </c>
      <c r="C88" s="4" t="s">
        <v>927</v>
      </c>
      <c r="D88" s="15" t="s">
        <v>601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212</v>
      </c>
      <c r="C89" s="12" t="s">
        <v>217</v>
      </c>
      <c r="D89" s="15" t="s">
        <v>218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213</v>
      </c>
      <c r="C90" s="12" t="s">
        <v>52</v>
      </c>
      <c r="D90" s="15" t="s">
        <v>600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215</v>
      </c>
      <c r="C91" s="17" t="s">
        <v>72</v>
      </c>
      <c r="D91" s="15" t="s">
        <v>180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216</v>
      </c>
      <c r="C92" s="17" t="s">
        <v>72</v>
      </c>
      <c r="D92" s="15" t="s">
        <v>180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220</v>
      </c>
      <c r="C93" s="4" t="s">
        <v>221</v>
      </c>
      <c r="D93" s="10" t="s">
        <v>81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224</v>
      </c>
      <c r="C94" s="17" t="s">
        <v>505</v>
      </c>
      <c r="D94" s="15" t="s">
        <v>111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120</v>
      </c>
      <c r="C95" s="21">
        <v>11</v>
      </c>
      <c r="D95" s="21"/>
      <c r="E95" s="93">
        <v>4407943.38225</v>
      </c>
      <c r="F95" s="310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1"/>
      <c r="F96" s="233"/>
      <c r="G96" s="13"/>
    </row>
    <row r="97" customHeight="1" spans="1:7">
      <c r="A97" s="10"/>
      <c r="B97" s="20" t="s">
        <v>226</v>
      </c>
      <c r="C97" s="21"/>
      <c r="D97" s="21"/>
      <c r="E97" s="311"/>
      <c r="F97" s="233"/>
      <c r="G97" s="13"/>
    </row>
    <row r="98" customHeight="1" spans="1:7">
      <c r="A98" s="10">
        <v>1</v>
      </c>
      <c r="B98" s="14" t="s">
        <v>227</v>
      </c>
      <c r="C98" s="4" t="s">
        <v>650</v>
      </c>
      <c r="D98" s="16" t="s">
        <v>210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229</v>
      </c>
      <c r="C99" s="4" t="s">
        <v>230</v>
      </c>
      <c r="D99" s="15" t="s">
        <v>53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235</v>
      </c>
      <c r="C100" s="4" t="s">
        <v>651</v>
      </c>
      <c r="D100" s="15" t="s">
        <v>131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236</v>
      </c>
      <c r="C101" s="4" t="s">
        <v>200</v>
      </c>
      <c r="D101" s="15" t="s">
        <v>81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120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1"/>
      <c r="F103" s="233"/>
      <c r="G103" s="13"/>
    </row>
    <row r="104" customHeight="1" spans="1:7">
      <c r="A104" s="4"/>
      <c r="B104" s="20" t="s">
        <v>239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652</v>
      </c>
      <c r="C105" s="12" t="s">
        <v>241</v>
      </c>
      <c r="D105" s="15" t="s">
        <v>124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242</v>
      </c>
      <c r="C106" s="4" t="s">
        <v>243</v>
      </c>
      <c r="D106" s="16" t="s">
        <v>210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244</v>
      </c>
      <c r="C107" s="4" t="s">
        <v>653</v>
      </c>
      <c r="D107" s="10" t="s">
        <v>56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246</v>
      </c>
      <c r="C108" s="4" t="s">
        <v>653</v>
      </c>
      <c r="D108" s="10" t="s">
        <v>56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249</v>
      </c>
      <c r="C109" s="4" t="s">
        <v>250</v>
      </c>
      <c r="D109" s="15" t="s">
        <v>506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252</v>
      </c>
      <c r="C110" s="4" t="s">
        <v>250</v>
      </c>
      <c r="D110" s="10" t="s">
        <v>105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253</v>
      </c>
      <c r="C111" s="4" t="s">
        <v>250</v>
      </c>
      <c r="D111" s="15" t="s">
        <v>111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120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257</v>
      </c>
      <c r="C114" s="21"/>
      <c r="D114" s="21"/>
      <c r="E114" s="311"/>
      <c r="F114" s="233"/>
      <c r="G114" s="13"/>
    </row>
    <row r="115" ht="18.75" customHeight="1" spans="1:7">
      <c r="A115" s="10">
        <v>1</v>
      </c>
      <c r="B115" s="11" t="s">
        <v>259</v>
      </c>
      <c r="C115" s="4" t="s">
        <v>260</v>
      </c>
      <c r="D115" s="15" t="s">
        <v>131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193</v>
      </c>
      <c r="C116" s="12" t="s">
        <v>929</v>
      </c>
      <c r="D116" s="15" t="s">
        <v>70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120</v>
      </c>
      <c r="C117" s="21">
        <v>2</v>
      </c>
      <c r="D117" s="26"/>
      <c r="E117" s="93">
        <v>790446.845870968</v>
      </c>
      <c r="F117" s="310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278</v>
      </c>
      <c r="C119" s="21"/>
      <c r="D119" s="21"/>
      <c r="E119" s="311"/>
      <c r="F119" s="231"/>
      <c r="G119" s="13"/>
    </row>
    <row r="120" customHeight="1" spans="1:7">
      <c r="A120" s="4">
        <v>1</v>
      </c>
      <c r="B120" s="11" t="s">
        <v>279</v>
      </c>
      <c r="C120" s="12" t="s">
        <v>280</v>
      </c>
      <c r="D120" s="15" t="s">
        <v>124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281</v>
      </c>
      <c r="C121" s="12" t="s">
        <v>654</v>
      </c>
      <c r="D121" s="15" t="s">
        <v>143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283</v>
      </c>
      <c r="C122" s="12" t="s">
        <v>655</v>
      </c>
      <c r="D122" s="15" t="s">
        <v>39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930</v>
      </c>
      <c r="C123" s="12" t="s">
        <v>655</v>
      </c>
      <c r="D123" s="15" t="s">
        <v>42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286</v>
      </c>
      <c r="C124" s="12" t="s">
        <v>288</v>
      </c>
      <c r="D124" s="15" t="s">
        <v>214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287</v>
      </c>
      <c r="C125" s="12" t="s">
        <v>656</v>
      </c>
      <c r="D125" s="15" t="s">
        <v>53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289</v>
      </c>
      <c r="C126" s="12" t="s">
        <v>288</v>
      </c>
      <c r="D126" s="15" t="s">
        <v>53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292</v>
      </c>
      <c r="C127" s="12" t="s">
        <v>657</v>
      </c>
      <c r="D127" s="10" t="s">
        <v>99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294</v>
      </c>
      <c r="C128" s="12" t="s">
        <v>295</v>
      </c>
      <c r="D128" s="15" t="s">
        <v>275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296</v>
      </c>
      <c r="C129" s="12" t="s">
        <v>291</v>
      </c>
      <c r="D129" s="15" t="s">
        <v>275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120</v>
      </c>
      <c r="C130" s="26" t="s">
        <v>658</v>
      </c>
      <c r="D130" s="15"/>
      <c r="E130" s="15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1"/>
      <c r="F131" s="233"/>
      <c r="G131" s="13"/>
    </row>
    <row r="132" customHeight="1" spans="1:7">
      <c r="A132" s="4"/>
      <c r="B132" s="20" t="s">
        <v>299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931</v>
      </c>
      <c r="C133" s="12" t="s">
        <v>932</v>
      </c>
      <c r="D133" s="15" t="s">
        <v>124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933</v>
      </c>
      <c r="C134" s="12" t="s">
        <v>934</v>
      </c>
      <c r="D134" s="15" t="s">
        <v>36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302</v>
      </c>
      <c r="C135" s="4" t="s">
        <v>488</v>
      </c>
      <c r="D135" s="16" t="s">
        <v>210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305</v>
      </c>
      <c r="C136" s="12" t="s">
        <v>935</v>
      </c>
      <c r="D136" s="15" t="s">
        <v>47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307</v>
      </c>
      <c r="C137" s="4" t="s">
        <v>311</v>
      </c>
      <c r="D137" s="15" t="s">
        <v>47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309</v>
      </c>
      <c r="C138" s="4" t="s">
        <v>311</v>
      </c>
      <c r="D138" s="15" t="s">
        <v>47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231</v>
      </c>
      <c r="C139" s="12" t="s">
        <v>936</v>
      </c>
      <c r="D139" s="15" t="s">
        <v>70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312</v>
      </c>
      <c r="C140" s="12" t="s">
        <v>936</v>
      </c>
      <c r="D140" s="15" t="s">
        <v>70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313</v>
      </c>
      <c r="C141" s="4" t="s">
        <v>937</v>
      </c>
      <c r="D141" s="15" t="s">
        <v>70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315</v>
      </c>
      <c r="C142" s="12" t="s">
        <v>660</v>
      </c>
      <c r="D142" s="15" t="s">
        <v>131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317</v>
      </c>
      <c r="C143" s="12" t="s">
        <v>318</v>
      </c>
      <c r="D143" s="15" t="s">
        <v>180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62</v>
      </c>
      <c r="C144" s="12" t="s">
        <v>938</v>
      </c>
      <c r="D144" s="15" t="s">
        <v>70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319</v>
      </c>
      <c r="C145" s="4" t="s">
        <v>320</v>
      </c>
      <c r="D145" s="15" t="s">
        <v>180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321</v>
      </c>
      <c r="C146" s="4" t="s">
        <v>939</v>
      </c>
      <c r="D146" s="15" t="s">
        <v>75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322</v>
      </c>
      <c r="C147" s="4" t="s">
        <v>939</v>
      </c>
      <c r="D147" s="15" t="s">
        <v>78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324</v>
      </c>
      <c r="C148" s="4" t="s">
        <v>939</v>
      </c>
      <c r="D148" s="15" t="s">
        <v>78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325</v>
      </c>
      <c r="C149" s="12" t="s">
        <v>326</v>
      </c>
      <c r="D149" s="15" t="s">
        <v>81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1533</v>
      </c>
      <c r="C150" s="12" t="s">
        <v>328</v>
      </c>
      <c r="D150" s="10" t="s">
        <v>225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329</v>
      </c>
      <c r="C151" s="12" t="s">
        <v>661</v>
      </c>
      <c r="D151" s="15" t="s">
        <v>75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331</v>
      </c>
      <c r="C152" s="12" t="s">
        <v>662</v>
      </c>
      <c r="D152" s="15" t="s">
        <v>99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333</v>
      </c>
      <c r="C153" s="12" t="s">
        <v>663</v>
      </c>
      <c r="D153" s="15" t="s">
        <v>75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334</v>
      </c>
      <c r="C154" s="12" t="s">
        <v>664</v>
      </c>
      <c r="D154" s="15" t="s">
        <v>99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336</v>
      </c>
      <c r="C155" s="12" t="s">
        <v>337</v>
      </c>
      <c r="D155" s="15" t="s">
        <v>225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343</v>
      </c>
      <c r="C156" s="12" t="s">
        <v>344</v>
      </c>
      <c r="D156" s="15" t="s">
        <v>275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345</v>
      </c>
      <c r="C157" s="12" t="s">
        <v>346</v>
      </c>
      <c r="D157" s="15" t="s">
        <v>275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347</v>
      </c>
      <c r="C158" s="12" t="s">
        <v>348</v>
      </c>
      <c r="D158" s="15" t="s">
        <v>275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349</v>
      </c>
      <c r="C159" s="12" t="s">
        <v>665</v>
      </c>
      <c r="D159" s="15" t="s">
        <v>111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350</v>
      </c>
      <c r="C160" s="12" t="s">
        <v>346</v>
      </c>
      <c r="D160" s="15" t="s">
        <v>275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359</v>
      </c>
      <c r="C161" s="12" t="s">
        <v>512</v>
      </c>
      <c r="D161" s="15" t="s">
        <v>377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362</v>
      </c>
      <c r="C162" s="12" t="s">
        <v>512</v>
      </c>
      <c r="D162" s="15" t="s">
        <v>377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666</v>
      </c>
      <c r="C163" s="12" t="s">
        <v>512</v>
      </c>
      <c r="D163" s="15" t="s">
        <v>377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363</v>
      </c>
      <c r="C164" s="12" t="s">
        <v>512</v>
      </c>
      <c r="D164" s="15" t="s">
        <v>377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364</v>
      </c>
      <c r="C165" s="12" t="s">
        <v>512</v>
      </c>
      <c r="D165" s="15" t="s">
        <v>377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365</v>
      </c>
      <c r="C166" s="12" t="s">
        <v>512</v>
      </c>
      <c r="D166" s="15" t="s">
        <v>606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367</v>
      </c>
      <c r="C167" s="12" t="s">
        <v>512</v>
      </c>
      <c r="D167" s="15" t="s">
        <v>606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368</v>
      </c>
      <c r="C168" s="12" t="s">
        <v>512</v>
      </c>
      <c r="D168" s="15" t="s">
        <v>606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369</v>
      </c>
      <c r="C169" s="12" t="s">
        <v>512</v>
      </c>
      <c r="D169" s="15" t="s">
        <v>606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370</v>
      </c>
      <c r="C170" s="12" t="s">
        <v>512</v>
      </c>
      <c r="D170" s="15" t="s">
        <v>606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357</v>
      </c>
      <c r="C171" s="12" t="s">
        <v>512</v>
      </c>
      <c r="D171" s="15" t="s">
        <v>606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371</v>
      </c>
      <c r="C172" s="12" t="s">
        <v>360</v>
      </c>
      <c r="D172" s="15" t="s">
        <v>607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373</v>
      </c>
      <c r="C173" s="12" t="s">
        <v>360</v>
      </c>
      <c r="D173" s="15" t="s">
        <v>607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374</v>
      </c>
      <c r="C174" s="12" t="s">
        <v>360</v>
      </c>
      <c r="D174" s="15" t="s">
        <v>607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376</v>
      </c>
      <c r="C175" s="12" t="s">
        <v>387</v>
      </c>
      <c r="D175" s="15" t="s">
        <v>403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378</v>
      </c>
      <c r="C176" s="12" t="s">
        <v>514</v>
      </c>
      <c r="D176" s="15" t="s">
        <v>1534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379</v>
      </c>
      <c r="C177" s="12" t="s">
        <v>514</v>
      </c>
      <c r="D177" s="15" t="s">
        <v>1534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380</v>
      </c>
      <c r="C178" s="12" t="s">
        <v>514</v>
      </c>
      <c r="D178" s="15" t="s">
        <v>1534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381</v>
      </c>
      <c r="C179" s="12" t="s">
        <v>514</v>
      </c>
      <c r="D179" s="15" t="s">
        <v>1534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382</v>
      </c>
      <c r="C180" s="12" t="s">
        <v>514</v>
      </c>
      <c r="D180" s="15" t="s">
        <v>1534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383</v>
      </c>
      <c r="C181" s="12" t="s">
        <v>514</v>
      </c>
      <c r="D181" s="15" t="s">
        <v>1534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385</v>
      </c>
      <c r="C182" s="12" t="s">
        <v>514</v>
      </c>
      <c r="D182" s="15" t="s">
        <v>1534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668</v>
      </c>
      <c r="C183" s="12" t="s">
        <v>387</v>
      </c>
      <c r="D183" s="15" t="s">
        <v>1534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386</v>
      </c>
      <c r="C184" s="12" t="s">
        <v>387</v>
      </c>
      <c r="D184" s="15" t="s">
        <v>1534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358</v>
      </c>
      <c r="C185" s="12" t="s">
        <v>390</v>
      </c>
      <c r="D185" s="15" t="s">
        <v>393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392</v>
      </c>
      <c r="C186" s="12" t="s">
        <v>514</v>
      </c>
      <c r="D186" s="15" t="s">
        <v>609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396</v>
      </c>
      <c r="C187" s="12" t="s">
        <v>397</v>
      </c>
      <c r="D187" s="15" t="s">
        <v>1535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399</v>
      </c>
      <c r="C188" s="12" t="s">
        <v>397</v>
      </c>
      <c r="D188" s="15" t="s">
        <v>1535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400</v>
      </c>
      <c r="C189" s="12" t="s">
        <v>397</v>
      </c>
      <c r="D189" s="15" t="s">
        <v>1535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401</v>
      </c>
      <c r="C190" s="12" t="s">
        <v>402</v>
      </c>
      <c r="D190" s="15" t="s">
        <v>395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404</v>
      </c>
      <c r="C191" s="12" t="s">
        <v>402</v>
      </c>
      <c r="D191" s="15" t="s">
        <v>395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120</v>
      </c>
      <c r="C192" s="28" t="s">
        <v>941</v>
      </c>
      <c r="D192" s="29"/>
      <c r="E192" s="93">
        <v>11195475.7585</v>
      </c>
      <c r="F192" s="310">
        <f>SUM(F133:F191)</f>
        <v>5597737.87925</v>
      </c>
      <c r="G192" s="13"/>
    </row>
    <row r="193" ht="19.5" customHeight="1" spans="1:7">
      <c r="A193" s="4"/>
      <c r="B193" s="30" t="s">
        <v>406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1:7">
      <c r="B194" s="33"/>
      <c r="D194" s="34"/>
      <c r="E194" s="228"/>
      <c r="F194" s="229"/>
      <c r="G194" s="35"/>
    </row>
    <row r="195" ht="36.75" customHeight="1" spans="1:7">
      <c r="B195" s="33"/>
      <c r="C195" s="34"/>
      <c r="D195" s="34"/>
      <c r="E195" s="228"/>
      <c r="F195" s="35"/>
    </row>
    <row r="198" customHeight="1" spans="1:7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25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5">
      <c r="A2" s="76" t="s">
        <v>1526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0"/>
      <c r="T2" s="78"/>
      <c r="U2" s="78"/>
      <c r="V2" s="78"/>
      <c r="W2" s="78"/>
      <c r="X2" s="78"/>
    </row>
    <row r="3" ht="9.75" customHeight="1" spans="1:25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523</v>
      </c>
      <c r="H4" s="24" t="s">
        <v>1163</v>
      </c>
      <c r="I4" s="218" t="s">
        <v>1164</v>
      </c>
      <c r="J4" s="24" t="s">
        <v>1165</v>
      </c>
      <c r="K4" s="24" t="s">
        <v>1166</v>
      </c>
      <c r="L4" s="24" t="s">
        <v>1167</v>
      </c>
      <c r="M4" s="218" t="s">
        <v>7</v>
      </c>
      <c r="N4" s="218" t="s">
        <v>7</v>
      </c>
      <c r="O4" s="24" t="s">
        <v>1168</v>
      </c>
      <c r="P4" s="24" t="s">
        <v>1168</v>
      </c>
      <c r="Q4" s="218" t="s">
        <v>8</v>
      </c>
      <c r="R4" s="327" t="s">
        <v>9</v>
      </c>
      <c r="S4" s="24" t="s">
        <v>16</v>
      </c>
      <c r="T4" s="347" t="s">
        <v>18</v>
      </c>
      <c r="U4" s="80" t="s">
        <v>1537</v>
      </c>
      <c r="V4" s="304" t="s">
        <v>1538</v>
      </c>
      <c r="W4" s="80" t="s">
        <v>466</v>
      </c>
      <c r="X4" s="304" t="s">
        <v>833</v>
      </c>
    </row>
    <row r="5" ht="17.25" customHeight="1" spans="1:25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6" t="s">
        <v>21</v>
      </c>
      <c r="T5" s="82"/>
      <c r="U5" s="82"/>
      <c r="V5" s="230"/>
      <c r="W5" s="82"/>
      <c r="X5" s="230"/>
    </row>
    <row r="6" customHeight="1" spans="1:25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6"/>
      <c r="T6" s="82"/>
      <c r="U6" s="82"/>
      <c r="V6" s="230"/>
      <c r="W6" s="82"/>
      <c r="X6" s="230"/>
    </row>
    <row r="7" customHeight="1" spans="1:25">
      <c r="A7" s="4">
        <v>3</v>
      </c>
      <c r="B7" s="11" t="s">
        <v>48</v>
      </c>
      <c r="C7" s="4" t="s">
        <v>911</v>
      </c>
      <c r="D7" s="10" t="s">
        <v>56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28">
        <f>V7*W7</f>
        <v>284617.0175</v>
      </c>
    </row>
    <row r="8" ht="26.25" customHeight="1" spans="1:25">
      <c r="A8" s="10"/>
      <c r="B8" s="20" t="s">
        <v>120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08"/>
      <c r="R9" s="349"/>
      <c r="S9" s="309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1539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7"/>
      <c r="T10" s="85"/>
      <c r="U10" s="85"/>
      <c r="V10" s="231"/>
      <c r="W10" s="85"/>
      <c r="X10" s="231"/>
      <c r="Y10" s="13"/>
    </row>
    <row r="11" ht="21.6" customHeight="1" spans="1:25">
      <c r="A11" s="10">
        <v>10</v>
      </c>
      <c r="B11" s="11" t="s">
        <v>179</v>
      </c>
      <c r="C11" s="4" t="s">
        <v>152</v>
      </c>
      <c r="D11" s="10" t="s">
        <v>81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120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56"/>
      <c r="F13" s="156"/>
      <c r="G13" s="156"/>
      <c r="H13" s="156"/>
      <c r="I13" s="156"/>
      <c r="J13" s="156"/>
      <c r="K13" s="156"/>
      <c r="L13" s="220"/>
      <c r="M13" s="220"/>
      <c r="N13" s="156"/>
      <c r="O13" s="156"/>
      <c r="P13" s="156"/>
      <c r="Q13" s="311"/>
      <c r="R13" s="21"/>
      <c r="S13" s="312"/>
      <c r="T13" s="156"/>
      <c r="U13" s="85"/>
      <c r="V13" s="231"/>
      <c r="W13" s="156"/>
      <c r="X13" s="231"/>
      <c r="Y13" s="13"/>
    </row>
    <row r="14" ht="19.5" customHeight="1" spans="1:25">
      <c r="A14" s="4"/>
      <c r="B14" s="30" t="s">
        <v>406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1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25"/>
      <c r="T15" s="229"/>
      <c r="U15" s="229"/>
      <c r="V15" s="229"/>
      <c r="W15" s="229"/>
      <c r="X15" s="229"/>
      <c r="Y15" s="35"/>
    </row>
    <row r="16" ht="36.75" customHeight="1" spans="1:25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25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31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31">
      <c r="A2" s="76" t="s">
        <v>1526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0"/>
      <c r="T2" s="78"/>
      <c r="U2" s="78"/>
      <c r="V2" s="78"/>
      <c r="W2" s="78"/>
      <c r="X2" s="78"/>
    </row>
    <row r="3" ht="9.75" customHeight="1" spans="1:31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523</v>
      </c>
      <c r="H4" s="24" t="s">
        <v>1163</v>
      </c>
      <c r="I4" s="218" t="s">
        <v>1164</v>
      </c>
      <c r="J4" s="24" t="s">
        <v>1165</v>
      </c>
      <c r="K4" s="24" t="s">
        <v>1166</v>
      </c>
      <c r="L4" s="24" t="s">
        <v>1167</v>
      </c>
      <c r="M4" s="218" t="s">
        <v>7</v>
      </c>
      <c r="N4" s="218" t="s">
        <v>7</v>
      </c>
      <c r="O4" s="24" t="s">
        <v>1168</v>
      </c>
      <c r="P4" s="24" t="s">
        <v>1168</v>
      </c>
      <c r="Q4" s="218" t="s">
        <v>8</v>
      </c>
      <c r="R4" s="327" t="s">
        <v>9</v>
      </c>
      <c r="S4" s="7" t="s">
        <v>588</v>
      </c>
      <c r="T4" s="301" t="s">
        <v>1046</v>
      </c>
      <c r="U4" s="80" t="s">
        <v>1047</v>
      </c>
      <c r="V4" s="80" t="s">
        <v>1048</v>
      </c>
      <c r="W4" s="80" t="s">
        <v>620</v>
      </c>
      <c r="X4" s="80" t="s">
        <v>1049</v>
      </c>
      <c r="Y4" s="80" t="s">
        <v>1050</v>
      </c>
      <c r="Z4" s="302" t="s">
        <v>1051</v>
      </c>
      <c r="AA4" s="303" t="s">
        <v>1052</v>
      </c>
      <c r="AB4" s="80" t="s">
        <v>466</v>
      </c>
      <c r="AC4" s="304" t="s">
        <v>833</v>
      </c>
      <c r="AD4" s="304" t="s">
        <v>1540</v>
      </c>
      <c r="AE4" s="304" t="s">
        <v>1541</v>
      </c>
    </row>
    <row r="5" ht="17.25" customHeight="1" spans="1:31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6" t="s">
        <v>21</v>
      </c>
      <c r="T5" s="82"/>
      <c r="U5" s="82"/>
      <c r="V5" s="230"/>
      <c r="W5" s="82"/>
      <c r="X5" s="230"/>
    </row>
    <row r="6" customHeight="1" spans="1:31">
      <c r="A6" s="9" t="s">
        <v>22</v>
      </c>
      <c r="B6" s="8" t="s">
        <v>1542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6"/>
      <c r="T6" s="82"/>
      <c r="U6" s="82"/>
      <c r="V6" s="230"/>
      <c r="W6" s="82"/>
      <c r="X6" s="230"/>
    </row>
    <row r="7" customHeight="1" spans="1:31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28"/>
    </row>
    <row r="8" s="326" customFormat="1" customHeight="1" spans="1:31">
      <c r="A8" s="329">
        <v>40</v>
      </c>
      <c r="B8" s="330" t="s">
        <v>371</v>
      </c>
      <c r="C8" s="331" t="s">
        <v>360</v>
      </c>
      <c r="D8" s="332" t="s">
        <v>607</v>
      </c>
      <c r="E8" s="333">
        <v>5428.12</v>
      </c>
      <c r="F8" s="334"/>
      <c r="G8" s="333">
        <f t="shared" ref="G8:G10" si="0">E8*300%</f>
        <v>16284.36</v>
      </c>
      <c r="H8" s="333">
        <f t="shared" ref="H8:H10" si="1">E8*7.5%</f>
        <v>407.109</v>
      </c>
      <c r="I8" s="333"/>
      <c r="J8" s="333">
        <f t="shared" ref="J8:J10" si="2">E8*50%</f>
        <v>2714.06</v>
      </c>
      <c r="K8" s="333">
        <f t="shared" ref="K8:K10" si="3">E8*350%</f>
        <v>18998.42</v>
      </c>
      <c r="L8" s="333">
        <f t="shared" ref="L8:L10" si="4">E8*100%</f>
        <v>5428.12</v>
      </c>
      <c r="M8" s="334"/>
      <c r="N8" s="334">
        <f>20000</f>
        <v>20000</v>
      </c>
      <c r="O8" s="333">
        <f t="shared" ref="O8:O10" si="5">E8*10%</f>
        <v>542.812</v>
      </c>
      <c r="P8" s="333">
        <v>5000</v>
      </c>
      <c r="Q8" s="333">
        <f>7000</f>
        <v>7000</v>
      </c>
      <c r="R8" s="333">
        <f t="shared" ref="R8:R10" si="6">SUM(E8:Q8)</f>
        <v>81803.001</v>
      </c>
      <c r="S8" s="335" t="s">
        <v>607</v>
      </c>
      <c r="T8" s="333">
        <f>122105</f>
        <v>122105</v>
      </c>
      <c r="U8" s="333">
        <f>T8-R8</f>
        <v>40301.999</v>
      </c>
      <c r="V8" s="333"/>
      <c r="W8" s="333"/>
      <c r="X8" s="85">
        <v>4365.33075466667</v>
      </c>
      <c r="Y8" s="333">
        <f>9152.6</f>
        <v>9152.6</v>
      </c>
      <c r="Z8" s="231">
        <f>Y8-X8</f>
        <v>4787.26924533333</v>
      </c>
      <c r="AA8" s="336">
        <f>U8-Z8</f>
        <v>35514.7297546667</v>
      </c>
      <c r="AB8" s="337">
        <f>(11/31)+3</f>
        <v>3.35483870967742</v>
      </c>
      <c r="AC8" s="338">
        <f>AA8*AB8</f>
        <v>119146.190144688</v>
      </c>
      <c r="AD8" s="65">
        <f>66227.57</f>
        <v>66227.57</v>
      </c>
      <c r="AE8" s="339">
        <f>AC8-AD8</f>
        <v>52918.6201446881</v>
      </c>
    </row>
    <row r="9" s="326" customFormat="1" customHeight="1" spans="1:31">
      <c r="A9" s="329">
        <v>41</v>
      </c>
      <c r="B9" s="330" t="s">
        <v>373</v>
      </c>
      <c r="C9" s="331" t="s">
        <v>360</v>
      </c>
      <c r="D9" s="332" t="s">
        <v>607</v>
      </c>
      <c r="E9" s="333">
        <v>5428.12</v>
      </c>
      <c r="F9" s="334"/>
      <c r="G9" s="333">
        <f t="shared" si="0"/>
        <v>16284.36</v>
      </c>
      <c r="H9" s="333">
        <f t="shared" si="1"/>
        <v>407.109</v>
      </c>
      <c r="I9" s="333"/>
      <c r="J9" s="333">
        <f t="shared" si="2"/>
        <v>2714.06</v>
      </c>
      <c r="K9" s="333">
        <f t="shared" si="3"/>
        <v>18998.42</v>
      </c>
      <c r="L9" s="333">
        <f t="shared" si="4"/>
        <v>5428.12</v>
      </c>
      <c r="M9" s="334"/>
      <c r="N9" s="334">
        <f>20000</f>
        <v>20000</v>
      </c>
      <c r="O9" s="333">
        <f t="shared" si="5"/>
        <v>542.812</v>
      </c>
      <c r="P9" s="333">
        <v>5000</v>
      </c>
      <c r="Q9" s="333">
        <f>7000</f>
        <v>7000</v>
      </c>
      <c r="R9" s="333">
        <f t="shared" si="6"/>
        <v>81803.001</v>
      </c>
      <c r="S9" s="335" t="s">
        <v>607</v>
      </c>
      <c r="T9" s="333">
        <f t="shared" ref="T9:T10" si="7">122105</f>
        <v>122105</v>
      </c>
      <c r="U9" s="333">
        <f t="shared" ref="U9:U10" si="8">T9-R9</f>
        <v>40301.999</v>
      </c>
      <c r="V9" s="333"/>
      <c r="W9" s="333"/>
      <c r="X9" s="85">
        <f>4365.33075466667</f>
        <v>4365.33075466667</v>
      </c>
      <c r="Y9" s="333">
        <f t="shared" ref="Y9:Y10" si="9">9152.6</f>
        <v>9152.6</v>
      </c>
      <c r="Z9" s="231">
        <f t="shared" ref="Z9:Z10" si="10">Y9-X9</f>
        <v>4787.26924533333</v>
      </c>
      <c r="AA9" s="336">
        <f t="shared" ref="AA9:AA10" si="11">U9-Z9</f>
        <v>35514.7297546667</v>
      </c>
      <c r="AB9" s="337">
        <f>(17/31)+2</f>
        <v>2.54838709677419</v>
      </c>
      <c r="AC9" s="338">
        <f t="shared" ref="AC9:AC10" si="12">AA9*AB9</f>
        <v>90505.279052215</v>
      </c>
      <c r="AD9" s="231">
        <v>44151.71</v>
      </c>
      <c r="AE9" s="339">
        <f t="shared" ref="AE9:AE10" si="13">AC9-AD9</f>
        <v>46353.569052215</v>
      </c>
    </row>
    <row r="10" s="326" customFormat="1" customHeight="1" spans="1:31">
      <c r="A10" s="329">
        <v>42</v>
      </c>
      <c r="B10" s="340" t="s">
        <v>374</v>
      </c>
      <c r="C10" s="331" t="s">
        <v>360</v>
      </c>
      <c r="D10" s="332" t="s">
        <v>607</v>
      </c>
      <c r="E10" s="333">
        <v>5598.92</v>
      </c>
      <c r="F10" s="334"/>
      <c r="G10" s="333">
        <f t="shared" si="0"/>
        <v>16796.76</v>
      </c>
      <c r="H10" s="333">
        <f t="shared" si="1"/>
        <v>419.919</v>
      </c>
      <c r="I10" s="333"/>
      <c r="J10" s="333">
        <f t="shared" si="2"/>
        <v>2799.46</v>
      </c>
      <c r="K10" s="333">
        <f t="shared" si="3"/>
        <v>19596.22</v>
      </c>
      <c r="L10" s="333">
        <f t="shared" si="4"/>
        <v>5598.92</v>
      </c>
      <c r="M10" s="334"/>
      <c r="N10" s="334">
        <f>20000</f>
        <v>20000</v>
      </c>
      <c r="O10" s="333">
        <f t="shared" si="5"/>
        <v>559.892</v>
      </c>
      <c r="P10" s="333">
        <v>5000</v>
      </c>
      <c r="Q10" s="333">
        <f>7000</f>
        <v>7000</v>
      </c>
      <c r="R10" s="333">
        <f t="shared" si="6"/>
        <v>83370.091</v>
      </c>
      <c r="S10" s="335" t="s">
        <v>607</v>
      </c>
      <c r="T10" s="333">
        <f t="shared" si="7"/>
        <v>122105</v>
      </c>
      <c r="U10" s="333">
        <f t="shared" si="8"/>
        <v>38734.909</v>
      </c>
      <c r="V10" s="333"/>
      <c r="W10" s="333"/>
      <c r="X10" s="85">
        <v>4504.41092</v>
      </c>
      <c r="Y10" s="333">
        <f t="shared" si="9"/>
        <v>9152.6</v>
      </c>
      <c r="Z10" s="231">
        <f t="shared" si="10"/>
        <v>4648.18908</v>
      </c>
      <c r="AA10" s="336">
        <f t="shared" si="11"/>
        <v>34086.71992</v>
      </c>
      <c r="AB10" s="337">
        <v>9</v>
      </c>
      <c r="AC10" s="338">
        <f t="shared" si="12"/>
        <v>306780.47928</v>
      </c>
      <c r="AD10" s="231">
        <v>216693.09</v>
      </c>
      <c r="AE10" s="339">
        <f t="shared" si="13"/>
        <v>90087.38928</v>
      </c>
    </row>
    <row r="11" s="326" customFormat="1" customHeight="1" spans="1:31">
      <c r="A11" s="329"/>
      <c r="B11" s="340"/>
      <c r="C11" s="331"/>
      <c r="D11" s="332"/>
      <c r="E11" s="333"/>
      <c r="F11" s="334"/>
      <c r="G11" s="333"/>
      <c r="H11" s="333"/>
      <c r="I11" s="333"/>
      <c r="J11" s="333"/>
      <c r="K11" s="333"/>
      <c r="L11" s="333"/>
      <c r="M11" s="334"/>
      <c r="N11" s="334"/>
      <c r="O11" s="333"/>
      <c r="P11" s="333"/>
      <c r="Q11" s="333"/>
      <c r="R11" s="333"/>
      <c r="S11" s="333"/>
      <c r="T11" s="333"/>
      <c r="U11" s="333"/>
      <c r="V11" s="333"/>
      <c r="W11" s="341"/>
      <c r="X11" s="342"/>
      <c r="Y11" s="341"/>
      <c r="Z11" s="343"/>
      <c r="AA11" s="344"/>
      <c r="AE11" s="345">
        <f>SUM(AE8:AE10)</f>
        <v>189359.578476903</v>
      </c>
    </row>
    <row r="12" ht="21.6" customHeight="1" spans="1:31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31">
      <c r="A13" s="329">
        <v>40</v>
      </c>
      <c r="B13" s="330" t="s">
        <v>371</v>
      </c>
      <c r="C13" s="331" t="s">
        <v>360</v>
      </c>
      <c r="D13" s="332" t="s">
        <v>607</v>
      </c>
      <c r="E13" s="333">
        <f>8730.79</f>
        <v>8730.79</v>
      </c>
      <c r="F13" s="334"/>
      <c r="G13" s="333">
        <f t="shared" ref="G13:G15" si="14">E13*300%</f>
        <v>26192.37</v>
      </c>
      <c r="H13" s="333">
        <f t="shared" ref="H13:H15" si="15">E13*7.5%</f>
        <v>654.80925</v>
      </c>
      <c r="I13" s="333"/>
      <c r="J13" s="333">
        <f t="shared" ref="J13:J15" si="16">E13*50%</f>
        <v>4365.395</v>
      </c>
      <c r="K13" s="333">
        <f t="shared" ref="K13:K15" si="17">E13*350%</f>
        <v>30557.765</v>
      </c>
      <c r="L13" s="333">
        <f t="shared" ref="L13:L15" si="18">E13*100%</f>
        <v>8730.79</v>
      </c>
      <c r="M13" s="334"/>
      <c r="N13" s="334">
        <v>30000</v>
      </c>
      <c r="O13" s="333">
        <f t="shared" ref="O13:O15" si="19">E13*10%</f>
        <v>873.079</v>
      </c>
      <c r="P13" s="333">
        <v>5000</v>
      </c>
      <c r="Q13" s="333">
        <f>7000</f>
        <v>7000</v>
      </c>
      <c r="R13" s="333">
        <f t="shared" ref="R13:R14" si="20">SUM(E13:Q13)</f>
        <v>122104.99825</v>
      </c>
      <c r="S13" s="333"/>
      <c r="T13" s="333">
        <f>10000+5000+5000</f>
        <v>20000</v>
      </c>
      <c r="U13" s="333">
        <f>15625</f>
        <v>15625</v>
      </c>
      <c r="V13" s="333"/>
      <c r="W13" s="333">
        <f>[11]PROMOTIONS!$X$42</f>
        <v>8312.59</v>
      </c>
      <c r="X13" s="346">
        <f t="shared" ref="X13:X15" si="21">W13+V13+U13+T13+S13</f>
        <v>43937.59</v>
      </c>
      <c r="Y13" s="333">
        <v>106043.967849548</v>
      </c>
      <c r="Z13" s="231">
        <f t="shared" ref="Z13:Z15" si="22">R13-X13</f>
        <v>78167.40825</v>
      </c>
      <c r="AA13" s="344"/>
    </row>
    <row r="14" s="326" customFormat="1" customHeight="1" spans="1:31">
      <c r="A14" s="329">
        <v>41</v>
      </c>
      <c r="B14" s="330" t="s">
        <v>373</v>
      </c>
      <c r="C14" s="331" t="s">
        <v>360</v>
      </c>
      <c r="D14" s="332" t="s">
        <v>607</v>
      </c>
      <c r="E14" s="333">
        <f t="shared" ref="E14:E15" si="23">8730.79</f>
        <v>8730.79</v>
      </c>
      <c r="F14" s="334"/>
      <c r="G14" s="333">
        <f t="shared" si="14"/>
        <v>26192.37</v>
      </c>
      <c r="H14" s="333">
        <f t="shared" si="15"/>
        <v>654.80925</v>
      </c>
      <c r="I14" s="333"/>
      <c r="J14" s="333">
        <f t="shared" si="16"/>
        <v>4365.395</v>
      </c>
      <c r="K14" s="333">
        <f t="shared" si="17"/>
        <v>30557.765</v>
      </c>
      <c r="L14" s="333">
        <f t="shared" si="18"/>
        <v>8730.79</v>
      </c>
      <c r="M14" s="334"/>
      <c r="N14" s="334">
        <v>30000</v>
      </c>
      <c r="O14" s="333">
        <f t="shared" si="19"/>
        <v>873.079</v>
      </c>
      <c r="P14" s="333">
        <v>5000</v>
      </c>
      <c r="Q14" s="333">
        <f>7000</f>
        <v>7000</v>
      </c>
      <c r="R14" s="333">
        <f t="shared" si="20"/>
        <v>122104.99825</v>
      </c>
      <c r="S14" s="333"/>
      <c r="T14" s="333">
        <v>20000</v>
      </c>
      <c r="U14" s="333">
        <v>18333.33</v>
      </c>
      <c r="V14" s="333"/>
      <c r="W14" s="333">
        <f>[11]PROMOTIONS!$X$42</f>
        <v>8312.59</v>
      </c>
      <c r="X14" s="346">
        <f t="shared" si="21"/>
        <v>46645.92</v>
      </c>
      <c r="Y14" s="333">
        <v>80609.4522330322</v>
      </c>
      <c r="Z14" s="231">
        <f t="shared" si="22"/>
        <v>75459.07825</v>
      </c>
      <c r="AA14" s="344"/>
    </row>
    <row r="15" s="326" customFormat="1" customHeight="1" spans="1:31">
      <c r="A15" s="329">
        <v>42</v>
      </c>
      <c r="B15" s="340" t="s">
        <v>374</v>
      </c>
      <c r="C15" s="331" t="s">
        <v>360</v>
      </c>
      <c r="D15" s="332" t="s">
        <v>607</v>
      </c>
      <c r="E15" s="333">
        <f t="shared" si="23"/>
        <v>8730.79</v>
      </c>
      <c r="F15" s="334"/>
      <c r="G15" s="333">
        <f t="shared" si="14"/>
        <v>26192.37</v>
      </c>
      <c r="H15" s="333">
        <f t="shared" si="15"/>
        <v>654.80925</v>
      </c>
      <c r="I15" s="333"/>
      <c r="J15" s="333">
        <f t="shared" si="16"/>
        <v>4365.395</v>
      </c>
      <c r="K15" s="333">
        <f t="shared" si="17"/>
        <v>30557.765</v>
      </c>
      <c r="L15" s="333">
        <f t="shared" si="18"/>
        <v>8730.79</v>
      </c>
      <c r="M15" s="334"/>
      <c r="N15" s="334">
        <v>30000</v>
      </c>
      <c r="O15" s="333">
        <f t="shared" si="19"/>
        <v>873.079</v>
      </c>
      <c r="P15" s="333">
        <v>5000</v>
      </c>
      <c r="Q15" s="333">
        <f>7000</f>
        <v>7000</v>
      </c>
      <c r="R15" s="333">
        <f t="shared" ref="R15" si="24">SUM(E15:Q15)</f>
        <v>122104.99825</v>
      </c>
      <c r="S15" s="333"/>
      <c r="T15" s="333">
        <f>3000+5000+5000</f>
        <v>13000</v>
      </c>
      <c r="U15" s="333">
        <f>44000</f>
        <v>44000</v>
      </c>
      <c r="V15" s="333"/>
      <c r="W15" s="333">
        <f>[11]PROMOTIONS!$X$42</f>
        <v>8312.59</v>
      </c>
      <c r="X15" s="346">
        <f t="shared" si="21"/>
        <v>65312.59</v>
      </c>
      <c r="Y15" s="333">
        <v>239903.583693333</v>
      </c>
      <c r="Z15" s="231">
        <f t="shared" si="22"/>
        <v>56792.40825</v>
      </c>
      <c r="AA15" s="344"/>
    </row>
    <row r="16" ht="19.5" customHeight="1" spans="1:31">
      <c r="A16" s="4"/>
      <c r="B16" s="30" t="s">
        <v>406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1:27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25"/>
      <c r="T17" s="229"/>
      <c r="U17" s="229"/>
      <c r="V17" s="229"/>
      <c r="W17" s="229"/>
      <c r="X17" s="229"/>
      <c r="Y17" s="35"/>
    </row>
    <row r="18" ht="36.75" customHeight="1" spans="1:27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25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29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9">
      <c r="A2" s="76" t="s">
        <v>1543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0"/>
      <c r="X2" s="78"/>
      <c r="Y2" s="78"/>
      <c r="Z2" s="78"/>
      <c r="AA2" s="78"/>
      <c r="AB2" s="78"/>
    </row>
    <row r="3" ht="9.75" customHeight="1" spans="1:29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9">
      <c r="A4" s="4"/>
      <c r="B4" s="6" t="s">
        <v>2</v>
      </c>
      <c r="C4" s="6" t="s">
        <v>3</v>
      </c>
      <c r="D4" s="7" t="s">
        <v>1527</v>
      </c>
      <c r="E4" s="80" t="s">
        <v>5</v>
      </c>
      <c r="F4" s="21" t="s">
        <v>523</v>
      </c>
      <c r="G4" s="21" t="s">
        <v>1163</v>
      </c>
      <c r="H4" s="80" t="s">
        <v>1164</v>
      </c>
      <c r="I4" s="21" t="s">
        <v>1165</v>
      </c>
      <c r="J4" s="21" t="s">
        <v>1166</v>
      </c>
      <c r="K4" s="21" t="s">
        <v>1167</v>
      </c>
      <c r="L4" s="80" t="s">
        <v>7</v>
      </c>
      <c r="M4" s="80" t="s">
        <v>7</v>
      </c>
      <c r="N4" s="21" t="s">
        <v>1168</v>
      </c>
      <c r="O4" s="21" t="s">
        <v>1168</v>
      </c>
      <c r="P4" s="80" t="s">
        <v>8</v>
      </c>
      <c r="Q4" s="301" t="s">
        <v>1045</v>
      </c>
      <c r="R4" s="7" t="s">
        <v>588</v>
      </c>
      <c r="S4" s="301" t="s">
        <v>1046</v>
      </c>
      <c r="T4" s="80" t="s">
        <v>1047</v>
      </c>
      <c r="U4" s="80" t="s">
        <v>1048</v>
      </c>
      <c r="V4" s="80" t="s">
        <v>620</v>
      </c>
      <c r="W4" s="80" t="s">
        <v>1049</v>
      </c>
      <c r="X4" s="80" t="s">
        <v>1050</v>
      </c>
      <c r="Y4" s="302" t="s">
        <v>1051</v>
      </c>
      <c r="Z4" s="303" t="s">
        <v>1052</v>
      </c>
      <c r="AA4" s="80" t="s">
        <v>466</v>
      </c>
      <c r="AB4" s="304" t="s">
        <v>833</v>
      </c>
    </row>
    <row r="5" ht="17.25" customHeight="1" spans="1:29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5" t="s">
        <v>21</v>
      </c>
      <c r="T5" s="82"/>
      <c r="U5" s="82" t="s">
        <v>21</v>
      </c>
      <c r="V5" s="82"/>
      <c r="W5" s="306" t="s">
        <v>21</v>
      </c>
      <c r="X5" s="82"/>
      <c r="Y5" s="82"/>
      <c r="Z5" s="230"/>
      <c r="AA5" s="82"/>
      <c r="AB5" s="230"/>
    </row>
    <row r="6" customHeight="1" spans="1:29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5"/>
      <c r="T6" s="82"/>
      <c r="U6" s="82"/>
      <c r="V6" s="82"/>
      <c r="W6" s="306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84</v>
      </c>
      <c r="C7" s="12" t="s">
        <v>1544</v>
      </c>
      <c r="D7" s="15" t="s">
        <v>105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225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7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120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08"/>
      <c r="R9" s="10"/>
      <c r="S9" s="308"/>
      <c r="T9" s="85"/>
      <c r="U9" s="221"/>
      <c r="V9" s="221"/>
      <c r="W9" s="309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137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7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45</v>
      </c>
      <c r="C11" s="4" t="s">
        <v>927</v>
      </c>
      <c r="D11" s="10" t="s">
        <v>601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53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7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120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10">
        <f t="shared" si="8"/>
        <v>22769.90385</v>
      </c>
      <c r="AA12" s="93"/>
      <c r="AB12" s="310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56"/>
      <c r="F13" s="156"/>
      <c r="G13" s="156"/>
      <c r="H13" s="156"/>
      <c r="I13" s="156"/>
      <c r="J13" s="156"/>
      <c r="K13" s="156"/>
      <c r="L13" s="220"/>
      <c r="M13" s="220"/>
      <c r="N13" s="156"/>
      <c r="O13" s="156"/>
      <c r="P13" s="156"/>
      <c r="Q13" s="311"/>
      <c r="R13" s="21"/>
      <c r="S13" s="311"/>
      <c r="T13" s="85">
        <f t="shared" si="0"/>
        <v>0</v>
      </c>
      <c r="U13" s="156"/>
      <c r="V13" s="156"/>
      <c r="W13" s="312"/>
      <c r="X13" s="156"/>
      <c r="Y13" s="85"/>
      <c r="Z13" s="231"/>
      <c r="AA13" s="156"/>
      <c r="AB13" s="231"/>
      <c r="AC13" s="13"/>
    </row>
    <row r="14" customHeight="1" spans="1:29">
      <c r="A14" s="10"/>
      <c r="B14" s="20" t="s">
        <v>164</v>
      </c>
      <c r="C14" s="21"/>
      <c r="D14" s="21"/>
      <c r="E14" s="156"/>
      <c r="F14" s="156"/>
      <c r="G14" s="156"/>
      <c r="H14" s="156"/>
      <c r="I14" s="156"/>
      <c r="J14" s="156"/>
      <c r="K14" s="156"/>
      <c r="L14" s="220"/>
      <c r="M14" s="220"/>
      <c r="N14" s="156"/>
      <c r="O14" s="156"/>
      <c r="P14" s="156"/>
      <c r="Q14" s="311"/>
      <c r="R14" s="21"/>
      <c r="S14" s="311"/>
      <c r="T14" s="85">
        <f t="shared" si="0"/>
        <v>0</v>
      </c>
      <c r="U14" s="156"/>
      <c r="V14" s="156"/>
      <c r="W14" s="312"/>
      <c r="X14" s="156"/>
      <c r="Y14" s="85"/>
      <c r="Z14" s="231"/>
      <c r="AA14" s="156"/>
      <c r="AB14" s="231"/>
      <c r="AC14" s="13"/>
    </row>
    <row r="15" customHeight="1" spans="1:29">
      <c r="A15" s="10">
        <v>3</v>
      </c>
      <c r="B15" s="14" t="s">
        <v>165</v>
      </c>
      <c r="C15" s="4" t="s">
        <v>52</v>
      </c>
      <c r="D15" s="10" t="s">
        <v>192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42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7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167</v>
      </c>
      <c r="C16" s="4" t="s">
        <v>217</v>
      </c>
      <c r="D16" s="10" t="s">
        <v>601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53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7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120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10">
        <f t="shared" si="11"/>
        <v>89978.6829826669</v>
      </c>
      <c r="AA17" s="93"/>
      <c r="AB17" s="310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56"/>
      <c r="F18" s="156"/>
      <c r="G18" s="156"/>
      <c r="H18" s="156"/>
      <c r="I18" s="156"/>
      <c r="J18" s="156"/>
      <c r="K18" s="156"/>
      <c r="L18" s="220"/>
      <c r="M18" s="220"/>
      <c r="N18" s="156"/>
      <c r="O18" s="156"/>
      <c r="P18" s="156"/>
      <c r="Q18" s="311"/>
      <c r="R18" s="21"/>
      <c r="S18" s="311"/>
      <c r="T18" s="85"/>
      <c r="U18" s="156"/>
      <c r="V18" s="156"/>
      <c r="W18" s="312"/>
      <c r="X18" s="156"/>
      <c r="Y18" s="85">
        <f t="shared" si="4"/>
        <v>0</v>
      </c>
      <c r="Z18" s="231">
        <f t="shared" si="5"/>
        <v>0</v>
      </c>
      <c r="AA18" s="156"/>
      <c r="AB18" s="231">
        <f t="shared" si="6"/>
        <v>0</v>
      </c>
      <c r="AC18" s="13"/>
    </row>
    <row r="19" customHeight="1" spans="1:29">
      <c r="A19" s="10"/>
      <c r="B19" s="20" t="s">
        <v>183</v>
      </c>
      <c r="C19" s="21"/>
      <c r="D19" s="21"/>
      <c r="E19" s="156"/>
      <c r="F19" s="156"/>
      <c r="G19" s="156"/>
      <c r="H19" s="156"/>
      <c r="I19" s="156"/>
      <c r="J19" s="156"/>
      <c r="K19" s="156"/>
      <c r="L19" s="220"/>
      <c r="M19" s="220"/>
      <c r="N19" s="156"/>
      <c r="O19" s="156"/>
      <c r="P19" s="156"/>
      <c r="Q19" s="311"/>
      <c r="R19" s="21"/>
      <c r="S19" s="311"/>
      <c r="T19" s="85"/>
      <c r="U19" s="156"/>
      <c r="V19" s="156"/>
      <c r="W19" s="312"/>
      <c r="X19" s="156"/>
      <c r="Y19" s="85">
        <f t="shared" si="4"/>
        <v>0</v>
      </c>
      <c r="Z19" s="231">
        <f t="shared" si="5"/>
        <v>0</v>
      </c>
      <c r="AA19" s="156"/>
      <c r="AB19" s="231">
        <f t="shared" si="6"/>
        <v>0</v>
      </c>
      <c r="AC19" s="13"/>
    </row>
    <row r="20" customHeight="1" spans="1:29">
      <c r="A20" s="10">
        <v>5</v>
      </c>
      <c r="B20" s="11" t="s">
        <v>190</v>
      </c>
      <c r="C20" s="4" t="s">
        <v>1545</v>
      </c>
      <c r="D20" s="15" t="s">
        <v>601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53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7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120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3">
        <f>SUM(W20:W20)</f>
        <v>49548.7761866667</v>
      </c>
      <c r="X21" s="313">
        <f t="shared" ref="X21:AB21" si="13">SUM(X20:X20)</f>
        <v>54931.2266666667</v>
      </c>
      <c r="Y21" s="313">
        <f t="shared" si="13"/>
        <v>5382.45048</v>
      </c>
      <c r="Z21" s="314">
        <f t="shared" si="13"/>
        <v>22651.14577</v>
      </c>
      <c r="AA21" s="313"/>
      <c r="AB21" s="314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56"/>
      <c r="F22" s="156"/>
      <c r="G22" s="156"/>
      <c r="H22" s="156"/>
      <c r="I22" s="156"/>
      <c r="J22" s="156"/>
      <c r="K22" s="156"/>
      <c r="L22" s="220"/>
      <c r="M22" s="220"/>
      <c r="N22" s="156"/>
      <c r="O22" s="156"/>
      <c r="P22" s="156"/>
      <c r="Q22" s="311"/>
      <c r="R22" s="21"/>
      <c r="S22" s="311"/>
      <c r="T22" s="85"/>
      <c r="U22" s="156"/>
      <c r="V22" s="156"/>
      <c r="W22" s="312"/>
      <c r="X22" s="156"/>
      <c r="Y22" s="85">
        <f t="shared" si="4"/>
        <v>0</v>
      </c>
      <c r="Z22" s="231">
        <f t="shared" si="5"/>
        <v>0</v>
      </c>
      <c r="AA22" s="156"/>
      <c r="AB22" s="231">
        <f t="shared" si="6"/>
        <v>0</v>
      </c>
      <c r="AC22" s="13"/>
    </row>
    <row r="23" customHeight="1" spans="1:29">
      <c r="A23" s="10"/>
      <c r="B23" s="20" t="s">
        <v>205</v>
      </c>
      <c r="C23" s="25"/>
      <c r="D23" s="21"/>
      <c r="E23" s="156"/>
      <c r="F23" s="156"/>
      <c r="G23" s="156"/>
      <c r="H23" s="156"/>
      <c r="I23" s="156"/>
      <c r="J23" s="156"/>
      <c r="K23" s="156"/>
      <c r="L23" s="220"/>
      <c r="M23" s="220"/>
      <c r="N23" s="156"/>
      <c r="O23" s="156"/>
      <c r="P23" s="156"/>
      <c r="Q23" s="311"/>
      <c r="R23" s="21"/>
      <c r="S23" s="311"/>
      <c r="T23" s="85"/>
      <c r="U23" s="156"/>
      <c r="V23" s="156"/>
      <c r="W23" s="312"/>
      <c r="X23" s="156"/>
      <c r="Y23" s="85">
        <f t="shared" si="4"/>
        <v>0</v>
      </c>
      <c r="Z23" s="231">
        <f t="shared" si="5"/>
        <v>0</v>
      </c>
      <c r="AA23" s="156"/>
      <c r="AB23" s="231">
        <f t="shared" si="6"/>
        <v>0</v>
      </c>
      <c r="AC23" s="13"/>
    </row>
    <row r="24" customHeight="1" spans="1:29">
      <c r="A24" s="10">
        <v>6</v>
      </c>
      <c r="B24" s="11" t="s">
        <v>479</v>
      </c>
      <c r="C24" s="4" t="s">
        <v>46</v>
      </c>
      <c r="D24" s="10" t="s">
        <v>47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42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7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213</v>
      </c>
      <c r="C25" s="12" t="s">
        <v>217</v>
      </c>
      <c r="D25" s="15" t="s">
        <v>218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600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7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120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10">
        <f t="shared" si="16"/>
        <v>95779.9059673339</v>
      </c>
      <c r="AA26" s="93"/>
      <c r="AB26" s="310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56"/>
      <c r="F27" s="156"/>
      <c r="G27" s="156"/>
      <c r="H27" s="156"/>
      <c r="I27" s="156"/>
      <c r="J27" s="156"/>
      <c r="K27" s="156"/>
      <c r="L27" s="220"/>
      <c r="M27" s="220"/>
      <c r="N27" s="156"/>
      <c r="O27" s="156"/>
      <c r="P27" s="156"/>
      <c r="Q27" s="311"/>
      <c r="R27" s="21"/>
      <c r="S27" s="311"/>
      <c r="T27" s="85">
        <f t="shared" si="0"/>
        <v>0</v>
      </c>
      <c r="U27" s="156"/>
      <c r="V27" s="156"/>
      <c r="W27" s="312"/>
      <c r="X27" s="156"/>
      <c r="Y27" s="85">
        <f t="shared" si="4"/>
        <v>0</v>
      </c>
      <c r="Z27" s="231">
        <f t="shared" si="5"/>
        <v>0</v>
      </c>
      <c r="AA27" s="156"/>
      <c r="AB27" s="231">
        <f t="shared" si="6"/>
        <v>0</v>
      </c>
      <c r="AC27" s="13"/>
    </row>
    <row r="28" customHeight="1" spans="1:29">
      <c r="A28" s="10"/>
      <c r="B28" s="20" t="s">
        <v>226</v>
      </c>
      <c r="C28" s="21"/>
      <c r="D28" s="21"/>
      <c r="E28" s="156"/>
      <c r="F28" s="156"/>
      <c r="G28" s="156"/>
      <c r="H28" s="156"/>
      <c r="I28" s="156"/>
      <c r="J28" s="156"/>
      <c r="K28" s="156"/>
      <c r="L28" s="220"/>
      <c r="M28" s="220"/>
      <c r="N28" s="156"/>
      <c r="O28" s="156"/>
      <c r="P28" s="156"/>
      <c r="Q28" s="311"/>
      <c r="R28" s="21"/>
      <c r="S28" s="311"/>
      <c r="T28" s="85">
        <f t="shared" si="0"/>
        <v>0</v>
      </c>
      <c r="U28" s="156"/>
      <c r="V28" s="156"/>
      <c r="W28" s="312"/>
      <c r="X28" s="156"/>
      <c r="Y28" s="85">
        <f t="shared" si="4"/>
        <v>0</v>
      </c>
      <c r="Z28" s="231">
        <f t="shared" si="5"/>
        <v>0</v>
      </c>
      <c r="AA28" s="156"/>
      <c r="AB28" s="231">
        <f t="shared" si="6"/>
        <v>0</v>
      </c>
      <c r="AC28" s="13"/>
    </row>
    <row r="29" customHeight="1" spans="1:29">
      <c r="A29" s="10">
        <v>8</v>
      </c>
      <c r="B29" s="11" t="s">
        <v>37</v>
      </c>
      <c r="C29" s="4" t="s">
        <v>230</v>
      </c>
      <c r="D29" s="10" t="s">
        <v>47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42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7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229</v>
      </c>
      <c r="C30" s="4" t="s">
        <v>937</v>
      </c>
      <c r="D30" s="15" t="s">
        <v>601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53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7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236</v>
      </c>
      <c r="C31" s="4" t="s">
        <v>1546</v>
      </c>
      <c r="D31" s="15" t="s">
        <v>105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81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7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120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3">
        <f>SUM(W29:W31)</f>
        <v>135899.317589333</v>
      </c>
      <c r="X32" s="313">
        <f t="shared" ref="X32:AB32" si="18">SUM(X29:X31)</f>
        <v>162264.12356</v>
      </c>
      <c r="Y32" s="313">
        <f t="shared" si="18"/>
        <v>26364.8059706667</v>
      </c>
      <c r="Z32" s="314">
        <f t="shared" si="18"/>
        <v>117866.478279333</v>
      </c>
      <c r="AA32" s="313"/>
      <c r="AB32" s="314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278</v>
      </c>
      <c r="C34" s="21"/>
      <c r="D34" s="21"/>
      <c r="E34" s="156"/>
      <c r="F34" s="156"/>
      <c r="G34" s="156"/>
      <c r="H34" s="156"/>
      <c r="I34" s="156"/>
      <c r="J34" s="156"/>
      <c r="K34" s="156"/>
      <c r="L34" s="220"/>
      <c r="M34" s="220"/>
      <c r="N34" s="156"/>
      <c r="O34" s="156"/>
      <c r="P34" s="156"/>
      <c r="Q34" s="311"/>
      <c r="R34" s="21"/>
      <c r="S34" s="311"/>
      <c r="T34" s="85"/>
      <c r="U34" s="156"/>
      <c r="V34" s="156"/>
      <c r="W34" s="312"/>
      <c r="X34" s="156"/>
      <c r="Y34" s="85">
        <f t="shared" si="4"/>
        <v>0</v>
      </c>
      <c r="Z34" s="231">
        <f t="shared" si="5"/>
        <v>0</v>
      </c>
      <c r="AA34" s="156"/>
      <c r="AB34" s="231">
        <f t="shared" si="6"/>
        <v>0</v>
      </c>
      <c r="AC34" s="13"/>
    </row>
    <row r="35" customHeight="1" spans="1:29">
      <c r="A35" s="4">
        <v>11</v>
      </c>
      <c r="B35" s="11" t="s">
        <v>289</v>
      </c>
      <c r="C35" s="12" t="s">
        <v>1547</v>
      </c>
      <c r="D35" s="15" t="s">
        <v>601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53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7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120</v>
      </c>
      <c r="C36" s="26" t="s">
        <v>1548</v>
      </c>
      <c r="D36" s="15"/>
      <c r="E36" s="156">
        <f t="shared" ref="E36:Q36" si="20">SUM(E35:E35)</f>
        <v>25523.45</v>
      </c>
      <c r="F36" s="156">
        <f t="shared" si="20"/>
        <v>76570.35</v>
      </c>
      <c r="G36" s="156">
        <f t="shared" si="20"/>
        <v>1914.25875</v>
      </c>
      <c r="H36" s="156">
        <f t="shared" si="20"/>
        <v>0</v>
      </c>
      <c r="I36" s="156">
        <f t="shared" si="20"/>
        <v>12761.725</v>
      </c>
      <c r="J36" s="156">
        <f t="shared" si="20"/>
        <v>89332.075</v>
      </c>
      <c r="K36" s="156">
        <f t="shared" si="20"/>
        <v>25523.45</v>
      </c>
      <c r="L36" s="156">
        <f t="shared" si="20"/>
        <v>0</v>
      </c>
      <c r="M36" s="156">
        <f t="shared" si="20"/>
        <v>70000</v>
      </c>
      <c r="N36" s="156">
        <f t="shared" si="20"/>
        <v>2552.345</v>
      </c>
      <c r="O36" s="156">
        <f t="shared" si="20"/>
        <v>15000</v>
      </c>
      <c r="P36" s="156">
        <f t="shared" si="20"/>
        <v>0</v>
      </c>
      <c r="Q36" s="156">
        <f t="shared" si="20"/>
        <v>319177.65375</v>
      </c>
      <c r="R36" s="15"/>
      <c r="S36" s="156">
        <f t="shared" ref="S36:Z36" si="21">SUM(S35:S35)</f>
        <v>327211.25</v>
      </c>
      <c r="T36" s="156">
        <f t="shared" si="21"/>
        <v>8033.59625</v>
      </c>
      <c r="U36" s="156">
        <f t="shared" si="21"/>
        <v>638.08625</v>
      </c>
      <c r="V36" s="156">
        <f t="shared" si="21"/>
        <v>690.28</v>
      </c>
      <c r="W36" s="156">
        <f t="shared" si="21"/>
        <v>40684.5991766667</v>
      </c>
      <c r="X36" s="156">
        <f t="shared" si="21"/>
        <v>42034.2433466667</v>
      </c>
      <c r="Y36" s="156">
        <f t="shared" si="21"/>
        <v>1349.64417</v>
      </c>
      <c r="Z36" s="233">
        <f t="shared" si="21"/>
        <v>6683.95208</v>
      </c>
      <c r="AA36" s="15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56"/>
      <c r="F37" s="156"/>
      <c r="G37" s="156"/>
      <c r="H37" s="156"/>
      <c r="I37" s="156"/>
      <c r="J37" s="156"/>
      <c r="K37" s="156"/>
      <c r="L37" s="220">
        <f>226713.38+70000</f>
        <v>296713.38</v>
      </c>
      <c r="M37" s="220"/>
      <c r="N37" s="156"/>
      <c r="O37" s="156"/>
      <c r="P37" s="156"/>
      <c r="Q37" s="311"/>
      <c r="R37" s="15"/>
      <c r="S37" s="311"/>
      <c r="T37" s="85"/>
      <c r="U37" s="156"/>
      <c r="V37" s="156"/>
      <c r="W37" s="312"/>
      <c r="X37" s="156"/>
      <c r="Y37" s="85"/>
      <c r="Z37" s="231"/>
      <c r="AA37" s="156"/>
      <c r="AB37" s="231"/>
      <c r="AC37" s="13"/>
    </row>
    <row r="38" customHeight="1" spans="1:29">
      <c r="A38" s="4"/>
      <c r="B38" s="20" t="s">
        <v>299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7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317</v>
      </c>
      <c r="C39" s="12" t="s">
        <v>1549</v>
      </c>
      <c r="D39" s="15" t="s">
        <v>153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180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7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319</v>
      </c>
      <c r="C40" s="4" t="s">
        <v>328</v>
      </c>
      <c r="D40" s="15" t="s">
        <v>153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180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7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336</v>
      </c>
      <c r="C41" s="12" t="s">
        <v>346</v>
      </c>
      <c r="D41" s="15" t="s">
        <v>105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225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7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371</v>
      </c>
      <c r="C42" s="12" t="s">
        <v>387</v>
      </c>
      <c r="D42" s="15" t="s">
        <v>608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607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7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17">
        <v>16</v>
      </c>
      <c r="B43" s="318" t="s">
        <v>373</v>
      </c>
      <c r="C43" s="319" t="s">
        <v>387</v>
      </c>
      <c r="D43" s="320" t="s">
        <v>608</v>
      </c>
      <c r="E43" s="65">
        <v>5428.12</v>
      </c>
      <c r="F43" s="65">
        <f t="shared" si="22"/>
        <v>16284.36</v>
      </c>
      <c r="G43" s="65">
        <f t="shared" si="23"/>
        <v>407.109</v>
      </c>
      <c r="H43" s="65"/>
      <c r="I43" s="65">
        <f t="shared" si="24"/>
        <v>2714.06</v>
      </c>
      <c r="J43" s="65">
        <f t="shared" si="25"/>
        <v>18998.42</v>
      </c>
      <c r="K43" s="65">
        <f t="shared" si="26"/>
        <v>5428.12</v>
      </c>
      <c r="L43" s="321"/>
      <c r="M43" s="321">
        <f>20000</f>
        <v>20000</v>
      </c>
      <c r="N43" s="65">
        <f t="shared" si="27"/>
        <v>542.812</v>
      </c>
      <c r="O43" s="65">
        <v>5000</v>
      </c>
      <c r="P43" s="65">
        <f>7000</f>
        <v>7000</v>
      </c>
      <c r="Q43" s="65">
        <f t="shared" si="28"/>
        <v>81803.001</v>
      </c>
      <c r="R43" s="320" t="s">
        <v>607</v>
      </c>
      <c r="S43" s="65">
        <f>'SALARY STRUCTURE'!D11+30000</f>
        <v>115104.916666667</v>
      </c>
      <c r="T43" s="65">
        <f t="shared" si="0"/>
        <v>33301.9156666667</v>
      </c>
      <c r="U43" s="65"/>
      <c r="V43" s="65"/>
      <c r="W43" s="322">
        <f>4365.33075466667</f>
        <v>4365.33075466667</v>
      </c>
      <c r="X43" s="65">
        <f>'[10]October 2023'!$Z$164</f>
        <v>8312.59</v>
      </c>
      <c r="Y43" s="65">
        <f t="shared" si="4"/>
        <v>3947.25924533333</v>
      </c>
      <c r="Z43" s="65">
        <f t="shared" si="5"/>
        <v>29354.6564213334</v>
      </c>
      <c r="AA43" s="65">
        <f>(17/31)+1</f>
        <v>1.54838709677419</v>
      </c>
      <c r="AB43" s="65">
        <f t="shared" si="6"/>
        <v>45452.3712330323</v>
      </c>
      <c r="AC43" s="323"/>
    </row>
    <row r="44" customHeight="1" spans="1:29">
      <c r="A44" s="27">
        <v>17</v>
      </c>
      <c r="B44" s="18" t="s">
        <v>374</v>
      </c>
      <c r="C44" s="12" t="s">
        <v>387</v>
      </c>
      <c r="D44" s="15" t="s">
        <v>388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607</v>
      </c>
      <c r="S44" s="219">
        <v>115104.916666667</v>
      </c>
      <c r="T44" s="85">
        <f t="shared" si="0"/>
        <v>31734.825666667</v>
      </c>
      <c r="U44" s="85"/>
      <c r="V44" s="85"/>
      <c r="W44" s="307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358</v>
      </c>
      <c r="C45" s="12" t="s">
        <v>514</v>
      </c>
      <c r="D45" s="15" t="s">
        <v>1550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393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7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120</v>
      </c>
      <c r="C46" s="28" t="s">
        <v>1551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10">
        <f t="shared" si="30"/>
        <v>152111.300904001</v>
      </c>
      <c r="AA46" s="93"/>
      <c r="AB46" s="310">
        <f t="shared" si="30"/>
        <v>626877.533175703</v>
      </c>
      <c r="AC46" s="13"/>
    </row>
    <row r="47" ht="19.5" customHeight="1" spans="1:29">
      <c r="A47" s="4"/>
      <c r="B47" s="30" t="s">
        <v>406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4">
        <f t="shared" si="31"/>
        <v>525716.029816002</v>
      </c>
      <c r="AA47" s="227">
        <f t="shared" si="31"/>
        <v>0</v>
      </c>
      <c r="AB47" s="324">
        <f t="shared" si="31"/>
        <v>2102520.87725782</v>
      </c>
      <c r="AC47" s="13"/>
    </row>
    <row r="48" customHeight="1" spans="1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25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25"/>
      <c r="X49" s="229"/>
      <c r="Y49" s="229"/>
      <c r="Z49" s="229"/>
      <c r="AA49" s="229"/>
      <c r="AB49" s="229"/>
    </row>
    <row r="52" customHeight="1" spans="2:28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3" t="s">
        <v>1552</v>
      </c>
      <c r="B1" s="273"/>
      <c r="C1" s="273"/>
      <c r="D1" s="273"/>
      <c r="E1" s="273"/>
      <c r="F1" s="273"/>
      <c r="G1" s="273"/>
      <c r="H1" s="290"/>
      <c r="I1" s="273"/>
      <c r="J1" s="273"/>
      <c r="K1" s="273"/>
      <c r="L1" s="273"/>
      <c r="M1" s="273"/>
      <c r="N1" s="273"/>
      <c r="O1" s="273"/>
      <c r="P1" s="273"/>
      <c r="Q1" s="291"/>
      <c r="R1" s="291"/>
    </row>
    <row r="2" ht="13" spans="1:18">
      <c r="A2" s="273" t="s">
        <v>1553</v>
      </c>
      <c r="B2" s="273"/>
      <c r="C2" s="273"/>
      <c r="D2" s="273"/>
      <c r="E2" s="273"/>
      <c r="F2" s="273"/>
      <c r="G2" s="273"/>
      <c r="H2" s="292"/>
      <c r="I2" s="273"/>
      <c r="J2" s="273"/>
      <c r="K2" s="273"/>
      <c r="L2" s="273"/>
      <c r="M2" s="273"/>
      <c r="N2" s="273"/>
      <c r="O2" s="273"/>
      <c r="P2" s="273"/>
      <c r="Q2" s="291"/>
      <c r="R2" s="291"/>
    </row>
    <row r="3" ht="13" spans="1:18">
      <c r="A3" s="273"/>
      <c r="B3" s="273" t="s">
        <v>1554</v>
      </c>
      <c r="C3" s="273" t="s">
        <v>1555</v>
      </c>
      <c r="D3" s="273" t="s">
        <v>1556</v>
      </c>
      <c r="E3" s="273" t="s">
        <v>1557</v>
      </c>
      <c r="F3" s="273" t="s">
        <v>1558</v>
      </c>
      <c r="G3" s="273" t="s">
        <v>1559</v>
      </c>
      <c r="H3" s="292" t="s">
        <v>1560</v>
      </c>
      <c r="I3" s="273" t="s">
        <v>1561</v>
      </c>
      <c r="J3" s="273" t="s">
        <v>1562</v>
      </c>
      <c r="K3" s="273" t="s">
        <v>1563</v>
      </c>
      <c r="L3" s="273" t="s">
        <v>1564</v>
      </c>
      <c r="M3" s="273" t="s">
        <v>1565</v>
      </c>
      <c r="N3" s="273" t="s">
        <v>1566</v>
      </c>
      <c r="O3" s="273" t="s">
        <v>1567</v>
      </c>
      <c r="P3" s="273" t="s">
        <v>1568</v>
      </c>
      <c r="Q3" s="291"/>
      <c r="R3" s="291"/>
    </row>
    <row r="4" ht="13" spans="1:18">
      <c r="A4" s="273" t="s">
        <v>1569</v>
      </c>
      <c r="B4" s="273" t="s">
        <v>21</v>
      </c>
      <c r="C4" s="273" t="s">
        <v>21</v>
      </c>
      <c r="D4" s="273" t="s">
        <v>21</v>
      </c>
      <c r="E4" s="273" t="s">
        <v>21</v>
      </c>
      <c r="F4" s="273" t="s">
        <v>21</v>
      </c>
      <c r="G4" s="273" t="s">
        <v>21</v>
      </c>
      <c r="H4" s="292" t="s">
        <v>21</v>
      </c>
      <c r="I4" s="273" t="s">
        <v>21</v>
      </c>
      <c r="J4" s="273" t="s">
        <v>21</v>
      </c>
      <c r="K4" s="273" t="s">
        <v>21</v>
      </c>
      <c r="L4" s="273" t="s">
        <v>21</v>
      </c>
      <c r="M4" s="273" t="s">
        <v>21</v>
      </c>
      <c r="N4" s="273" t="s">
        <v>21</v>
      </c>
      <c r="O4" s="273" t="s">
        <v>21</v>
      </c>
      <c r="P4" s="273" t="s">
        <v>21</v>
      </c>
      <c r="Q4" s="291"/>
      <c r="R4" s="291"/>
    </row>
    <row r="5" ht="14" spans="1:18">
      <c r="A5" s="293" t="s">
        <v>1570</v>
      </c>
      <c r="B5" s="293">
        <v>32012.1666666667</v>
      </c>
      <c r="C5" s="293">
        <v>32710.5</v>
      </c>
      <c r="D5" s="293">
        <v>33408.75</v>
      </c>
      <c r="E5" s="293">
        <v>34107.0833333333</v>
      </c>
      <c r="F5" s="293">
        <v>34805.5</v>
      </c>
      <c r="G5" s="293">
        <v>35503.75</v>
      </c>
      <c r="H5" s="294">
        <v>36202.0833333333</v>
      </c>
      <c r="I5" s="293">
        <v>36900.3333333333</v>
      </c>
      <c r="J5" s="293">
        <v>37598.6666666667</v>
      </c>
      <c r="K5" s="293">
        <v>38297.0833333333</v>
      </c>
      <c r="L5" s="293">
        <v>38995.3333333333</v>
      </c>
      <c r="M5" s="293">
        <v>39693.6666666667</v>
      </c>
      <c r="N5" s="293">
        <v>40391.9166666667</v>
      </c>
      <c r="O5" s="293">
        <v>41090.1666666667</v>
      </c>
      <c r="P5" s="293">
        <v>41788.6666666667</v>
      </c>
      <c r="Q5" s="291"/>
      <c r="R5" s="291"/>
    </row>
    <row r="6" ht="14" spans="1:18">
      <c r="A6" s="293" t="s">
        <v>1571</v>
      </c>
      <c r="B6" s="293">
        <v>32532.1666666667</v>
      </c>
      <c r="C6" s="293">
        <v>33445.1666666667</v>
      </c>
      <c r="D6" s="293">
        <v>34358.3333333333</v>
      </c>
      <c r="E6" s="293">
        <v>35271.25</v>
      </c>
      <c r="F6" s="293">
        <v>36184.25</v>
      </c>
      <c r="G6" s="293">
        <v>37097.4166666667</v>
      </c>
      <c r="H6" s="294">
        <v>38010.3333333333</v>
      </c>
      <c r="I6" s="293">
        <v>38923.4166666667</v>
      </c>
      <c r="J6" s="293">
        <v>39836.4166666667</v>
      </c>
      <c r="K6" s="293">
        <v>40749.4166666667</v>
      </c>
      <c r="L6" s="293">
        <v>41662.5</v>
      </c>
      <c r="M6" s="293">
        <v>42575.5</v>
      </c>
      <c r="N6" s="293">
        <v>43488.6666666667</v>
      </c>
      <c r="O6" s="293">
        <v>44401.5833333333</v>
      </c>
      <c r="P6" s="293">
        <v>45314.5833333333</v>
      </c>
      <c r="Q6" s="291"/>
      <c r="R6" s="291"/>
    </row>
    <row r="7" ht="14" spans="1:18">
      <c r="A7" s="293" t="s">
        <v>1572</v>
      </c>
      <c r="B7" s="293">
        <v>32976.25</v>
      </c>
      <c r="C7" s="293">
        <v>34098.4166666667</v>
      </c>
      <c r="D7" s="293">
        <v>35220.6666666667</v>
      </c>
      <c r="E7" s="293">
        <v>36343</v>
      </c>
      <c r="F7" s="293">
        <v>37465.1666666667</v>
      </c>
      <c r="G7" s="293">
        <v>38587.4166666667</v>
      </c>
      <c r="H7" s="294">
        <v>39709.6666666667</v>
      </c>
      <c r="I7" s="293">
        <v>40823.5833333333</v>
      </c>
      <c r="J7" s="293">
        <v>41954.0833333333</v>
      </c>
      <c r="K7" s="293">
        <v>43076.4166666667</v>
      </c>
      <c r="L7" s="293">
        <v>44198.6666666667</v>
      </c>
      <c r="M7" s="293">
        <v>45445.8333333333</v>
      </c>
      <c r="N7" s="293">
        <v>46443.1666666667</v>
      </c>
      <c r="O7" s="293">
        <v>47565.3333333333</v>
      </c>
      <c r="P7" s="293">
        <v>48687.5</v>
      </c>
      <c r="Q7" s="291"/>
      <c r="R7" s="291"/>
    </row>
    <row r="8" ht="14" spans="1:18">
      <c r="A8" s="293" t="s">
        <v>1573</v>
      </c>
      <c r="B8" s="293">
        <v>34542.5</v>
      </c>
      <c r="C8" s="293">
        <v>35890.8333333333</v>
      </c>
      <c r="D8" s="293">
        <v>37238.9166666667</v>
      </c>
      <c r="E8" s="293">
        <v>38587.1666666667</v>
      </c>
      <c r="F8" s="293">
        <v>39935.5</v>
      </c>
      <c r="G8" s="293">
        <v>41283.75</v>
      </c>
      <c r="H8" s="294">
        <v>42631.9166666667</v>
      </c>
      <c r="I8" s="293">
        <v>43980</v>
      </c>
      <c r="J8" s="293">
        <v>45328.3333333333</v>
      </c>
      <c r="K8" s="293">
        <v>46676.4166666667</v>
      </c>
      <c r="L8" s="293">
        <v>48024.6666666667</v>
      </c>
      <c r="M8" s="293">
        <v>49373</v>
      </c>
      <c r="N8" s="293">
        <v>50721.1666666667</v>
      </c>
      <c r="O8" s="293">
        <v>52069.4166666667</v>
      </c>
      <c r="P8" s="293">
        <v>53417.5</v>
      </c>
      <c r="Q8" s="291"/>
      <c r="R8" s="291"/>
    </row>
    <row r="9" ht="14" spans="1:18">
      <c r="A9" s="293" t="s">
        <v>1574</v>
      </c>
      <c r="B9" s="293">
        <v>39140.3333333333</v>
      </c>
      <c r="C9" s="293">
        <v>40706.5833333333</v>
      </c>
      <c r="D9" s="293">
        <v>42272.8333333333</v>
      </c>
      <c r="E9" s="293">
        <v>43839.0833333333</v>
      </c>
      <c r="F9" s="293">
        <v>45405.5</v>
      </c>
      <c r="G9" s="293">
        <v>46971.75</v>
      </c>
      <c r="H9" s="294">
        <v>48538</v>
      </c>
      <c r="I9" s="293">
        <v>50104.4166666667</v>
      </c>
      <c r="J9" s="293">
        <v>51670.6666666667</v>
      </c>
      <c r="K9" s="293">
        <v>53236.9166666667</v>
      </c>
      <c r="L9" s="293">
        <v>54803.1666666667</v>
      </c>
      <c r="M9" s="293">
        <v>56369.5833333333</v>
      </c>
      <c r="N9" s="293">
        <v>57936</v>
      </c>
      <c r="O9" s="293">
        <v>59502.0833333333</v>
      </c>
      <c r="P9" s="293">
        <v>61068.3333333333</v>
      </c>
      <c r="Q9" s="291"/>
      <c r="R9" s="291"/>
    </row>
    <row r="10" ht="14" spans="1:18">
      <c r="A10" s="293" t="s">
        <v>1575</v>
      </c>
      <c r="B10" s="293">
        <v>47723.3333333333</v>
      </c>
      <c r="C10" s="293">
        <v>49632.5</v>
      </c>
      <c r="D10" s="293">
        <v>51541.75</v>
      </c>
      <c r="E10" s="293">
        <v>53450.9166666667</v>
      </c>
      <c r="F10" s="293">
        <v>55360.1666666667</v>
      </c>
      <c r="G10" s="293">
        <v>57269.4166666667</v>
      </c>
      <c r="H10" s="294">
        <v>59178.6666666667</v>
      </c>
      <c r="I10" s="293">
        <v>61087.8333333333</v>
      </c>
      <c r="J10" s="293">
        <v>62997.0833333333</v>
      </c>
      <c r="K10" s="293">
        <v>64906.25</v>
      </c>
      <c r="L10" s="293">
        <v>66815.5</v>
      </c>
      <c r="M10" s="293">
        <v>68724.6666666667</v>
      </c>
      <c r="N10" s="293">
        <v>70633.9166666667</v>
      </c>
      <c r="O10" s="293">
        <v>72543.1666666667</v>
      </c>
      <c r="P10" s="293">
        <v>74452.4166666667</v>
      </c>
      <c r="Q10" s="291"/>
      <c r="R10" s="291"/>
    </row>
    <row r="11" ht="14" spans="1:18">
      <c r="A11" s="293" t="s">
        <v>1576</v>
      </c>
      <c r="B11" s="293">
        <v>79244.5833333333</v>
      </c>
      <c r="C11" s="293">
        <v>82174.6666666667</v>
      </c>
      <c r="D11" s="293">
        <v>85104.9166666667</v>
      </c>
      <c r="E11" s="293">
        <v>88034.9166666667</v>
      </c>
      <c r="F11" s="293">
        <v>106590</v>
      </c>
      <c r="G11" s="293">
        <v>93895</v>
      </c>
      <c r="H11" s="294">
        <v>96825.1666666667</v>
      </c>
      <c r="I11" s="293">
        <v>99755.1666666667</v>
      </c>
      <c r="J11" s="293">
        <v>102685.333333333</v>
      </c>
      <c r="K11" s="293">
        <v>105615.333333333</v>
      </c>
      <c r="L11" s="293">
        <v>108545.5</v>
      </c>
      <c r="M11" s="293">
        <v>111468</v>
      </c>
      <c r="N11" s="293">
        <v>114405.666666667</v>
      </c>
      <c r="O11" s="293">
        <v>117335.833333333</v>
      </c>
      <c r="P11" s="293">
        <v>120265.833333333</v>
      </c>
      <c r="Q11" s="291"/>
      <c r="R11" s="291"/>
    </row>
    <row r="12" ht="14" spans="1:18">
      <c r="A12" s="293" t="s">
        <v>1577</v>
      </c>
      <c r="B12" s="293">
        <v>102403.75</v>
      </c>
      <c r="C12" s="293">
        <v>105891.25</v>
      </c>
      <c r="D12" s="293">
        <v>109378.75</v>
      </c>
      <c r="E12" s="293">
        <v>112866.25</v>
      </c>
      <c r="F12" s="293">
        <v>116353.666666667</v>
      </c>
      <c r="G12" s="293">
        <v>119841.166666667</v>
      </c>
      <c r="H12" s="294">
        <v>123328.666666667</v>
      </c>
      <c r="I12" s="293">
        <v>126816.166666667</v>
      </c>
      <c r="J12" s="293">
        <v>130303.666666667</v>
      </c>
      <c r="K12" s="293">
        <v>133791.166666667</v>
      </c>
      <c r="L12" s="293">
        <v>137278.666666667</v>
      </c>
      <c r="M12" s="293">
        <v>140766.166666667</v>
      </c>
      <c r="N12" s="293">
        <v>144253.666666667</v>
      </c>
      <c r="O12" s="293">
        <v>147741.166666667</v>
      </c>
      <c r="P12" s="293">
        <v>151228.666666667</v>
      </c>
      <c r="Q12" s="291"/>
      <c r="R12" s="291"/>
    </row>
    <row r="13" ht="14" spans="1:18">
      <c r="A13" s="293" t="s">
        <v>1578</v>
      </c>
      <c r="B13" s="293">
        <v>120290</v>
      </c>
      <c r="C13" s="293">
        <v>124442.166666667</v>
      </c>
      <c r="D13" s="293">
        <v>128594.583333333</v>
      </c>
      <c r="E13" s="293">
        <v>132746.75</v>
      </c>
      <c r="F13" s="293">
        <v>136899.083333333</v>
      </c>
      <c r="G13" s="293">
        <v>141051.25</v>
      </c>
      <c r="H13" s="294">
        <v>145203.666666667</v>
      </c>
      <c r="I13" s="293">
        <v>149355.833333333</v>
      </c>
      <c r="J13" s="293">
        <v>153508</v>
      </c>
      <c r="K13" s="293">
        <v>157660.333333333</v>
      </c>
      <c r="L13" s="293">
        <v>161812.5</v>
      </c>
      <c r="M13" s="293">
        <v>165964.916666667</v>
      </c>
      <c r="N13" s="293">
        <v>170117.083333333</v>
      </c>
      <c r="O13" s="293">
        <v>174269.416666667</v>
      </c>
      <c r="P13" s="293">
        <v>178421.583333333</v>
      </c>
      <c r="Q13" s="291"/>
      <c r="R13" s="291"/>
    </row>
    <row r="14" ht="14" spans="1:18">
      <c r="A14" s="293" t="s">
        <v>1579</v>
      </c>
      <c r="B14" s="293">
        <v>141204.916666667</v>
      </c>
      <c r="C14" s="293">
        <v>145770.916666667</v>
      </c>
      <c r="D14" s="293">
        <v>150337.083333333</v>
      </c>
      <c r="E14" s="293">
        <v>154903.333333333</v>
      </c>
      <c r="F14" s="293">
        <v>159469.416666667</v>
      </c>
      <c r="G14" s="293">
        <v>164035.5</v>
      </c>
      <c r="H14" s="294">
        <v>168601.583333333</v>
      </c>
      <c r="I14" s="293">
        <v>173167.666666667</v>
      </c>
      <c r="J14" s="293">
        <v>177733.75</v>
      </c>
      <c r="K14" s="293">
        <v>182299.916666667</v>
      </c>
      <c r="L14" s="293">
        <v>186865.916666667</v>
      </c>
      <c r="M14" s="293">
        <v>191432.166666667</v>
      </c>
      <c r="N14" s="293">
        <v>195998.333333333</v>
      </c>
      <c r="O14" s="293">
        <v>200564.416666667</v>
      </c>
      <c r="P14" s="293">
        <v>205130.5</v>
      </c>
      <c r="Q14" s="291"/>
      <c r="R14" s="291"/>
    </row>
    <row r="15" ht="14" spans="1:18">
      <c r="A15" s="293" t="s">
        <v>1580</v>
      </c>
      <c r="B15" s="293">
        <v>162876.25</v>
      </c>
      <c r="C15" s="293">
        <v>169958.916666667</v>
      </c>
      <c r="D15" s="293">
        <v>177039.916666667</v>
      </c>
      <c r="E15" s="293">
        <v>184124.083333333</v>
      </c>
      <c r="F15" s="293">
        <v>191206.583333333</v>
      </c>
      <c r="G15" s="293">
        <v>198289.25</v>
      </c>
      <c r="H15" s="294">
        <v>205371.75</v>
      </c>
      <c r="I15" s="293">
        <v>212454.416666667</v>
      </c>
      <c r="J15" s="293">
        <v>219536.916666667</v>
      </c>
      <c r="K15" s="293">
        <v>226619.583333333</v>
      </c>
      <c r="L15" s="293">
        <v>233702.083333333</v>
      </c>
      <c r="M15" s="293"/>
      <c r="N15" s="293"/>
      <c r="O15" s="293"/>
      <c r="P15" s="293"/>
      <c r="Q15" s="291"/>
      <c r="R15" s="291"/>
    </row>
    <row r="16" ht="14" spans="1:18">
      <c r="A16" s="293" t="s">
        <v>1581</v>
      </c>
      <c r="B16" s="293">
        <v>181786.416666667</v>
      </c>
      <c r="C16" s="293">
        <v>189274.25</v>
      </c>
      <c r="D16" s="293">
        <v>198324.583333333</v>
      </c>
      <c r="E16" s="293">
        <v>204249.916666667</v>
      </c>
      <c r="F16" s="293">
        <v>211737.666666667</v>
      </c>
      <c r="G16" s="293">
        <v>219225.5</v>
      </c>
      <c r="H16" s="294">
        <v>226713.333333333</v>
      </c>
      <c r="I16" s="293">
        <v>234201.166666667</v>
      </c>
      <c r="J16" s="293">
        <v>242001.416666667</v>
      </c>
      <c r="K16" s="293">
        <v>249176.75</v>
      </c>
      <c r="L16" s="293">
        <v>256664.583333333</v>
      </c>
      <c r="M16" s="293"/>
      <c r="N16" s="293"/>
      <c r="O16" s="293"/>
      <c r="P16" s="293"/>
      <c r="Q16" s="291"/>
      <c r="R16" s="291"/>
    </row>
    <row r="17" ht="14" spans="1:18">
      <c r="A17" s="293" t="s">
        <v>1582</v>
      </c>
      <c r="B17" s="293">
        <v>200784.083333333</v>
      </c>
      <c r="C17" s="293">
        <v>208845.166666667</v>
      </c>
      <c r="D17" s="293">
        <v>216904.666666667</v>
      </c>
      <c r="E17" s="293">
        <v>224967.166666667</v>
      </c>
      <c r="F17" s="293">
        <v>233028.333333333</v>
      </c>
      <c r="G17" s="293">
        <v>241089.25</v>
      </c>
      <c r="H17" s="294">
        <v>249153.416666667</v>
      </c>
      <c r="I17" s="293">
        <v>257211.25</v>
      </c>
      <c r="J17" s="293">
        <v>265272.416666667</v>
      </c>
      <c r="K17" s="293">
        <v>273333.416666667</v>
      </c>
      <c r="L17" s="293">
        <v>281394.416666667</v>
      </c>
      <c r="M17" s="293"/>
      <c r="N17" s="293"/>
      <c r="O17" s="293"/>
      <c r="P17" s="293"/>
      <c r="Q17" s="291"/>
      <c r="R17" s="291"/>
    </row>
    <row r="18" ht="14" spans="1:18">
      <c r="A18" s="293" t="s">
        <v>1583</v>
      </c>
      <c r="B18" s="293">
        <v>276221.25</v>
      </c>
      <c r="C18" s="293">
        <v>287637.833333333</v>
      </c>
      <c r="D18" s="293">
        <v>299054.25</v>
      </c>
      <c r="E18" s="293">
        <v>312760.25</v>
      </c>
      <c r="F18" s="293">
        <v>321887.166666667</v>
      </c>
      <c r="G18" s="293">
        <v>333303.75</v>
      </c>
      <c r="H18" s="294">
        <v>344720.166666667</v>
      </c>
      <c r="I18" s="293">
        <v>356136.75</v>
      </c>
      <c r="J18" s="293">
        <v>367553.166666667</v>
      </c>
      <c r="K18" s="293"/>
      <c r="L18" s="293"/>
      <c r="M18" s="293"/>
      <c r="N18" s="293"/>
      <c r="O18" s="293"/>
      <c r="P18" s="293"/>
      <c r="Q18" s="291"/>
      <c r="R18" s="291"/>
    </row>
    <row r="19" ht="14" spans="1:18">
      <c r="A19" s="293" t="s">
        <v>1584</v>
      </c>
      <c r="B19" s="293">
        <v>341699.583333333</v>
      </c>
      <c r="C19" s="293">
        <v>355420.166666667</v>
      </c>
      <c r="D19" s="293">
        <v>369154.916666667</v>
      </c>
      <c r="E19" s="293">
        <v>382861.416666667</v>
      </c>
      <c r="F19" s="293">
        <v>396582.083333333</v>
      </c>
      <c r="G19" s="293">
        <v>410302.666666667</v>
      </c>
      <c r="H19" s="294">
        <v>424023.333333333</v>
      </c>
      <c r="I19" s="293">
        <v>437743.916666667</v>
      </c>
      <c r="J19" s="293">
        <v>451464.583333333</v>
      </c>
      <c r="K19" s="293"/>
      <c r="L19" s="293"/>
      <c r="M19" s="293"/>
      <c r="N19" s="293"/>
      <c r="O19" s="293"/>
      <c r="P19" s="293"/>
      <c r="Q19" s="291"/>
      <c r="R19" s="291"/>
    </row>
    <row r="20" ht="14" spans="1:18">
      <c r="A20" s="293" t="s">
        <v>1585</v>
      </c>
      <c r="B20" s="293">
        <v>652000</v>
      </c>
      <c r="C20" s="293">
        <v>676776.166666667</v>
      </c>
      <c r="D20" s="293">
        <v>701552.166666667</v>
      </c>
      <c r="E20" s="293">
        <v>726328.333333333</v>
      </c>
      <c r="F20" s="293">
        <v>751104.416666667</v>
      </c>
      <c r="G20" s="293">
        <v>775880.5</v>
      </c>
      <c r="H20" s="294">
        <v>800656.583333333</v>
      </c>
      <c r="I20" s="293">
        <v>825432.666666667</v>
      </c>
      <c r="J20" s="293">
        <v>850208.75</v>
      </c>
      <c r="K20" s="293"/>
      <c r="L20" s="293"/>
      <c r="M20" s="293"/>
      <c r="N20" s="293"/>
      <c r="O20" s="293"/>
      <c r="P20" s="293"/>
      <c r="Q20" s="291"/>
      <c r="R20" s="291"/>
    </row>
    <row r="21" ht="14" spans="1:18">
      <c r="A21" s="293"/>
      <c r="B21" s="293"/>
      <c r="C21" s="293"/>
      <c r="D21" s="293"/>
      <c r="E21" s="293"/>
      <c r="F21" s="293"/>
      <c r="G21" s="293"/>
      <c r="H21" s="294"/>
      <c r="I21" s="293"/>
      <c r="J21" s="293"/>
      <c r="K21" s="293"/>
      <c r="L21" s="293"/>
      <c r="M21" s="293"/>
      <c r="N21" s="293"/>
      <c r="O21" s="293"/>
      <c r="P21" s="293"/>
      <c r="Q21" s="291"/>
      <c r="R21" s="291"/>
    </row>
    <row r="22" ht="13" spans="1:18">
      <c r="A22" s="291"/>
      <c r="B22" s="291"/>
      <c r="C22" s="291"/>
      <c r="D22" s="291"/>
      <c r="E22" s="291"/>
      <c r="F22" s="291"/>
      <c r="G22" s="291"/>
      <c r="H22" s="295"/>
      <c r="I22" s="291"/>
      <c r="J22" s="214"/>
      <c r="K22" s="291"/>
      <c r="L22" s="291"/>
      <c r="M22" s="291"/>
      <c r="N22" s="291"/>
      <c r="O22" s="291"/>
      <c r="P22" s="291"/>
      <c r="Q22" s="291"/>
      <c r="R22" s="291"/>
    </row>
    <row r="23" spans="1:18">
      <c r="D23" s="213"/>
      <c r="F23" s="213"/>
      <c r="H23" s="296"/>
    </row>
    <row r="24" spans="1:18">
      <c r="H24" s="296"/>
    </row>
    <row r="25" spans="1:18">
      <c r="H25" s="296"/>
    </row>
    <row r="26" spans="1:18">
      <c r="H26" s="296"/>
    </row>
    <row r="27" spans="1:18">
      <c r="H27" s="296"/>
    </row>
    <row r="28" spans="1:18">
      <c r="H28" s="296"/>
    </row>
    <row r="29" spans="1:18">
      <c r="H29" s="296"/>
    </row>
    <row r="30" spans="1:18">
      <c r="H30" s="296"/>
    </row>
    <row r="31" spans="1:18">
      <c r="H31" s="296"/>
    </row>
    <row r="32" spans="1:1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64"/>
      <c r="K1" s="264"/>
    </row>
    <row r="2" ht="14" spans="1:11">
      <c r="A2" s="275" t="s">
        <v>904</v>
      </c>
      <c r="B2" s="275"/>
      <c r="C2" s="275"/>
      <c r="D2" s="275"/>
      <c r="E2" s="275"/>
      <c r="F2" s="275"/>
      <c r="G2" s="275"/>
      <c r="H2" s="275"/>
      <c r="I2" s="275"/>
      <c r="J2" s="265"/>
      <c r="K2" s="265"/>
    </row>
    <row r="3" ht="23.25" customHeight="1" spans="1:11">
      <c r="A3" s="276" t="s">
        <v>1586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11">
      <c r="A5" s="277" t="s">
        <v>22</v>
      </c>
      <c r="B5" s="277" t="s">
        <v>2</v>
      </c>
      <c r="C5" s="277" t="s">
        <v>3</v>
      </c>
      <c r="D5" s="278" t="s">
        <v>4</v>
      </c>
      <c r="E5" s="278" t="s">
        <v>1587</v>
      </c>
      <c r="F5" s="278" t="s">
        <v>1588</v>
      </c>
      <c r="G5" s="278" t="s">
        <v>1589</v>
      </c>
      <c r="H5" s="278" t="s">
        <v>1590</v>
      </c>
      <c r="I5" s="279" t="s">
        <v>1591</v>
      </c>
    </row>
    <row r="6" spans="1:11">
      <c r="B6" s="273" t="s">
        <v>23</v>
      </c>
    </row>
    <row r="7" spans="1:11">
      <c r="A7" s="280">
        <v>1</v>
      </c>
      <c r="B7" s="280" t="s">
        <v>24</v>
      </c>
      <c r="C7" s="280" t="s">
        <v>25</v>
      </c>
      <c r="D7" s="280" t="s">
        <v>945</v>
      </c>
      <c r="E7" s="281">
        <v>35000</v>
      </c>
      <c r="F7" s="281">
        <v>35000</v>
      </c>
      <c r="G7" s="281">
        <v>35000</v>
      </c>
      <c r="H7" s="281">
        <v>35000</v>
      </c>
      <c r="I7" s="281">
        <f>E7+F7+G7+H7</f>
        <v>140000</v>
      </c>
    </row>
    <row r="8" spans="1:11">
      <c r="A8" s="280">
        <v>2</v>
      </c>
      <c r="B8" s="282" t="s">
        <v>1592</v>
      </c>
      <c r="C8" s="280" t="s">
        <v>1593</v>
      </c>
      <c r="D8" s="280" t="s">
        <v>36</v>
      </c>
      <c r="E8" s="281">
        <v>35000</v>
      </c>
      <c r="F8" s="281">
        <v>35000</v>
      </c>
      <c r="G8" s="281">
        <v>35000</v>
      </c>
      <c r="H8" s="281">
        <v>35000</v>
      </c>
      <c r="I8" s="281">
        <f t="shared" ref="I8:I27" si="0">E8+F8+G8+H8</f>
        <v>140000</v>
      </c>
    </row>
    <row r="9" spans="1:11">
      <c r="A9" s="280">
        <v>3</v>
      </c>
      <c r="B9" s="280" t="s">
        <v>27</v>
      </c>
      <c r="C9" s="280" t="s">
        <v>28</v>
      </c>
      <c r="D9" s="280" t="s">
        <v>29</v>
      </c>
      <c r="E9" s="281">
        <v>35000</v>
      </c>
      <c r="F9" s="281">
        <v>35000</v>
      </c>
      <c r="G9" s="281">
        <v>35000</v>
      </c>
      <c r="H9" s="281">
        <v>35000</v>
      </c>
      <c r="I9" s="281">
        <f t="shared" si="0"/>
        <v>140000</v>
      </c>
    </row>
    <row r="10" spans="1:11">
      <c r="A10" s="280">
        <v>4</v>
      </c>
      <c r="B10" s="280" t="s">
        <v>30</v>
      </c>
      <c r="C10" s="280" t="s">
        <v>31</v>
      </c>
      <c r="D10" s="280" t="s">
        <v>210</v>
      </c>
      <c r="E10" s="281">
        <v>35000</v>
      </c>
      <c r="F10" s="281">
        <v>35000</v>
      </c>
      <c r="G10" s="281">
        <v>35000</v>
      </c>
      <c r="H10" s="281">
        <v>35000</v>
      </c>
      <c r="I10" s="281">
        <f t="shared" si="0"/>
        <v>140000</v>
      </c>
    </row>
    <row r="11" spans="1:11">
      <c r="A11" s="280">
        <v>5</v>
      </c>
      <c r="B11" s="280" t="s">
        <v>227</v>
      </c>
      <c r="C11" s="280" t="s">
        <v>1594</v>
      </c>
      <c r="D11" s="280" t="s">
        <v>210</v>
      </c>
      <c r="E11" s="281">
        <v>35000</v>
      </c>
      <c r="F11" s="281">
        <v>35000</v>
      </c>
      <c r="G11" s="281">
        <v>35000</v>
      </c>
      <c r="H11" s="281">
        <v>35000</v>
      </c>
      <c r="I11" s="281">
        <f t="shared" si="0"/>
        <v>140000</v>
      </c>
    </row>
    <row r="12" spans="1:11">
      <c r="A12" s="280">
        <v>6</v>
      </c>
      <c r="B12" s="280" t="s">
        <v>32</v>
      </c>
      <c r="C12" s="280" t="s">
        <v>33</v>
      </c>
      <c r="D12" s="280" t="s">
        <v>210</v>
      </c>
      <c r="E12" s="281">
        <v>35000</v>
      </c>
      <c r="F12" s="281">
        <v>35000</v>
      </c>
      <c r="G12" s="281">
        <v>35000</v>
      </c>
      <c r="H12" s="281">
        <v>35000</v>
      </c>
      <c r="I12" s="281">
        <f t="shared" si="0"/>
        <v>140000</v>
      </c>
    </row>
    <row r="13" spans="1:11">
      <c r="A13" s="280">
        <v>7</v>
      </c>
      <c r="B13" s="280" t="s">
        <v>300</v>
      </c>
      <c r="C13" s="280" t="s">
        <v>907</v>
      </c>
      <c r="D13" s="280" t="s">
        <v>210</v>
      </c>
      <c r="E13" s="281">
        <v>35000</v>
      </c>
      <c r="F13" s="281">
        <v>35000</v>
      </c>
      <c r="G13" s="281">
        <v>35000</v>
      </c>
      <c r="H13" s="281">
        <v>35000</v>
      </c>
      <c r="I13" s="281">
        <f t="shared" si="0"/>
        <v>140000</v>
      </c>
    </row>
    <row r="14" spans="1:11">
      <c r="A14" s="280">
        <v>8</v>
      </c>
      <c r="B14" s="280" t="s">
        <v>34</v>
      </c>
      <c r="C14" s="280" t="s">
        <v>910</v>
      </c>
      <c r="D14" s="280" t="s">
        <v>39</v>
      </c>
      <c r="E14" s="281">
        <v>35000</v>
      </c>
      <c r="F14" s="281">
        <v>35000</v>
      </c>
      <c r="G14" s="281">
        <v>35000</v>
      </c>
      <c r="H14" s="281">
        <v>35000</v>
      </c>
      <c r="I14" s="281">
        <f t="shared" si="0"/>
        <v>140000</v>
      </c>
    </row>
    <row r="15" spans="1:11">
      <c r="A15" s="280">
        <v>9</v>
      </c>
      <c r="B15" s="280" t="s">
        <v>1595</v>
      </c>
      <c r="C15" s="280" t="s">
        <v>643</v>
      </c>
      <c r="D15" s="280" t="s">
        <v>47</v>
      </c>
      <c r="E15" s="281">
        <v>35000</v>
      </c>
      <c r="F15" s="281">
        <v>35000</v>
      </c>
      <c r="G15" s="281">
        <v>35000</v>
      </c>
      <c r="H15" s="281">
        <v>35000</v>
      </c>
      <c r="I15" s="281">
        <f t="shared" si="0"/>
        <v>140000</v>
      </c>
    </row>
    <row r="16" spans="1:11">
      <c r="A16" s="280">
        <v>11</v>
      </c>
      <c r="B16" s="280" t="s">
        <v>40</v>
      </c>
      <c r="C16" s="280" t="s">
        <v>643</v>
      </c>
      <c r="D16" s="280" t="s">
        <v>47</v>
      </c>
      <c r="E16" s="281">
        <v>35000</v>
      </c>
      <c r="F16" s="281">
        <v>35000</v>
      </c>
      <c r="G16" s="281">
        <v>35000</v>
      </c>
      <c r="H16" s="281">
        <v>35000</v>
      </c>
      <c r="I16" s="281">
        <f t="shared" si="0"/>
        <v>140000</v>
      </c>
    </row>
    <row r="17" spans="1:9">
      <c r="A17" s="280">
        <v>12</v>
      </c>
      <c r="B17" s="280" t="s">
        <v>51</v>
      </c>
      <c r="C17" s="280" t="s">
        <v>61</v>
      </c>
      <c r="D17" s="280" t="s">
        <v>218</v>
      </c>
      <c r="E17" s="281">
        <v>35000</v>
      </c>
      <c r="F17" s="281">
        <v>35000</v>
      </c>
      <c r="G17" s="281">
        <v>35000</v>
      </c>
      <c r="H17" s="281">
        <v>35000</v>
      </c>
      <c r="I17" s="281">
        <f t="shared" si="0"/>
        <v>140000</v>
      </c>
    </row>
    <row r="18" spans="1:9">
      <c r="A18" s="280">
        <v>13</v>
      </c>
      <c r="B18" s="280" t="s">
        <v>54</v>
      </c>
      <c r="C18" s="280" t="s">
        <v>55</v>
      </c>
      <c r="D18" s="280" t="s">
        <v>602</v>
      </c>
      <c r="E18" s="281">
        <v>35000</v>
      </c>
      <c r="F18" s="281">
        <v>35000</v>
      </c>
      <c r="G18" s="281">
        <v>35000</v>
      </c>
      <c r="H18" s="281">
        <v>35000</v>
      </c>
      <c r="I18" s="281">
        <f t="shared" si="0"/>
        <v>140000</v>
      </c>
    </row>
    <row r="19" spans="1:9">
      <c r="A19" s="280">
        <v>14</v>
      </c>
      <c r="B19" s="280" t="s">
        <v>65</v>
      </c>
      <c r="C19" s="280" t="s">
        <v>178</v>
      </c>
      <c r="D19" s="280" t="s">
        <v>131</v>
      </c>
      <c r="E19" s="281">
        <v>35000</v>
      </c>
      <c r="F19" s="281">
        <v>35000</v>
      </c>
      <c r="G19" s="281">
        <v>35000</v>
      </c>
      <c r="H19" s="281">
        <v>35000</v>
      </c>
      <c r="I19" s="281">
        <f t="shared" si="0"/>
        <v>140000</v>
      </c>
    </row>
    <row r="20" spans="1:9">
      <c r="A20" s="280">
        <v>16</v>
      </c>
      <c r="B20" s="280" t="s">
        <v>79</v>
      </c>
      <c r="C20" s="280" t="s">
        <v>94</v>
      </c>
      <c r="D20" s="280" t="s">
        <v>99</v>
      </c>
      <c r="E20" s="281">
        <v>35000</v>
      </c>
      <c r="F20" s="281">
        <v>35000</v>
      </c>
      <c r="G20" s="281">
        <v>35000</v>
      </c>
      <c r="H20" s="281">
        <v>35000</v>
      </c>
      <c r="I20" s="281">
        <f t="shared" si="0"/>
        <v>140000</v>
      </c>
    </row>
    <row r="21" spans="1:9">
      <c r="A21" s="280">
        <v>17</v>
      </c>
      <c r="B21" s="280" t="s">
        <v>1596</v>
      </c>
      <c r="C21" s="280" t="s">
        <v>1597</v>
      </c>
      <c r="D21" s="280" t="s">
        <v>99</v>
      </c>
      <c r="E21" s="281">
        <v>35000</v>
      </c>
      <c r="F21" s="281">
        <v>35000</v>
      </c>
      <c r="G21" s="281">
        <v>35000</v>
      </c>
      <c r="H21" s="281">
        <v>35000</v>
      </c>
      <c r="I21" s="281">
        <f t="shared" si="0"/>
        <v>140000</v>
      </c>
    </row>
    <row r="22" spans="1:9">
      <c r="A22" s="280">
        <v>18</v>
      </c>
      <c r="B22" s="280" t="s">
        <v>84</v>
      </c>
      <c r="C22" s="280" t="s">
        <v>1544</v>
      </c>
      <c r="D22" s="280" t="s">
        <v>105</v>
      </c>
      <c r="E22" s="281">
        <v>35000</v>
      </c>
      <c r="F22" s="281">
        <v>35000</v>
      </c>
      <c r="G22" s="281">
        <v>35000</v>
      </c>
      <c r="H22" s="281">
        <v>35000</v>
      </c>
      <c r="I22" s="281">
        <f t="shared" si="0"/>
        <v>140000</v>
      </c>
    </row>
    <row r="23" spans="1:9">
      <c r="A23" s="280">
        <v>19</v>
      </c>
      <c r="B23" s="280" t="s">
        <v>87</v>
      </c>
      <c r="C23" s="280" t="s">
        <v>1598</v>
      </c>
      <c r="D23" s="280" t="s">
        <v>105</v>
      </c>
      <c r="E23" s="281">
        <v>35000</v>
      </c>
      <c r="F23" s="281">
        <v>35000</v>
      </c>
      <c r="G23" s="281">
        <v>35000</v>
      </c>
      <c r="H23" s="281">
        <v>35000</v>
      </c>
      <c r="I23" s="281">
        <f t="shared" si="0"/>
        <v>140000</v>
      </c>
    </row>
    <row r="24" spans="1:9">
      <c r="A24" s="280">
        <v>20</v>
      </c>
      <c r="B24" s="280" t="s">
        <v>91</v>
      </c>
      <c r="C24" s="280" t="s">
        <v>646</v>
      </c>
      <c r="D24" s="280" t="s">
        <v>99</v>
      </c>
      <c r="E24" s="281">
        <v>35000</v>
      </c>
      <c r="F24" s="281">
        <v>35000</v>
      </c>
      <c r="G24" s="281">
        <v>35000</v>
      </c>
      <c r="H24" s="281">
        <v>35000</v>
      </c>
      <c r="I24" s="281">
        <f t="shared" si="0"/>
        <v>140000</v>
      </c>
    </row>
    <row r="25" spans="1:9">
      <c r="A25" s="280">
        <v>21</v>
      </c>
      <c r="B25" s="280" t="s">
        <v>95</v>
      </c>
      <c r="C25" s="280" t="s">
        <v>647</v>
      </c>
      <c r="D25" s="280" t="s">
        <v>111</v>
      </c>
      <c r="E25" s="281">
        <v>35000</v>
      </c>
      <c r="F25" s="281">
        <v>35000</v>
      </c>
      <c r="G25" s="281">
        <v>35000</v>
      </c>
      <c r="H25" s="281">
        <v>35000</v>
      </c>
      <c r="I25" s="281">
        <f t="shared" si="0"/>
        <v>140000</v>
      </c>
    </row>
    <row r="26" spans="1:9">
      <c r="A26" s="280">
        <v>22</v>
      </c>
      <c r="B26" s="280" t="s">
        <v>1525</v>
      </c>
      <c r="C26" s="280" t="s">
        <v>104</v>
      </c>
      <c r="D26" s="280" t="s">
        <v>111</v>
      </c>
      <c r="E26" s="281">
        <v>35000</v>
      </c>
      <c r="F26" s="281">
        <v>35000</v>
      </c>
      <c r="G26" s="281">
        <v>35000</v>
      </c>
      <c r="H26" s="281">
        <v>35000</v>
      </c>
      <c r="I26" s="281">
        <f t="shared" si="0"/>
        <v>140000</v>
      </c>
    </row>
    <row r="27" spans="1:9">
      <c r="A27" s="280">
        <v>23</v>
      </c>
      <c r="B27" s="280" t="s">
        <v>103</v>
      </c>
      <c r="C27" s="280" t="s">
        <v>104</v>
      </c>
      <c r="D27" s="280" t="s">
        <v>275</v>
      </c>
      <c r="E27" s="283">
        <v>35000</v>
      </c>
      <c r="F27" s="283">
        <v>35000</v>
      </c>
      <c r="G27" s="283">
        <v>35000</v>
      </c>
      <c r="H27" s="283">
        <v>35000</v>
      </c>
      <c r="I27" s="283">
        <f t="shared" si="0"/>
        <v>140000</v>
      </c>
    </row>
    <row r="28" spans="1:9">
      <c r="A28" s="280"/>
      <c r="B28" s="284" t="s">
        <v>1599</v>
      </c>
      <c r="C28" s="280"/>
      <c r="D28" s="280"/>
      <c r="E28" s="285">
        <f>SUM(E7:E27)</f>
        <v>735000</v>
      </c>
      <c r="F28" s="285">
        <f>SUM(F7:F27)</f>
        <v>735000</v>
      </c>
      <c r="G28" s="285">
        <f>SUM(G7:G27)</f>
        <v>735000</v>
      </c>
      <c r="H28" s="285">
        <f>SUM(H7:H27)</f>
        <v>735000</v>
      </c>
      <c r="I28" s="285">
        <f>SUM(I7:I27)</f>
        <v>2940000</v>
      </c>
    </row>
    <row r="29" spans="1:9">
      <c r="E29" s="271"/>
      <c r="F29" s="271"/>
      <c r="G29" s="271"/>
      <c r="H29" s="271"/>
      <c r="I29" s="271"/>
    </row>
    <row r="30" spans="1:9">
      <c r="B30" s="273" t="s">
        <v>121</v>
      </c>
      <c r="E30" s="271"/>
      <c r="F30" s="271"/>
      <c r="G30" s="271"/>
      <c r="H30" s="271"/>
      <c r="I30" s="271"/>
    </row>
    <row r="31" spans="1:9">
      <c r="A31" s="280">
        <v>1</v>
      </c>
      <c r="B31" s="280" t="s">
        <v>122</v>
      </c>
      <c r="C31" s="280" t="s">
        <v>123</v>
      </c>
      <c r="D31" s="280" t="s">
        <v>124</v>
      </c>
      <c r="E31" s="281">
        <v>35000</v>
      </c>
      <c r="F31" s="281">
        <v>35000</v>
      </c>
      <c r="G31" s="281">
        <v>35000</v>
      </c>
      <c r="H31" s="281">
        <v>35000</v>
      </c>
      <c r="I31" s="281">
        <f>E31+F31+G31+H31</f>
        <v>140000</v>
      </c>
    </row>
    <row r="32" spans="1:9">
      <c r="A32" s="280">
        <v>2</v>
      </c>
      <c r="B32" s="280" t="s">
        <v>127</v>
      </c>
      <c r="C32" s="280" t="s">
        <v>1137</v>
      </c>
      <c r="D32" s="280" t="s">
        <v>275</v>
      </c>
      <c r="E32" s="283">
        <v>35000</v>
      </c>
      <c r="F32" s="283">
        <v>35000</v>
      </c>
      <c r="G32" s="283">
        <v>35000</v>
      </c>
      <c r="H32" s="283">
        <v>35000</v>
      </c>
      <c r="I32" s="281">
        <f>E32+F32+G32+H32</f>
        <v>140000</v>
      </c>
    </row>
    <row r="33" spans="1:9">
      <c r="A33" s="280"/>
      <c r="B33" s="284" t="s">
        <v>1600</v>
      </c>
      <c r="C33" s="280"/>
      <c r="D33" s="280"/>
      <c r="E33" s="285">
        <f>SUM(E31:E32)</f>
        <v>70000</v>
      </c>
      <c r="F33" s="285">
        <f t="shared" ref="F33:I33" si="1">SUM(F31:F32)</f>
        <v>70000</v>
      </c>
      <c r="G33" s="285">
        <f t="shared" si="1"/>
        <v>70000</v>
      </c>
      <c r="H33" s="285">
        <f t="shared" si="1"/>
        <v>70000</v>
      </c>
      <c r="I33" s="285">
        <f t="shared" si="1"/>
        <v>280000</v>
      </c>
    </row>
    <row r="34" spans="1:9">
      <c r="E34" s="271"/>
      <c r="F34" s="271"/>
      <c r="G34" s="271"/>
      <c r="H34" s="271"/>
      <c r="I34" s="271"/>
    </row>
    <row r="35" spans="1:9">
      <c r="B35" s="273" t="s">
        <v>137</v>
      </c>
      <c r="E35" s="271"/>
      <c r="F35" s="271"/>
      <c r="G35" s="271"/>
      <c r="H35" s="271"/>
      <c r="I35" s="271"/>
    </row>
    <row r="36" spans="1:9">
      <c r="A36" s="280">
        <v>1</v>
      </c>
      <c r="B36" s="280" t="s">
        <v>912</v>
      </c>
      <c r="C36" s="280" t="s">
        <v>913</v>
      </c>
      <c r="D36" s="280" t="s">
        <v>124</v>
      </c>
      <c r="E36" s="281">
        <v>35000</v>
      </c>
      <c r="F36" s="281">
        <v>35000</v>
      </c>
      <c r="G36" s="281">
        <v>35000</v>
      </c>
      <c r="H36" s="281">
        <v>35000</v>
      </c>
      <c r="I36" s="281">
        <f>E36+F36+G36+H36</f>
        <v>140000</v>
      </c>
    </row>
    <row r="37" spans="1:9">
      <c r="A37" s="280">
        <v>2</v>
      </c>
      <c r="B37" s="280" t="s">
        <v>914</v>
      </c>
      <c r="C37" s="280" t="s">
        <v>44</v>
      </c>
      <c r="D37" s="280" t="s">
        <v>39</v>
      </c>
      <c r="E37" s="281">
        <v>35000</v>
      </c>
      <c r="F37" s="281">
        <v>35000</v>
      </c>
      <c r="G37" s="281">
        <v>35000</v>
      </c>
      <c r="H37" s="281">
        <v>35000</v>
      </c>
      <c r="I37" s="281">
        <f t="shared" ref="I37:I48" si="2">E37+F37+G37+H37</f>
        <v>140000</v>
      </c>
    </row>
    <row r="38" spans="1:9">
      <c r="A38" s="280">
        <v>3</v>
      </c>
      <c r="B38" s="280" t="s">
        <v>138</v>
      </c>
      <c r="C38" s="280" t="s">
        <v>145</v>
      </c>
      <c r="D38" s="280" t="s">
        <v>39</v>
      </c>
      <c r="E38" s="281">
        <v>35000</v>
      </c>
      <c r="F38" s="281">
        <v>35000</v>
      </c>
      <c r="G38" s="281">
        <v>35000</v>
      </c>
      <c r="H38" s="281">
        <v>35000</v>
      </c>
      <c r="I38" s="281">
        <f t="shared" si="2"/>
        <v>140000</v>
      </c>
    </row>
    <row r="39" spans="1:9">
      <c r="A39" s="280">
        <v>4</v>
      </c>
      <c r="B39" s="280" t="s">
        <v>141</v>
      </c>
      <c r="C39" s="280" t="s">
        <v>145</v>
      </c>
      <c r="D39" s="280" t="s">
        <v>39</v>
      </c>
      <c r="E39" s="281">
        <v>35000</v>
      </c>
      <c r="F39" s="281">
        <v>35000</v>
      </c>
      <c r="G39" s="281">
        <v>35000</v>
      </c>
      <c r="H39" s="281">
        <v>35000</v>
      </c>
      <c r="I39" s="281">
        <f t="shared" si="2"/>
        <v>140000</v>
      </c>
    </row>
    <row r="40" spans="1:9">
      <c r="A40" s="280">
        <v>5</v>
      </c>
      <c r="B40" s="280" t="s">
        <v>144</v>
      </c>
      <c r="C40" s="280" t="s">
        <v>145</v>
      </c>
      <c r="D40" s="280" t="s">
        <v>50</v>
      </c>
      <c r="E40" s="281">
        <v>35000</v>
      </c>
      <c r="F40" s="281">
        <v>35000</v>
      </c>
      <c r="G40" s="281">
        <v>35000</v>
      </c>
      <c r="H40" s="281">
        <v>35000</v>
      </c>
      <c r="I40" s="281">
        <f t="shared" si="2"/>
        <v>140000</v>
      </c>
    </row>
    <row r="41" spans="1:9">
      <c r="A41" s="280">
        <v>6</v>
      </c>
      <c r="B41" s="280" t="s">
        <v>146</v>
      </c>
      <c r="C41" s="280" t="s">
        <v>46</v>
      </c>
      <c r="D41" s="280" t="s">
        <v>47</v>
      </c>
      <c r="E41" s="281">
        <v>35000</v>
      </c>
      <c r="F41" s="281">
        <v>35000</v>
      </c>
      <c r="G41" s="281">
        <v>35000</v>
      </c>
      <c r="H41" s="281">
        <v>35000</v>
      </c>
      <c r="I41" s="281">
        <f t="shared" si="2"/>
        <v>140000</v>
      </c>
    </row>
    <row r="42" spans="1:9">
      <c r="A42" s="280">
        <v>7</v>
      </c>
      <c r="B42" s="280" t="s">
        <v>147</v>
      </c>
      <c r="C42" s="280" t="s">
        <v>52</v>
      </c>
      <c r="D42" s="280" t="s">
        <v>47</v>
      </c>
      <c r="E42" s="281">
        <v>35000</v>
      </c>
      <c r="F42" s="281">
        <v>35000</v>
      </c>
      <c r="G42" s="281">
        <v>35000</v>
      </c>
      <c r="H42" s="281">
        <v>35000</v>
      </c>
      <c r="I42" s="281">
        <f t="shared" si="2"/>
        <v>140000</v>
      </c>
    </row>
    <row r="43" spans="1:9">
      <c r="A43" s="280">
        <v>8</v>
      </c>
      <c r="B43" s="280" t="s">
        <v>1601</v>
      </c>
      <c r="C43" s="280" t="s">
        <v>52</v>
      </c>
      <c r="D43" s="280" t="s">
        <v>214</v>
      </c>
      <c r="E43" s="281">
        <v>35000</v>
      </c>
      <c r="F43" s="281">
        <v>35000</v>
      </c>
      <c r="G43" s="281">
        <v>35000</v>
      </c>
      <c r="H43" s="281">
        <v>35000</v>
      </c>
      <c r="I43" s="281">
        <f t="shared" si="2"/>
        <v>140000</v>
      </c>
    </row>
    <row r="44" spans="1:9">
      <c r="A44" s="280">
        <v>9</v>
      </c>
      <c r="B44" s="280" t="s">
        <v>45</v>
      </c>
      <c r="C44" s="280" t="s">
        <v>927</v>
      </c>
      <c r="D44" s="280" t="s">
        <v>601</v>
      </c>
      <c r="E44" s="281">
        <v>35000</v>
      </c>
      <c r="F44" s="281">
        <v>35000</v>
      </c>
      <c r="G44" s="281">
        <v>35000</v>
      </c>
      <c r="H44" s="281">
        <v>35000</v>
      </c>
      <c r="I44" s="281">
        <f t="shared" si="2"/>
        <v>140000</v>
      </c>
    </row>
    <row r="45" spans="1:9">
      <c r="A45" s="280">
        <v>10</v>
      </c>
      <c r="B45" s="280" t="s">
        <v>151</v>
      </c>
      <c r="C45" s="280" t="s">
        <v>152</v>
      </c>
      <c r="D45" s="280" t="s">
        <v>81</v>
      </c>
      <c r="E45" s="281">
        <v>35000</v>
      </c>
      <c r="F45" s="281">
        <v>35000</v>
      </c>
      <c r="G45" s="281">
        <v>35000</v>
      </c>
      <c r="H45" s="281">
        <v>35000</v>
      </c>
      <c r="I45" s="281">
        <f t="shared" si="2"/>
        <v>140000</v>
      </c>
    </row>
    <row r="46" spans="1:9">
      <c r="A46" s="280">
        <v>11</v>
      </c>
      <c r="B46" s="280" t="s">
        <v>155</v>
      </c>
      <c r="C46" s="280" t="s">
        <v>152</v>
      </c>
      <c r="D46" s="280" t="s">
        <v>225</v>
      </c>
      <c r="E46" s="281">
        <v>35000</v>
      </c>
      <c r="F46" s="281">
        <v>35000</v>
      </c>
      <c r="G46" s="281">
        <v>35000</v>
      </c>
      <c r="H46" s="281">
        <v>35000</v>
      </c>
      <c r="I46" s="281">
        <f t="shared" si="2"/>
        <v>140000</v>
      </c>
    </row>
    <row r="47" spans="1:9">
      <c r="A47" s="280">
        <v>12</v>
      </c>
      <c r="B47" s="280" t="s">
        <v>915</v>
      </c>
      <c r="C47" s="280" t="s">
        <v>152</v>
      </c>
      <c r="D47" s="280" t="s">
        <v>225</v>
      </c>
      <c r="E47" s="281">
        <v>35000</v>
      </c>
      <c r="F47" s="281">
        <v>35000</v>
      </c>
      <c r="G47" s="281">
        <v>35000</v>
      </c>
      <c r="H47" s="281">
        <v>35000</v>
      </c>
      <c r="I47" s="281">
        <f t="shared" si="2"/>
        <v>140000</v>
      </c>
    </row>
    <row r="48" spans="1:9">
      <c r="A48" s="280">
        <v>13</v>
      </c>
      <c r="B48" s="280" t="s">
        <v>157</v>
      </c>
      <c r="C48" s="280" t="s">
        <v>152</v>
      </c>
      <c r="D48" s="280" t="s">
        <v>225</v>
      </c>
      <c r="E48" s="283">
        <v>35000</v>
      </c>
      <c r="F48" s="283">
        <v>35000</v>
      </c>
      <c r="G48" s="283">
        <v>35000</v>
      </c>
      <c r="H48" s="283">
        <v>35000</v>
      </c>
      <c r="I48" s="283">
        <f t="shared" si="2"/>
        <v>140000</v>
      </c>
    </row>
    <row r="49" spans="1:9">
      <c r="A49" s="280"/>
      <c r="B49" s="284" t="s">
        <v>1602</v>
      </c>
      <c r="C49" s="280"/>
      <c r="D49" s="280"/>
      <c r="E49" s="285">
        <f>SUM(E36:E48)</f>
        <v>455000</v>
      </c>
      <c r="F49" s="285">
        <f t="shared" ref="F49:I49" si="3">SUM(F36:F48)</f>
        <v>455000</v>
      </c>
      <c r="G49" s="285">
        <f t="shared" si="3"/>
        <v>455000</v>
      </c>
      <c r="H49" s="285">
        <f t="shared" si="3"/>
        <v>455000</v>
      </c>
      <c r="I49" s="285">
        <f t="shared" si="3"/>
        <v>1820000</v>
      </c>
    </row>
    <row r="50" spans="1:9">
      <c r="E50" s="271"/>
      <c r="F50" s="271"/>
      <c r="G50" s="271"/>
      <c r="H50" s="271"/>
      <c r="I50" s="271"/>
    </row>
    <row r="51" spans="1:9">
      <c r="B51" s="273" t="s">
        <v>159</v>
      </c>
      <c r="E51" s="271"/>
      <c r="F51" s="271"/>
      <c r="G51" s="271"/>
      <c r="H51" s="271"/>
      <c r="I51" s="271"/>
    </row>
    <row r="52" spans="1:9">
      <c r="A52" s="280">
        <v>1</v>
      </c>
      <c r="B52" s="282" t="s">
        <v>916</v>
      </c>
      <c r="C52" s="280" t="s">
        <v>161</v>
      </c>
      <c r="D52" s="280" t="s">
        <v>124</v>
      </c>
      <c r="E52" s="281">
        <v>35000</v>
      </c>
      <c r="F52" s="281">
        <v>35000</v>
      </c>
      <c r="G52" s="281">
        <v>35000</v>
      </c>
      <c r="H52" s="281">
        <v>35000</v>
      </c>
      <c r="I52" s="281">
        <f>E52+F52+G52+H52</f>
        <v>140000</v>
      </c>
    </row>
    <row r="53" spans="1:9">
      <c r="A53" s="280">
        <v>2</v>
      </c>
      <c r="B53" s="280" t="s">
        <v>162</v>
      </c>
      <c r="C53" s="280" t="s">
        <v>485</v>
      </c>
      <c r="D53" s="280" t="s">
        <v>925</v>
      </c>
      <c r="E53" s="283">
        <v>35000</v>
      </c>
      <c r="F53" s="283">
        <v>35000</v>
      </c>
      <c r="G53" s="283">
        <v>35000</v>
      </c>
      <c r="H53" s="283">
        <v>35000</v>
      </c>
      <c r="I53" s="283">
        <f>E53+F53+G53+H53</f>
        <v>140000</v>
      </c>
    </row>
    <row r="54" spans="1:9">
      <c r="A54" s="280"/>
      <c r="B54" s="284" t="s">
        <v>1603</v>
      </c>
      <c r="C54" s="280"/>
      <c r="D54" s="280"/>
      <c r="E54" s="285">
        <f>SUM(E52:E53)</f>
        <v>70000</v>
      </c>
      <c r="F54" s="285">
        <f t="shared" ref="F54:I54" si="4">SUM(F52:F53)</f>
        <v>70000</v>
      </c>
      <c r="G54" s="285">
        <f t="shared" si="4"/>
        <v>70000</v>
      </c>
      <c r="H54" s="285">
        <f t="shared" si="4"/>
        <v>70000</v>
      </c>
      <c r="I54" s="285">
        <f t="shared" si="4"/>
        <v>280000</v>
      </c>
    </row>
    <row r="55" spans="1:9">
      <c r="E55" s="271"/>
      <c r="F55" s="271"/>
      <c r="G55" s="271"/>
      <c r="H55" s="271"/>
      <c r="I55" s="271"/>
    </row>
    <row r="56" spans="1:9">
      <c r="B56" s="273" t="s">
        <v>164</v>
      </c>
      <c r="E56" s="271"/>
      <c r="F56" s="271"/>
      <c r="G56" s="271"/>
      <c r="H56" s="271"/>
      <c r="I56" s="271"/>
    </row>
    <row r="57" spans="1:9">
      <c r="A57" s="280">
        <v>1</v>
      </c>
      <c r="B57" s="280" t="s">
        <v>917</v>
      </c>
      <c r="C57" s="280" t="s">
        <v>918</v>
      </c>
      <c r="D57" s="280" t="s">
        <v>124</v>
      </c>
      <c r="E57" s="281">
        <v>35000</v>
      </c>
      <c r="F57" s="281">
        <v>35000</v>
      </c>
      <c r="G57" s="281">
        <v>35000</v>
      </c>
      <c r="H57" s="281">
        <v>35000</v>
      </c>
      <c r="I57" s="281">
        <f>E57+F57+G57+H57</f>
        <v>140000</v>
      </c>
    </row>
    <row r="58" spans="1:9">
      <c r="A58" s="280">
        <v>2</v>
      </c>
      <c r="B58" s="280" t="s">
        <v>919</v>
      </c>
      <c r="C58" s="280" t="s">
        <v>920</v>
      </c>
      <c r="D58" s="280" t="s">
        <v>1532</v>
      </c>
      <c r="E58" s="281">
        <v>35000</v>
      </c>
      <c r="F58" s="281">
        <v>35000</v>
      </c>
      <c r="G58" s="281">
        <v>35000</v>
      </c>
      <c r="H58" s="281">
        <v>35000</v>
      </c>
      <c r="I58" s="281">
        <f t="shared" ref="I58:I68" si="5">E58+F58+G58+H58</f>
        <v>140000</v>
      </c>
    </row>
    <row r="59" spans="1:9">
      <c r="A59" s="280">
        <v>3</v>
      </c>
      <c r="B59" s="280" t="s">
        <v>167</v>
      </c>
      <c r="C59" s="280" t="s">
        <v>217</v>
      </c>
      <c r="D59" s="280" t="s">
        <v>601</v>
      </c>
      <c r="E59" s="281">
        <v>35000</v>
      </c>
      <c r="F59" s="281">
        <v>35000</v>
      </c>
      <c r="G59" s="281">
        <v>35000</v>
      </c>
      <c r="H59" s="281">
        <v>35000</v>
      </c>
      <c r="I59" s="281">
        <f t="shared" si="5"/>
        <v>140000</v>
      </c>
    </row>
    <row r="60" spans="1:9">
      <c r="A60" s="280">
        <v>4</v>
      </c>
      <c r="B60" s="280" t="s">
        <v>921</v>
      </c>
      <c r="C60" s="280" t="s">
        <v>217</v>
      </c>
      <c r="D60" s="280" t="s">
        <v>218</v>
      </c>
      <c r="E60" s="281">
        <v>35000</v>
      </c>
      <c r="F60" s="281">
        <v>35000</v>
      </c>
      <c r="G60" s="281">
        <v>35000</v>
      </c>
      <c r="H60" s="281">
        <v>35000</v>
      </c>
      <c r="I60" s="281">
        <f t="shared" si="5"/>
        <v>140000</v>
      </c>
    </row>
    <row r="61" spans="1:9">
      <c r="A61" s="280">
        <v>5</v>
      </c>
      <c r="B61" s="280" t="s">
        <v>922</v>
      </c>
      <c r="C61" s="280" t="s">
        <v>52</v>
      </c>
      <c r="D61" s="280" t="s">
        <v>47</v>
      </c>
      <c r="E61" s="281">
        <v>35000</v>
      </c>
      <c r="F61" s="281">
        <v>35000</v>
      </c>
      <c r="G61" s="281">
        <v>35000</v>
      </c>
      <c r="H61" s="281">
        <v>35000</v>
      </c>
      <c r="I61" s="281">
        <f t="shared" si="5"/>
        <v>140000</v>
      </c>
    </row>
    <row r="62" spans="1:9">
      <c r="A62" s="280">
        <v>6</v>
      </c>
      <c r="B62" s="280" t="s">
        <v>43</v>
      </c>
      <c r="C62" s="280" t="s">
        <v>52</v>
      </c>
      <c r="D62" s="280" t="s">
        <v>214</v>
      </c>
      <c r="E62" s="281">
        <v>35000</v>
      </c>
      <c r="F62" s="281">
        <v>35000</v>
      </c>
      <c r="G62" s="281">
        <v>35000</v>
      </c>
      <c r="H62" s="281">
        <v>35000</v>
      </c>
      <c r="I62" s="281">
        <f t="shared" si="5"/>
        <v>140000</v>
      </c>
    </row>
    <row r="63" spans="1:9">
      <c r="A63" s="280">
        <v>7</v>
      </c>
      <c r="B63" s="280" t="s">
        <v>171</v>
      </c>
      <c r="C63" s="280" t="s">
        <v>152</v>
      </c>
      <c r="D63" s="280" t="s">
        <v>180</v>
      </c>
      <c r="E63" s="281">
        <v>35000</v>
      </c>
      <c r="F63" s="281">
        <v>35000</v>
      </c>
      <c r="G63" s="281">
        <v>35000</v>
      </c>
      <c r="H63" s="281">
        <v>35000</v>
      </c>
      <c r="I63" s="281">
        <f t="shared" si="5"/>
        <v>140000</v>
      </c>
    </row>
    <row r="64" spans="1:9">
      <c r="A64" s="280">
        <v>8</v>
      </c>
      <c r="B64" s="280" t="s">
        <v>172</v>
      </c>
      <c r="C64" s="280" t="s">
        <v>72</v>
      </c>
      <c r="D64" s="280" t="s">
        <v>180</v>
      </c>
      <c r="E64" s="281">
        <v>35000</v>
      </c>
      <c r="F64" s="281">
        <v>35000</v>
      </c>
      <c r="G64" s="281">
        <v>35000</v>
      </c>
      <c r="H64" s="281">
        <v>35000</v>
      </c>
      <c r="I64" s="281">
        <f t="shared" si="5"/>
        <v>140000</v>
      </c>
    </row>
    <row r="65" spans="1:9">
      <c r="A65" s="280">
        <v>9</v>
      </c>
      <c r="B65" s="280" t="s">
        <v>174</v>
      </c>
      <c r="C65" s="280" t="s">
        <v>72</v>
      </c>
      <c r="D65" s="280" t="s">
        <v>180</v>
      </c>
      <c r="E65" s="281">
        <v>35000</v>
      </c>
      <c r="F65" s="281">
        <v>35000</v>
      </c>
      <c r="G65" s="281">
        <v>35000</v>
      </c>
      <c r="H65" s="281">
        <v>35000</v>
      </c>
      <c r="I65" s="281">
        <f t="shared" si="5"/>
        <v>140000</v>
      </c>
    </row>
    <row r="66" spans="1:9">
      <c r="A66" s="280">
        <v>10</v>
      </c>
      <c r="B66" s="280" t="s">
        <v>175</v>
      </c>
      <c r="C66" s="280" t="s">
        <v>649</v>
      </c>
      <c r="D66" s="280" t="s">
        <v>131</v>
      </c>
      <c r="E66" s="281">
        <v>35000</v>
      </c>
      <c r="F66" s="281">
        <v>35000</v>
      </c>
      <c r="G66" s="281">
        <v>35000</v>
      </c>
      <c r="H66" s="281">
        <v>35000</v>
      </c>
      <c r="I66" s="281">
        <f t="shared" si="5"/>
        <v>140000</v>
      </c>
    </row>
    <row r="67" spans="1:9">
      <c r="A67" s="280">
        <v>11</v>
      </c>
      <c r="B67" s="280" t="s">
        <v>82</v>
      </c>
      <c r="C67" s="280" t="s">
        <v>69</v>
      </c>
      <c r="D67" s="280" t="s">
        <v>99</v>
      </c>
      <c r="E67" s="281">
        <v>35000</v>
      </c>
      <c r="F67" s="281">
        <v>35000</v>
      </c>
      <c r="G67" s="281">
        <v>35000</v>
      </c>
      <c r="H67" s="281">
        <v>35000</v>
      </c>
      <c r="I67" s="281">
        <f t="shared" si="5"/>
        <v>140000</v>
      </c>
    </row>
    <row r="68" spans="1:9">
      <c r="A68" s="280">
        <v>12</v>
      </c>
      <c r="B68" s="280" t="s">
        <v>68</v>
      </c>
      <c r="C68" s="280" t="s">
        <v>69</v>
      </c>
      <c r="D68" s="280" t="s">
        <v>111</v>
      </c>
      <c r="E68" s="283">
        <v>35000</v>
      </c>
      <c r="F68" s="283">
        <v>35000</v>
      </c>
      <c r="G68" s="283">
        <v>35000</v>
      </c>
      <c r="H68" s="283">
        <v>35000</v>
      </c>
      <c r="I68" s="283">
        <f t="shared" si="5"/>
        <v>140000</v>
      </c>
    </row>
    <row r="69" spans="1:9">
      <c r="A69" s="280"/>
      <c r="B69" s="284" t="s">
        <v>1604</v>
      </c>
      <c r="C69" s="280"/>
      <c r="D69" s="280"/>
      <c r="E69" s="285">
        <f>SUM(E57:E68)</f>
        <v>420000</v>
      </c>
      <c r="F69" s="285">
        <f t="shared" ref="F69:I69" si="6">SUM(F57:F68)</f>
        <v>420000</v>
      </c>
      <c r="G69" s="285">
        <f t="shared" si="6"/>
        <v>420000</v>
      </c>
      <c r="H69" s="285">
        <f t="shared" si="6"/>
        <v>420000</v>
      </c>
      <c r="I69" s="285">
        <f t="shared" si="6"/>
        <v>1680000</v>
      </c>
    </row>
    <row r="70" spans="1:9">
      <c r="E70" s="271"/>
      <c r="F70" s="271"/>
      <c r="G70" s="271"/>
      <c r="H70" s="271"/>
      <c r="I70" s="271"/>
    </row>
    <row r="71" spans="1:9">
      <c r="B71" s="273" t="s">
        <v>183</v>
      </c>
      <c r="E71" s="271"/>
      <c r="F71" s="271"/>
      <c r="G71" s="271"/>
      <c r="H71" s="271"/>
      <c r="I71" s="271"/>
    </row>
    <row r="72" spans="1:9">
      <c r="A72" s="280">
        <v>1</v>
      </c>
      <c r="B72" s="280" t="s">
        <v>184</v>
      </c>
      <c r="C72" s="280" t="s">
        <v>185</v>
      </c>
      <c r="D72" s="280" t="s">
        <v>124</v>
      </c>
      <c r="E72" s="281">
        <v>35000</v>
      </c>
      <c r="F72" s="281">
        <v>35000</v>
      </c>
      <c r="G72" s="281">
        <v>35000</v>
      </c>
      <c r="H72" s="281">
        <v>35000</v>
      </c>
      <c r="I72" s="281">
        <f>E72+F72+G72+H72</f>
        <v>140000</v>
      </c>
    </row>
    <row r="73" spans="1:9">
      <c r="A73" s="280">
        <v>2</v>
      </c>
      <c r="B73" s="280" t="s">
        <v>923</v>
      </c>
      <c r="C73" s="280" t="s">
        <v>924</v>
      </c>
      <c r="D73" s="280" t="s">
        <v>1532</v>
      </c>
      <c r="E73" s="281">
        <v>35000</v>
      </c>
      <c r="F73" s="281">
        <v>35000</v>
      </c>
      <c r="G73" s="281">
        <v>35000</v>
      </c>
      <c r="H73" s="281">
        <v>35000</v>
      </c>
      <c r="I73" s="281">
        <f t="shared" ref="I73:I78" si="7">E73+F73+G73+H73</f>
        <v>140000</v>
      </c>
    </row>
    <row r="74" spans="1:9">
      <c r="A74" s="280">
        <v>3</v>
      </c>
      <c r="B74" s="280" t="s">
        <v>186</v>
      </c>
      <c r="C74" s="280" t="s">
        <v>926</v>
      </c>
      <c r="D74" s="280" t="s">
        <v>925</v>
      </c>
      <c r="E74" s="281">
        <v>35000</v>
      </c>
      <c r="F74" s="281">
        <v>35000</v>
      </c>
      <c r="G74" s="281">
        <v>35000</v>
      </c>
      <c r="H74" s="281">
        <v>35000</v>
      </c>
      <c r="I74" s="281">
        <f t="shared" si="7"/>
        <v>140000</v>
      </c>
    </row>
    <row r="75" spans="1:9">
      <c r="A75" s="280">
        <v>4</v>
      </c>
      <c r="B75" s="280" t="s">
        <v>190</v>
      </c>
      <c r="C75" s="280" t="s">
        <v>1545</v>
      </c>
      <c r="D75" s="280" t="s">
        <v>601</v>
      </c>
      <c r="E75" s="281">
        <v>35000</v>
      </c>
      <c r="F75" s="281">
        <v>35000</v>
      </c>
      <c r="G75" s="281">
        <v>35000</v>
      </c>
      <c r="H75" s="281">
        <v>35000</v>
      </c>
      <c r="I75" s="281">
        <f t="shared" si="7"/>
        <v>140000</v>
      </c>
    </row>
    <row r="76" spans="1:9">
      <c r="A76" s="280">
        <v>5</v>
      </c>
      <c r="B76" s="280" t="s">
        <v>197</v>
      </c>
      <c r="C76" s="280" t="s">
        <v>182</v>
      </c>
      <c r="D76" s="280" t="s">
        <v>75</v>
      </c>
      <c r="E76" s="281">
        <v>35000</v>
      </c>
      <c r="F76" s="281">
        <v>35000</v>
      </c>
      <c r="G76" s="281">
        <v>35000</v>
      </c>
      <c r="H76" s="281">
        <v>35000</v>
      </c>
      <c r="I76" s="281">
        <f t="shared" si="7"/>
        <v>140000</v>
      </c>
    </row>
    <row r="77" spans="1:9">
      <c r="A77" s="280">
        <v>6</v>
      </c>
      <c r="B77" s="280" t="s">
        <v>201</v>
      </c>
      <c r="C77" s="280" t="s">
        <v>182</v>
      </c>
      <c r="D77" s="280" t="s">
        <v>225</v>
      </c>
      <c r="E77" s="281">
        <v>35000</v>
      </c>
      <c r="F77" s="281">
        <v>35000</v>
      </c>
      <c r="G77" s="281">
        <v>35000</v>
      </c>
      <c r="H77" s="281">
        <v>35000</v>
      </c>
      <c r="I77" s="281">
        <f t="shared" si="7"/>
        <v>140000</v>
      </c>
    </row>
    <row r="78" spans="1:9">
      <c r="A78" s="280">
        <v>7</v>
      </c>
      <c r="B78" s="280" t="s">
        <v>203</v>
      </c>
      <c r="C78" s="280" t="s">
        <v>204</v>
      </c>
      <c r="D78" s="280" t="s">
        <v>275</v>
      </c>
      <c r="E78" s="283">
        <v>35000</v>
      </c>
      <c r="F78" s="283">
        <v>35000</v>
      </c>
      <c r="G78" s="283">
        <v>35000</v>
      </c>
      <c r="H78" s="283">
        <v>35000</v>
      </c>
      <c r="I78" s="283">
        <f t="shared" si="7"/>
        <v>140000</v>
      </c>
    </row>
    <row r="79" spans="1:9">
      <c r="A79" s="280"/>
      <c r="B79" s="284" t="s">
        <v>1605</v>
      </c>
      <c r="C79" s="280"/>
      <c r="D79" s="280"/>
      <c r="E79" s="285">
        <f>SUM(E72:E78)</f>
        <v>245000</v>
      </c>
      <c r="F79" s="285">
        <f t="shared" ref="F79:I79" si="8">SUM(F72:F78)</f>
        <v>245000</v>
      </c>
      <c r="G79" s="285">
        <f t="shared" si="8"/>
        <v>245000</v>
      </c>
      <c r="H79" s="285">
        <f t="shared" si="8"/>
        <v>245000</v>
      </c>
      <c r="I79" s="285">
        <f t="shared" si="8"/>
        <v>980000</v>
      </c>
    </row>
    <row r="80" spans="1:9">
      <c r="E80" s="271"/>
      <c r="F80" s="271"/>
      <c r="G80" s="271"/>
      <c r="H80" s="271"/>
      <c r="I80" s="271"/>
    </row>
    <row r="81" spans="1:9">
      <c r="B81" s="273" t="s">
        <v>205</v>
      </c>
      <c r="E81" s="271"/>
      <c r="F81" s="271"/>
      <c r="G81" s="271"/>
      <c r="H81" s="271"/>
      <c r="I81" s="271"/>
    </row>
    <row r="82" spans="1:9">
      <c r="A82" s="280">
        <v>1</v>
      </c>
      <c r="B82" s="280" t="s">
        <v>208</v>
      </c>
      <c r="C82" s="280" t="s">
        <v>145</v>
      </c>
      <c r="D82" s="280" t="s">
        <v>39</v>
      </c>
      <c r="E82" s="281">
        <v>35000</v>
      </c>
      <c r="F82" s="281">
        <v>35000</v>
      </c>
      <c r="G82" s="281">
        <v>35000</v>
      </c>
      <c r="H82" s="281">
        <v>35000</v>
      </c>
      <c r="I82" s="281">
        <f t="shared" ref="I82:I92" si="9">35000*4</f>
        <v>140000</v>
      </c>
    </row>
    <row r="83" spans="1:9">
      <c r="A83" s="280">
        <v>2</v>
      </c>
      <c r="B83" s="280" t="s">
        <v>206</v>
      </c>
      <c r="C83" s="280" t="s">
        <v>145</v>
      </c>
      <c r="D83" s="280" t="s">
        <v>39</v>
      </c>
      <c r="E83" s="281">
        <v>35000</v>
      </c>
      <c r="F83" s="281">
        <v>35000</v>
      </c>
      <c r="G83" s="281">
        <v>35000</v>
      </c>
      <c r="H83" s="281">
        <v>35000</v>
      </c>
      <c r="I83" s="281">
        <f t="shared" si="9"/>
        <v>140000</v>
      </c>
    </row>
    <row r="84" spans="1:9">
      <c r="A84" s="280">
        <v>3</v>
      </c>
      <c r="B84" s="280" t="s">
        <v>165</v>
      </c>
      <c r="C84" s="280" t="s">
        <v>52</v>
      </c>
      <c r="D84" s="280" t="s">
        <v>192</v>
      </c>
      <c r="E84" s="281">
        <v>35000</v>
      </c>
      <c r="F84" s="281">
        <v>35000</v>
      </c>
      <c r="G84" s="281">
        <v>35000</v>
      </c>
      <c r="H84" s="281">
        <v>35000</v>
      </c>
      <c r="I84" s="281">
        <f t="shared" si="9"/>
        <v>140000</v>
      </c>
    </row>
    <row r="85" spans="1:9">
      <c r="A85" s="280">
        <v>4</v>
      </c>
      <c r="B85" s="280" t="s">
        <v>479</v>
      </c>
      <c r="C85" s="280" t="s">
        <v>46</v>
      </c>
      <c r="D85" s="280" t="s">
        <v>47</v>
      </c>
      <c r="E85" s="281">
        <v>35000</v>
      </c>
      <c r="F85" s="281">
        <v>35000</v>
      </c>
      <c r="G85" s="281">
        <v>35000</v>
      </c>
      <c r="H85" s="281">
        <v>35000</v>
      </c>
      <c r="I85" s="281">
        <f t="shared" si="9"/>
        <v>140000</v>
      </c>
    </row>
    <row r="86" spans="1:9">
      <c r="A86" s="280">
        <v>5</v>
      </c>
      <c r="B86" s="280" t="s">
        <v>211</v>
      </c>
      <c r="C86" s="280" t="s">
        <v>927</v>
      </c>
      <c r="D86" s="280" t="s">
        <v>601</v>
      </c>
      <c r="E86" s="281">
        <v>35000</v>
      </c>
      <c r="F86" s="281">
        <v>35000</v>
      </c>
      <c r="G86" s="281">
        <v>35000</v>
      </c>
      <c r="H86" s="281">
        <v>35000</v>
      </c>
      <c r="I86" s="281">
        <f t="shared" si="9"/>
        <v>140000</v>
      </c>
    </row>
    <row r="87" spans="1:9">
      <c r="A87" s="280">
        <v>6</v>
      </c>
      <c r="B87" s="280" t="s">
        <v>212</v>
      </c>
      <c r="C87" s="280" t="s">
        <v>217</v>
      </c>
      <c r="D87" s="280" t="s">
        <v>218</v>
      </c>
      <c r="E87" s="281">
        <v>35000</v>
      </c>
      <c r="F87" s="281">
        <v>35000</v>
      </c>
      <c r="G87" s="281">
        <v>35000</v>
      </c>
      <c r="H87" s="281">
        <v>35000</v>
      </c>
      <c r="I87" s="281">
        <f t="shared" si="9"/>
        <v>140000</v>
      </c>
    </row>
    <row r="88" spans="1:9">
      <c r="A88" s="280">
        <v>7</v>
      </c>
      <c r="B88" s="280" t="s">
        <v>213</v>
      </c>
      <c r="C88" s="280" t="s">
        <v>217</v>
      </c>
      <c r="D88" s="280" t="s">
        <v>218</v>
      </c>
      <c r="E88" s="281">
        <v>35000</v>
      </c>
      <c r="F88" s="281">
        <v>35000</v>
      </c>
      <c r="G88" s="281">
        <v>35000</v>
      </c>
      <c r="H88" s="281">
        <v>35000</v>
      </c>
      <c r="I88" s="281">
        <f t="shared" si="9"/>
        <v>140000</v>
      </c>
    </row>
    <row r="89" spans="1:9">
      <c r="A89" s="280">
        <v>8</v>
      </c>
      <c r="B89" s="280" t="s">
        <v>215</v>
      </c>
      <c r="C89" s="280" t="s">
        <v>72</v>
      </c>
      <c r="D89" s="280" t="s">
        <v>180</v>
      </c>
      <c r="E89" s="281">
        <v>35000</v>
      </c>
      <c r="F89" s="281">
        <v>35000</v>
      </c>
      <c r="G89" s="281">
        <v>35000</v>
      </c>
      <c r="H89" s="281">
        <v>35000</v>
      </c>
      <c r="I89" s="281">
        <f t="shared" si="9"/>
        <v>140000</v>
      </c>
    </row>
    <row r="90" spans="1:9">
      <c r="A90" s="280">
        <v>9</v>
      </c>
      <c r="B90" s="280" t="s">
        <v>216</v>
      </c>
      <c r="C90" s="280" t="s">
        <v>72</v>
      </c>
      <c r="D90" s="280" t="s">
        <v>180</v>
      </c>
      <c r="E90" s="281">
        <v>35000</v>
      </c>
      <c r="F90" s="281">
        <v>35000</v>
      </c>
      <c r="G90" s="281">
        <v>35000</v>
      </c>
      <c r="H90" s="281">
        <v>35000</v>
      </c>
      <c r="I90" s="281">
        <f t="shared" si="9"/>
        <v>140000</v>
      </c>
    </row>
    <row r="91" spans="1:9">
      <c r="A91" s="280">
        <v>10</v>
      </c>
      <c r="B91" s="280" t="s">
        <v>220</v>
      </c>
      <c r="C91" s="280" t="s">
        <v>221</v>
      </c>
      <c r="D91" s="280" t="s">
        <v>81</v>
      </c>
      <c r="E91" s="281">
        <v>35000</v>
      </c>
      <c r="F91" s="281">
        <v>35000</v>
      </c>
      <c r="G91" s="281">
        <v>35000</v>
      </c>
      <c r="H91" s="281">
        <v>35000</v>
      </c>
      <c r="I91" s="281">
        <f t="shared" si="9"/>
        <v>140000</v>
      </c>
    </row>
    <row r="92" spans="1:9">
      <c r="A92" s="280">
        <v>11</v>
      </c>
      <c r="B92" s="280" t="s">
        <v>224</v>
      </c>
      <c r="C92" s="280" t="s">
        <v>505</v>
      </c>
      <c r="D92" s="280" t="s">
        <v>111</v>
      </c>
      <c r="E92" s="283">
        <v>35000</v>
      </c>
      <c r="F92" s="283">
        <v>35000</v>
      </c>
      <c r="G92" s="283">
        <v>35000</v>
      </c>
      <c r="H92" s="283">
        <v>35000</v>
      </c>
      <c r="I92" s="283">
        <f t="shared" si="9"/>
        <v>140000</v>
      </c>
    </row>
    <row r="93" spans="1:9">
      <c r="A93" s="280"/>
      <c r="B93" s="284" t="s">
        <v>1606</v>
      </c>
      <c r="C93" s="280"/>
      <c r="D93" s="280"/>
      <c r="E93" s="285">
        <f>SUM(E82:E92)</f>
        <v>385000</v>
      </c>
      <c r="F93" s="285">
        <f t="shared" ref="F93:I93" si="10">SUM(F82:F92)</f>
        <v>385000</v>
      </c>
      <c r="G93" s="285">
        <f t="shared" si="10"/>
        <v>385000</v>
      </c>
      <c r="H93" s="285">
        <f t="shared" si="10"/>
        <v>385000</v>
      </c>
      <c r="I93" s="285">
        <f t="shared" si="10"/>
        <v>1540000</v>
      </c>
    </row>
    <row r="94" spans="1:9">
      <c r="E94" s="271"/>
      <c r="F94" s="271"/>
      <c r="G94" s="271"/>
      <c r="H94" s="271"/>
      <c r="I94" s="271"/>
    </row>
    <row r="95" spans="1:9">
      <c r="B95" s="273" t="s">
        <v>226</v>
      </c>
      <c r="E95" s="271"/>
      <c r="F95" s="271"/>
      <c r="G95" s="271"/>
      <c r="H95" s="271"/>
      <c r="I95" s="271"/>
    </row>
    <row r="96" spans="1:9">
      <c r="A96" s="280">
        <v>1</v>
      </c>
      <c r="B96" s="280" t="s">
        <v>908</v>
      </c>
      <c r="C96" s="280" t="s">
        <v>909</v>
      </c>
      <c r="D96" s="280" t="s">
        <v>210</v>
      </c>
      <c r="E96" s="281">
        <v>35000</v>
      </c>
      <c r="F96" s="281">
        <v>35000</v>
      </c>
      <c r="G96" s="281">
        <v>35000</v>
      </c>
      <c r="H96" s="281">
        <v>35000</v>
      </c>
      <c r="I96" s="281">
        <f>E96+F96+G96+H96</f>
        <v>140000</v>
      </c>
    </row>
    <row r="97" spans="1:9">
      <c r="A97" s="280">
        <v>2</v>
      </c>
      <c r="B97" s="280" t="s">
        <v>37</v>
      </c>
      <c r="C97" s="280" t="s">
        <v>230</v>
      </c>
      <c r="D97" s="280" t="s">
        <v>47</v>
      </c>
      <c r="E97" s="281">
        <v>35000</v>
      </c>
      <c r="F97" s="281">
        <v>35000</v>
      </c>
      <c r="G97" s="281">
        <v>35000</v>
      </c>
      <c r="H97" s="281">
        <v>35000</v>
      </c>
      <c r="I97" s="281">
        <f t="shared" ref="I97:I99" si="11">E97+F97+G97+H97</f>
        <v>140000</v>
      </c>
    </row>
    <row r="98" spans="1:9">
      <c r="A98" s="280">
        <v>3</v>
      </c>
      <c r="B98" s="280" t="s">
        <v>235</v>
      </c>
      <c r="C98" s="280" t="s">
        <v>651</v>
      </c>
      <c r="D98" s="280" t="s">
        <v>131</v>
      </c>
      <c r="E98" s="281">
        <v>35000</v>
      </c>
      <c r="F98" s="281">
        <v>35000</v>
      </c>
      <c r="G98" s="281">
        <v>35000</v>
      </c>
      <c r="H98" s="281">
        <v>35000</v>
      </c>
      <c r="I98" s="281">
        <f t="shared" si="11"/>
        <v>140000</v>
      </c>
    </row>
    <row r="99" spans="1:9">
      <c r="A99" s="280">
        <v>4</v>
      </c>
      <c r="B99" s="280" t="s">
        <v>236</v>
      </c>
      <c r="C99" s="280" t="s">
        <v>1546</v>
      </c>
      <c r="D99" s="280" t="s">
        <v>105</v>
      </c>
      <c r="E99" s="283">
        <v>35000</v>
      </c>
      <c r="F99" s="283">
        <v>35000</v>
      </c>
      <c r="G99" s="283">
        <v>35000</v>
      </c>
      <c r="H99" s="283">
        <v>35000</v>
      </c>
      <c r="I99" s="283">
        <f t="shared" si="11"/>
        <v>140000</v>
      </c>
    </row>
    <row r="100" spans="1:9">
      <c r="A100" s="280"/>
      <c r="B100" s="284" t="s">
        <v>1607</v>
      </c>
      <c r="C100" s="280"/>
      <c r="D100" s="280"/>
      <c r="E100" s="285">
        <f>SUM(E96:E99)</f>
        <v>140000</v>
      </c>
      <c r="F100" s="285">
        <f t="shared" ref="F100:I100" si="12">SUM(F96:F99)</f>
        <v>140000</v>
      </c>
      <c r="G100" s="285">
        <f t="shared" si="12"/>
        <v>140000</v>
      </c>
      <c r="H100" s="285">
        <f t="shared" si="12"/>
        <v>140000</v>
      </c>
      <c r="I100" s="285">
        <f t="shared" si="12"/>
        <v>560000</v>
      </c>
    </row>
    <row r="101" spans="1:9">
      <c r="E101" s="271"/>
      <c r="F101" s="271"/>
      <c r="G101" s="271"/>
      <c r="H101" s="271"/>
      <c r="I101" s="271"/>
    </row>
    <row r="102" spans="1:9">
      <c r="B102" s="273" t="s">
        <v>239</v>
      </c>
      <c r="E102" s="271"/>
      <c r="F102" s="271"/>
      <c r="G102" s="271"/>
      <c r="H102" s="271"/>
      <c r="I102" s="271"/>
    </row>
    <row r="103" spans="1:9">
      <c r="A103" s="280">
        <v>1</v>
      </c>
      <c r="B103" s="280" t="s">
        <v>652</v>
      </c>
      <c r="C103" s="280" t="s">
        <v>241</v>
      </c>
      <c r="D103" s="280" t="s">
        <v>124</v>
      </c>
      <c r="E103" s="281">
        <f t="shared" ref="E103:E109" si="13">35000</f>
        <v>35000</v>
      </c>
      <c r="F103" s="281">
        <f t="shared" ref="F103:F109" si="14">35000</f>
        <v>35000</v>
      </c>
      <c r="G103" s="281">
        <f t="shared" ref="G103:G109" si="15">35000</f>
        <v>35000</v>
      </c>
      <c r="H103" s="281">
        <f t="shared" ref="H103:H109" si="16">35000</f>
        <v>35000</v>
      </c>
      <c r="I103" s="281">
        <f>E103+F103+G103+H103</f>
        <v>140000</v>
      </c>
    </row>
    <row r="104" spans="1:9">
      <c r="A104" s="280">
        <v>2</v>
      </c>
      <c r="B104" s="280" t="s">
        <v>242</v>
      </c>
      <c r="C104" s="280" t="s">
        <v>243</v>
      </c>
      <c r="D104" s="280" t="s">
        <v>210</v>
      </c>
      <c r="E104" s="281">
        <f t="shared" si="13"/>
        <v>35000</v>
      </c>
      <c r="F104" s="281">
        <f t="shared" si="14"/>
        <v>35000</v>
      </c>
      <c r="G104" s="281">
        <f t="shared" si="15"/>
        <v>35000</v>
      </c>
      <c r="H104" s="281">
        <f t="shared" si="16"/>
        <v>35000</v>
      </c>
      <c r="I104" s="281">
        <f t="shared" ref="I104:I109" si="17">E104+F104+G104+H104</f>
        <v>140000</v>
      </c>
    </row>
    <row r="105" spans="1:9">
      <c r="A105" s="280">
        <v>3</v>
      </c>
      <c r="B105" s="280" t="s">
        <v>244</v>
      </c>
      <c r="C105" s="280" t="s">
        <v>653</v>
      </c>
      <c r="D105" s="280" t="s">
        <v>56</v>
      </c>
      <c r="E105" s="281">
        <f t="shared" si="13"/>
        <v>35000</v>
      </c>
      <c r="F105" s="281">
        <f t="shared" si="14"/>
        <v>35000</v>
      </c>
      <c r="G105" s="281">
        <f t="shared" si="15"/>
        <v>35000</v>
      </c>
      <c r="H105" s="281">
        <f t="shared" si="16"/>
        <v>35000</v>
      </c>
      <c r="I105" s="281">
        <f t="shared" si="17"/>
        <v>140000</v>
      </c>
    </row>
    <row r="106" spans="1:9">
      <c r="A106" s="280">
        <v>4</v>
      </c>
      <c r="B106" s="280" t="s">
        <v>246</v>
      </c>
      <c r="C106" s="280" t="s">
        <v>653</v>
      </c>
      <c r="D106" s="280" t="s">
        <v>56</v>
      </c>
      <c r="E106" s="281">
        <f t="shared" si="13"/>
        <v>35000</v>
      </c>
      <c r="F106" s="281">
        <f t="shared" si="14"/>
        <v>35000</v>
      </c>
      <c r="G106" s="281">
        <f t="shared" si="15"/>
        <v>35000</v>
      </c>
      <c r="H106" s="281">
        <f t="shared" si="16"/>
        <v>35000</v>
      </c>
      <c r="I106" s="281">
        <f t="shared" si="17"/>
        <v>140000</v>
      </c>
    </row>
    <row r="107" spans="1:9">
      <c r="A107" s="280">
        <v>5</v>
      </c>
      <c r="B107" s="280" t="s">
        <v>249</v>
      </c>
      <c r="C107" s="280" t="s">
        <v>250</v>
      </c>
      <c r="D107" s="280" t="s">
        <v>506</v>
      </c>
      <c r="E107" s="281">
        <f t="shared" si="13"/>
        <v>35000</v>
      </c>
      <c r="F107" s="281">
        <f t="shared" si="14"/>
        <v>35000</v>
      </c>
      <c r="G107" s="281">
        <f t="shared" si="15"/>
        <v>35000</v>
      </c>
      <c r="H107" s="281">
        <f t="shared" si="16"/>
        <v>35000</v>
      </c>
      <c r="I107" s="281">
        <f t="shared" si="17"/>
        <v>140000</v>
      </c>
    </row>
    <row r="108" spans="1:9">
      <c r="A108" s="280">
        <v>6</v>
      </c>
      <c r="B108" s="280" t="s">
        <v>252</v>
      </c>
      <c r="C108" s="280" t="s">
        <v>250</v>
      </c>
      <c r="D108" s="280" t="s">
        <v>105</v>
      </c>
      <c r="E108" s="281">
        <f t="shared" si="13"/>
        <v>35000</v>
      </c>
      <c r="F108" s="281">
        <f t="shared" si="14"/>
        <v>35000</v>
      </c>
      <c r="G108" s="281">
        <f t="shared" si="15"/>
        <v>35000</v>
      </c>
      <c r="H108" s="281">
        <f t="shared" si="16"/>
        <v>35000</v>
      </c>
      <c r="I108" s="281">
        <f t="shared" si="17"/>
        <v>140000</v>
      </c>
    </row>
    <row r="109" spans="1:9">
      <c r="A109" s="280">
        <v>7</v>
      </c>
      <c r="B109" s="280" t="s">
        <v>253</v>
      </c>
      <c r="C109" s="280" t="s">
        <v>250</v>
      </c>
      <c r="D109" s="280" t="s">
        <v>111</v>
      </c>
      <c r="E109" s="283">
        <f t="shared" si="13"/>
        <v>35000</v>
      </c>
      <c r="F109" s="283">
        <f t="shared" si="14"/>
        <v>35000</v>
      </c>
      <c r="G109" s="283">
        <f t="shared" si="15"/>
        <v>35000</v>
      </c>
      <c r="H109" s="283">
        <f t="shared" si="16"/>
        <v>35000</v>
      </c>
      <c r="I109" s="283">
        <f t="shared" si="17"/>
        <v>140000</v>
      </c>
    </row>
    <row r="110" spans="1:9">
      <c r="A110" s="280"/>
      <c r="B110" s="284" t="s">
        <v>1608</v>
      </c>
      <c r="C110" s="280"/>
      <c r="D110" s="280"/>
      <c r="E110" s="285">
        <f>SUM(E103:E109)</f>
        <v>245000</v>
      </c>
      <c r="F110" s="285">
        <f t="shared" ref="F110:I110" si="18">SUM(F103:F109)</f>
        <v>245000</v>
      </c>
      <c r="G110" s="285">
        <f t="shared" si="18"/>
        <v>245000</v>
      </c>
      <c r="H110" s="285">
        <f t="shared" si="18"/>
        <v>245000</v>
      </c>
      <c r="I110" s="285">
        <f t="shared" si="18"/>
        <v>980000</v>
      </c>
    </row>
    <row r="111" spans="1:9">
      <c r="I111" s="286"/>
    </row>
    <row r="112" spans="1:9">
      <c r="B112" s="273" t="s">
        <v>257</v>
      </c>
      <c r="E112" s="271"/>
      <c r="F112" s="271"/>
      <c r="G112" s="271"/>
      <c r="H112" s="271"/>
      <c r="I112" s="271"/>
    </row>
    <row r="113" spans="1:9">
      <c r="A113" s="280">
        <v>1</v>
      </c>
      <c r="B113" s="280" t="s">
        <v>1609</v>
      </c>
      <c r="C113" s="280" t="s">
        <v>72</v>
      </c>
      <c r="D113" s="280" t="s">
        <v>70</v>
      </c>
      <c r="E113" s="281">
        <v>35000</v>
      </c>
      <c r="F113" s="281">
        <v>35000</v>
      </c>
      <c r="G113" s="281">
        <v>35000</v>
      </c>
      <c r="H113" s="281">
        <v>35000</v>
      </c>
      <c r="I113" s="281">
        <f>E113+F113+G113+H113</f>
        <v>140000</v>
      </c>
    </row>
    <row r="114" spans="1:9">
      <c r="A114" s="280">
        <v>2</v>
      </c>
      <c r="B114" s="280" t="s">
        <v>259</v>
      </c>
      <c r="C114" s="280" t="s">
        <v>260</v>
      </c>
      <c r="D114" s="280" t="s">
        <v>131</v>
      </c>
      <c r="E114" s="281">
        <v>35000</v>
      </c>
      <c r="F114" s="281">
        <v>35000</v>
      </c>
      <c r="G114" s="281">
        <v>35000</v>
      </c>
      <c r="H114" s="281">
        <v>35000</v>
      </c>
      <c r="I114" s="281">
        <f t="shared" ref="I114:I115" si="19">E114+F114+G114+H114</f>
        <v>140000</v>
      </c>
    </row>
    <row r="115" spans="1:9">
      <c r="A115" s="280">
        <v>3</v>
      </c>
      <c r="B115" s="280" t="s">
        <v>193</v>
      </c>
      <c r="C115" s="280" t="s">
        <v>929</v>
      </c>
      <c r="D115" s="280" t="s">
        <v>70</v>
      </c>
      <c r="E115" s="283">
        <v>35000</v>
      </c>
      <c r="F115" s="283">
        <v>35000</v>
      </c>
      <c r="G115" s="283">
        <v>35000</v>
      </c>
      <c r="H115" s="283">
        <v>35000</v>
      </c>
      <c r="I115" s="283">
        <f t="shared" si="19"/>
        <v>140000</v>
      </c>
    </row>
    <row r="116" spans="1:9">
      <c r="A116" s="280"/>
      <c r="B116" s="284" t="s">
        <v>1610</v>
      </c>
      <c r="C116" s="280"/>
      <c r="D116" s="280"/>
      <c r="E116" s="285">
        <f>SUM(E113:E115)</f>
        <v>105000</v>
      </c>
      <c r="F116" s="285">
        <f t="shared" ref="F116:I116" si="20">SUM(F113:F115)</f>
        <v>105000</v>
      </c>
      <c r="G116" s="285">
        <f t="shared" si="20"/>
        <v>105000</v>
      </c>
      <c r="H116" s="285">
        <f t="shared" si="20"/>
        <v>105000</v>
      </c>
      <c r="I116" s="285">
        <f t="shared" si="20"/>
        <v>420000</v>
      </c>
    </row>
    <row r="117" spans="1:9">
      <c r="E117" s="272"/>
      <c r="F117" s="272"/>
      <c r="G117" s="272"/>
      <c r="H117" s="272"/>
      <c r="I117" s="272"/>
    </row>
    <row r="118" spans="1:9">
      <c r="B118" s="273" t="s">
        <v>278</v>
      </c>
      <c r="E118" s="271"/>
      <c r="F118" s="271"/>
      <c r="G118" s="271"/>
      <c r="H118" s="271"/>
      <c r="I118" s="271"/>
    </row>
    <row r="119" spans="1:9">
      <c r="A119" s="280">
        <v>1</v>
      </c>
      <c r="B119" s="280" t="s">
        <v>279</v>
      </c>
      <c r="C119" s="280" t="s">
        <v>280</v>
      </c>
      <c r="D119" s="280" t="s">
        <v>124</v>
      </c>
      <c r="E119" s="281">
        <v>35000</v>
      </c>
      <c r="F119" s="281">
        <v>35000</v>
      </c>
      <c r="G119" s="281">
        <v>35000</v>
      </c>
      <c r="H119" s="281">
        <v>35000</v>
      </c>
      <c r="I119" s="281">
        <f>E119+F119+G119+H119</f>
        <v>140000</v>
      </c>
    </row>
    <row r="120" spans="1:9">
      <c r="A120" s="280">
        <v>2</v>
      </c>
      <c r="B120" s="280" t="s">
        <v>281</v>
      </c>
      <c r="C120" s="280" t="s">
        <v>655</v>
      </c>
      <c r="D120" s="280" t="s">
        <v>39</v>
      </c>
      <c r="E120" s="281">
        <v>35000</v>
      </c>
      <c r="F120" s="281">
        <v>35000</v>
      </c>
      <c r="G120" s="281">
        <v>35000</v>
      </c>
      <c r="H120" s="281">
        <v>35000</v>
      </c>
      <c r="I120" s="281">
        <f t="shared" ref="I120:I127" si="21">E120+F120+G120+H120</f>
        <v>140000</v>
      </c>
    </row>
    <row r="121" spans="1:9">
      <c r="A121" s="280">
        <v>3</v>
      </c>
      <c r="B121" s="280" t="s">
        <v>283</v>
      </c>
      <c r="C121" s="280" t="s">
        <v>655</v>
      </c>
      <c r="D121" s="280" t="s">
        <v>39</v>
      </c>
      <c r="E121" s="281">
        <v>35000</v>
      </c>
      <c r="F121" s="281">
        <v>35000</v>
      </c>
      <c r="G121" s="281">
        <v>35000</v>
      </c>
      <c r="H121" s="281">
        <v>35000</v>
      </c>
      <c r="I121" s="281">
        <f t="shared" si="21"/>
        <v>140000</v>
      </c>
    </row>
    <row r="122" spans="1:9">
      <c r="A122" s="280">
        <v>5</v>
      </c>
      <c r="B122" s="280" t="s">
        <v>286</v>
      </c>
      <c r="C122" s="280" t="s">
        <v>288</v>
      </c>
      <c r="D122" s="280" t="s">
        <v>214</v>
      </c>
      <c r="E122" s="281">
        <v>35000</v>
      </c>
      <c r="F122" s="281">
        <v>35000</v>
      </c>
      <c r="G122" s="281">
        <v>35000</v>
      </c>
      <c r="H122" s="281">
        <v>35000</v>
      </c>
      <c r="I122" s="281">
        <f t="shared" si="21"/>
        <v>140000</v>
      </c>
    </row>
    <row r="123" spans="1:9">
      <c r="A123" s="280">
        <v>6</v>
      </c>
      <c r="B123" s="280" t="s">
        <v>287</v>
      </c>
      <c r="C123" s="280" t="s">
        <v>656</v>
      </c>
      <c r="D123" s="280" t="s">
        <v>601</v>
      </c>
      <c r="E123" s="281">
        <v>35000</v>
      </c>
      <c r="F123" s="281">
        <v>35000</v>
      </c>
      <c r="G123" s="281">
        <v>35000</v>
      </c>
      <c r="H123" s="281">
        <v>35000</v>
      </c>
      <c r="I123" s="281">
        <f t="shared" si="21"/>
        <v>140000</v>
      </c>
    </row>
    <row r="124" spans="1:9">
      <c r="A124" s="280">
        <v>7</v>
      </c>
      <c r="B124" s="280" t="s">
        <v>289</v>
      </c>
      <c r="C124" s="280" t="s">
        <v>1547</v>
      </c>
      <c r="D124" s="280" t="s">
        <v>601</v>
      </c>
      <c r="E124" s="281">
        <v>35000</v>
      </c>
      <c r="F124" s="281">
        <v>35000</v>
      </c>
      <c r="G124" s="281">
        <v>35000</v>
      </c>
      <c r="H124" s="281">
        <v>35000</v>
      </c>
      <c r="I124" s="281">
        <f t="shared" si="21"/>
        <v>140000</v>
      </c>
    </row>
    <row r="125" spans="1:9">
      <c r="A125" s="280">
        <v>8</v>
      </c>
      <c r="B125" s="280" t="s">
        <v>292</v>
      </c>
      <c r="C125" s="280" t="s">
        <v>657</v>
      </c>
      <c r="D125" s="280" t="s">
        <v>99</v>
      </c>
      <c r="E125" s="281">
        <v>35000</v>
      </c>
      <c r="F125" s="281">
        <v>35000</v>
      </c>
      <c r="G125" s="281">
        <v>35000</v>
      </c>
      <c r="H125" s="281">
        <v>35000</v>
      </c>
      <c r="I125" s="281">
        <f t="shared" si="21"/>
        <v>140000</v>
      </c>
    </row>
    <row r="126" spans="1:9">
      <c r="A126" s="280">
        <v>9</v>
      </c>
      <c r="B126" s="280" t="s">
        <v>294</v>
      </c>
      <c r="C126" s="280" t="s">
        <v>295</v>
      </c>
      <c r="D126" s="280" t="s">
        <v>275</v>
      </c>
      <c r="E126" s="281">
        <v>35000</v>
      </c>
      <c r="F126" s="281">
        <v>35000</v>
      </c>
      <c r="G126" s="281">
        <v>35000</v>
      </c>
      <c r="H126" s="281">
        <v>35000</v>
      </c>
      <c r="I126" s="281">
        <f t="shared" si="21"/>
        <v>140000</v>
      </c>
    </row>
    <row r="127" spans="1:9">
      <c r="A127" s="280">
        <v>10</v>
      </c>
      <c r="B127" s="280" t="s">
        <v>296</v>
      </c>
      <c r="C127" s="280" t="s">
        <v>291</v>
      </c>
      <c r="D127" s="280" t="s">
        <v>275</v>
      </c>
      <c r="E127" s="283">
        <v>35000</v>
      </c>
      <c r="F127" s="283">
        <v>35000</v>
      </c>
      <c r="G127" s="283">
        <v>35000</v>
      </c>
      <c r="H127" s="283">
        <v>35000</v>
      </c>
      <c r="I127" s="283">
        <f t="shared" si="21"/>
        <v>140000</v>
      </c>
    </row>
    <row r="128" spans="1:9">
      <c r="A128" s="280"/>
      <c r="B128" s="284" t="s">
        <v>1611</v>
      </c>
      <c r="C128" s="280"/>
      <c r="D128" s="280"/>
      <c r="E128" s="285">
        <f>SUM(E119:E127)</f>
        <v>315000</v>
      </c>
      <c r="F128" s="285">
        <f>SUM(F119:F127)</f>
        <v>315000</v>
      </c>
      <c r="G128" s="285">
        <f>SUM(G119:G127)</f>
        <v>315000</v>
      </c>
      <c r="H128" s="285">
        <f>SUM(H119:H127)</f>
        <v>315000</v>
      </c>
      <c r="I128" s="285">
        <f>SUM(I119:I127)</f>
        <v>1260000</v>
      </c>
    </row>
    <row r="129" spans="1:9">
      <c r="E129" s="271"/>
      <c r="F129" s="271"/>
      <c r="G129" s="271"/>
      <c r="H129" s="271"/>
      <c r="I129" s="271"/>
    </row>
    <row r="130" spans="1:9">
      <c r="B130" s="273" t="s">
        <v>299</v>
      </c>
      <c r="E130" s="271"/>
      <c r="F130" s="271"/>
      <c r="G130" s="271"/>
      <c r="H130" s="271"/>
      <c r="I130" s="271"/>
    </row>
    <row r="131" spans="1:9">
      <c r="A131" s="280">
        <v>1</v>
      </c>
      <c r="B131" s="280" t="s">
        <v>931</v>
      </c>
      <c r="C131" s="280" t="s">
        <v>932</v>
      </c>
      <c r="D131" s="280" t="s">
        <v>124</v>
      </c>
      <c r="E131" s="281">
        <v>35000</v>
      </c>
      <c r="F131" s="281">
        <v>35000</v>
      </c>
      <c r="G131" s="281">
        <v>35000</v>
      </c>
      <c r="H131" s="281">
        <v>35000</v>
      </c>
      <c r="I131" s="281">
        <f>E131+F131+G131+H131</f>
        <v>140000</v>
      </c>
    </row>
    <row r="132" spans="1:9">
      <c r="A132" s="280">
        <v>3</v>
      </c>
      <c r="B132" s="280" t="s">
        <v>302</v>
      </c>
      <c r="C132" s="280" t="s">
        <v>488</v>
      </c>
      <c r="D132" s="280" t="s">
        <v>210</v>
      </c>
      <c r="E132" s="281">
        <v>35000</v>
      </c>
      <c r="F132" s="281">
        <v>35000</v>
      </c>
      <c r="G132" s="281">
        <v>35000</v>
      </c>
      <c r="H132" s="281">
        <v>35000</v>
      </c>
      <c r="I132" s="281">
        <f t="shared" ref="I132:I189" si="22">E132+F132+G132+H132</f>
        <v>140000</v>
      </c>
    </row>
    <row r="133" spans="1:9">
      <c r="A133" s="280">
        <v>4</v>
      </c>
      <c r="B133" s="280" t="s">
        <v>305</v>
      </c>
      <c r="C133" s="280" t="s">
        <v>935</v>
      </c>
      <c r="D133" s="280" t="s">
        <v>47</v>
      </c>
      <c r="E133" s="281">
        <v>35000</v>
      </c>
      <c r="F133" s="281">
        <v>35000</v>
      </c>
      <c r="G133" s="281">
        <v>35000</v>
      </c>
      <c r="H133" s="281">
        <v>35000</v>
      </c>
      <c r="I133" s="281">
        <f t="shared" si="22"/>
        <v>140000</v>
      </c>
    </row>
    <row r="134" spans="1:9">
      <c r="A134" s="280">
        <v>5</v>
      </c>
      <c r="B134" s="280" t="s">
        <v>307</v>
      </c>
      <c r="C134" s="280" t="s">
        <v>311</v>
      </c>
      <c r="D134" s="280" t="s">
        <v>47</v>
      </c>
      <c r="E134" s="281">
        <v>35000</v>
      </c>
      <c r="F134" s="281">
        <v>35000</v>
      </c>
      <c r="G134" s="281">
        <v>35000</v>
      </c>
      <c r="H134" s="281">
        <v>35000</v>
      </c>
      <c r="I134" s="281">
        <f t="shared" si="22"/>
        <v>140000</v>
      </c>
    </row>
    <row r="135" spans="1:9">
      <c r="A135" s="280">
        <v>6</v>
      </c>
      <c r="B135" s="280" t="s">
        <v>309</v>
      </c>
      <c r="C135" s="280" t="s">
        <v>311</v>
      </c>
      <c r="D135" s="280" t="s">
        <v>47</v>
      </c>
      <c r="E135" s="281">
        <v>35000</v>
      </c>
      <c r="F135" s="281">
        <v>35000</v>
      </c>
      <c r="G135" s="281">
        <v>35000</v>
      </c>
      <c r="H135" s="281">
        <v>35000</v>
      </c>
      <c r="I135" s="281">
        <f t="shared" si="22"/>
        <v>140000</v>
      </c>
    </row>
    <row r="136" spans="1:9">
      <c r="A136" s="280">
        <v>7</v>
      </c>
      <c r="B136" s="280" t="s">
        <v>229</v>
      </c>
      <c r="C136" s="280" t="s">
        <v>937</v>
      </c>
      <c r="D136" s="280" t="s">
        <v>601</v>
      </c>
      <c r="E136" s="281">
        <v>35000</v>
      </c>
      <c r="F136" s="281">
        <v>35000</v>
      </c>
      <c r="G136" s="281">
        <v>35000</v>
      </c>
      <c r="H136" s="281">
        <v>35000</v>
      </c>
      <c r="I136" s="281">
        <f t="shared" si="22"/>
        <v>140000</v>
      </c>
    </row>
    <row r="137" spans="1:9">
      <c r="A137" s="280">
        <v>8</v>
      </c>
      <c r="B137" s="280" t="s">
        <v>231</v>
      </c>
      <c r="C137" s="280" t="s">
        <v>936</v>
      </c>
      <c r="D137" s="280" t="s">
        <v>70</v>
      </c>
      <c r="E137" s="281">
        <v>35000</v>
      </c>
      <c r="F137" s="281">
        <v>35000</v>
      </c>
      <c r="G137" s="281">
        <v>35000</v>
      </c>
      <c r="H137" s="281">
        <v>35000</v>
      </c>
      <c r="I137" s="281">
        <f t="shared" si="22"/>
        <v>140000</v>
      </c>
    </row>
    <row r="138" spans="1:9">
      <c r="A138" s="280">
        <v>9</v>
      </c>
      <c r="B138" s="280" t="s">
        <v>312</v>
      </c>
      <c r="C138" s="280" t="s">
        <v>936</v>
      </c>
      <c r="D138" s="280" t="s">
        <v>70</v>
      </c>
      <c r="E138" s="281">
        <v>35000</v>
      </c>
      <c r="F138" s="281">
        <v>35000</v>
      </c>
      <c r="G138" s="281">
        <v>35000</v>
      </c>
      <c r="H138" s="281">
        <v>35000</v>
      </c>
      <c r="I138" s="281">
        <f t="shared" si="22"/>
        <v>140000</v>
      </c>
    </row>
    <row r="139" spans="1:9">
      <c r="A139" s="280">
        <v>10</v>
      </c>
      <c r="B139" s="280" t="s">
        <v>313</v>
      </c>
      <c r="C139" s="280" t="s">
        <v>937</v>
      </c>
      <c r="D139" s="280" t="s">
        <v>70</v>
      </c>
      <c r="E139" s="281">
        <v>35000</v>
      </c>
      <c r="F139" s="281">
        <v>35000</v>
      </c>
      <c r="G139" s="281">
        <v>35000</v>
      </c>
      <c r="H139" s="281">
        <v>35000</v>
      </c>
      <c r="I139" s="281">
        <f t="shared" si="22"/>
        <v>140000</v>
      </c>
    </row>
    <row r="140" spans="1:9">
      <c r="A140" s="280">
        <v>11</v>
      </c>
      <c r="B140" s="280" t="s">
        <v>315</v>
      </c>
      <c r="C140" s="280" t="s">
        <v>660</v>
      </c>
      <c r="D140" s="280" t="s">
        <v>131</v>
      </c>
      <c r="E140" s="281">
        <v>35000</v>
      </c>
      <c r="F140" s="281">
        <v>35000</v>
      </c>
      <c r="G140" s="281">
        <v>35000</v>
      </c>
      <c r="H140" s="281">
        <v>35000</v>
      </c>
      <c r="I140" s="281">
        <f t="shared" si="22"/>
        <v>140000</v>
      </c>
    </row>
    <row r="141" spans="1:9">
      <c r="A141" s="280">
        <v>12</v>
      </c>
      <c r="B141" s="280" t="s">
        <v>317</v>
      </c>
      <c r="C141" s="280" t="s">
        <v>1549</v>
      </c>
      <c r="D141" s="280" t="s">
        <v>153</v>
      </c>
      <c r="E141" s="281">
        <v>35000</v>
      </c>
      <c r="F141" s="281">
        <v>35000</v>
      </c>
      <c r="G141" s="281">
        <v>35000</v>
      </c>
      <c r="H141" s="281">
        <v>35000</v>
      </c>
      <c r="I141" s="281">
        <f t="shared" si="22"/>
        <v>140000</v>
      </c>
    </row>
    <row r="142" spans="1:9">
      <c r="A142" s="280">
        <v>13</v>
      </c>
      <c r="B142" s="280" t="s">
        <v>62</v>
      </c>
      <c r="C142" s="280" t="s">
        <v>938</v>
      </c>
      <c r="D142" s="280" t="s">
        <v>70</v>
      </c>
      <c r="E142" s="281">
        <v>35000</v>
      </c>
      <c r="F142" s="281">
        <v>35000</v>
      </c>
      <c r="G142" s="281">
        <v>35000</v>
      </c>
      <c r="H142" s="281">
        <v>35000</v>
      </c>
      <c r="I142" s="281">
        <f t="shared" si="22"/>
        <v>140000</v>
      </c>
    </row>
    <row r="143" spans="1:9">
      <c r="A143" s="280">
        <v>14</v>
      </c>
      <c r="B143" s="280" t="s">
        <v>319</v>
      </c>
      <c r="C143" s="280" t="s">
        <v>328</v>
      </c>
      <c r="D143" s="280" t="s">
        <v>153</v>
      </c>
      <c r="E143" s="281">
        <v>35000</v>
      </c>
      <c r="F143" s="281">
        <v>35000</v>
      </c>
      <c r="G143" s="281">
        <v>35000</v>
      </c>
      <c r="H143" s="281">
        <v>35000</v>
      </c>
      <c r="I143" s="281">
        <f t="shared" si="22"/>
        <v>140000</v>
      </c>
    </row>
    <row r="144" spans="1:9">
      <c r="A144" s="280">
        <v>15</v>
      </c>
      <c r="B144" s="280" t="s">
        <v>321</v>
      </c>
      <c r="C144" s="280" t="s">
        <v>939</v>
      </c>
      <c r="D144" s="280" t="s">
        <v>75</v>
      </c>
      <c r="E144" s="281">
        <v>35000</v>
      </c>
      <c r="F144" s="281">
        <v>35000</v>
      </c>
      <c r="G144" s="281">
        <v>35000</v>
      </c>
      <c r="H144" s="281">
        <v>35000</v>
      </c>
      <c r="I144" s="281">
        <f t="shared" si="22"/>
        <v>140000</v>
      </c>
    </row>
    <row r="145" spans="1:9">
      <c r="A145" s="280">
        <v>16</v>
      </c>
      <c r="B145" s="280" t="s">
        <v>322</v>
      </c>
      <c r="C145" s="280" t="s">
        <v>939</v>
      </c>
      <c r="D145" s="280" t="s">
        <v>78</v>
      </c>
      <c r="E145" s="281">
        <v>35000</v>
      </c>
      <c r="F145" s="281">
        <v>35000</v>
      </c>
      <c r="G145" s="281">
        <v>35000</v>
      </c>
      <c r="H145" s="281">
        <v>35000</v>
      </c>
      <c r="I145" s="281">
        <f t="shared" si="22"/>
        <v>140000</v>
      </c>
    </row>
    <row r="146" spans="1:9">
      <c r="A146" s="280">
        <v>17</v>
      </c>
      <c r="B146" s="280" t="s">
        <v>324</v>
      </c>
      <c r="C146" s="280" t="s">
        <v>939</v>
      </c>
      <c r="D146" s="280" t="s">
        <v>78</v>
      </c>
      <c r="E146" s="281">
        <v>35000</v>
      </c>
      <c r="F146" s="281">
        <v>35000</v>
      </c>
      <c r="G146" s="281">
        <v>35000</v>
      </c>
      <c r="H146" s="281">
        <v>35000</v>
      </c>
      <c r="I146" s="281">
        <f t="shared" si="22"/>
        <v>140000</v>
      </c>
    </row>
    <row r="147" spans="1:9">
      <c r="A147" s="280">
        <v>18</v>
      </c>
      <c r="B147" s="280" t="s">
        <v>325</v>
      </c>
      <c r="C147" s="280" t="s">
        <v>326</v>
      </c>
      <c r="D147" s="280" t="s">
        <v>81</v>
      </c>
      <c r="E147" s="281">
        <v>35000</v>
      </c>
      <c r="F147" s="281">
        <v>35000</v>
      </c>
      <c r="G147" s="281">
        <v>35000</v>
      </c>
      <c r="H147" s="281">
        <v>35000</v>
      </c>
      <c r="I147" s="281">
        <f t="shared" si="22"/>
        <v>140000</v>
      </c>
    </row>
    <row r="148" spans="1:9">
      <c r="A148" s="280">
        <v>19</v>
      </c>
      <c r="B148" s="280" t="s">
        <v>1533</v>
      </c>
      <c r="C148" s="280" t="s">
        <v>328</v>
      </c>
      <c r="D148" s="280" t="s">
        <v>225</v>
      </c>
      <c r="E148" s="281">
        <v>35000</v>
      </c>
      <c r="F148" s="281">
        <v>35000</v>
      </c>
      <c r="G148" s="281">
        <v>35000</v>
      </c>
      <c r="H148" s="281">
        <v>35000</v>
      </c>
      <c r="I148" s="281">
        <f t="shared" si="22"/>
        <v>140000</v>
      </c>
    </row>
    <row r="149" spans="1:9">
      <c r="A149" s="280">
        <v>20</v>
      </c>
      <c r="B149" s="280" t="s">
        <v>329</v>
      </c>
      <c r="C149" s="280" t="s">
        <v>661</v>
      </c>
      <c r="D149" s="280" t="s">
        <v>75</v>
      </c>
      <c r="E149" s="281">
        <v>35000</v>
      </c>
      <c r="F149" s="281">
        <v>35000</v>
      </c>
      <c r="G149" s="281">
        <v>35000</v>
      </c>
      <c r="H149" s="281">
        <v>35000</v>
      </c>
      <c r="I149" s="281">
        <f t="shared" si="22"/>
        <v>140000</v>
      </c>
    </row>
    <row r="150" spans="1:9">
      <c r="A150" s="280">
        <v>21</v>
      </c>
      <c r="B150" s="280" t="s">
        <v>331</v>
      </c>
      <c r="C150" s="280" t="s">
        <v>662</v>
      </c>
      <c r="D150" s="280" t="s">
        <v>99</v>
      </c>
      <c r="E150" s="281">
        <v>35000</v>
      </c>
      <c r="F150" s="281">
        <v>35000</v>
      </c>
      <c r="G150" s="281">
        <v>35000</v>
      </c>
      <c r="H150" s="281">
        <v>35000</v>
      </c>
      <c r="I150" s="281">
        <f t="shared" si="22"/>
        <v>140000</v>
      </c>
    </row>
    <row r="151" spans="1:9">
      <c r="A151" s="280">
        <v>22</v>
      </c>
      <c r="B151" s="280" t="s">
        <v>333</v>
      </c>
      <c r="C151" s="280" t="s">
        <v>663</v>
      </c>
      <c r="D151" s="280" t="s">
        <v>75</v>
      </c>
      <c r="E151" s="281">
        <v>35000</v>
      </c>
      <c r="F151" s="281">
        <v>35000</v>
      </c>
      <c r="G151" s="281">
        <v>35000</v>
      </c>
      <c r="H151" s="281">
        <v>35000</v>
      </c>
      <c r="I151" s="281">
        <f t="shared" si="22"/>
        <v>140000</v>
      </c>
    </row>
    <row r="152" spans="1:9">
      <c r="A152" s="280">
        <v>23</v>
      </c>
      <c r="B152" s="280" t="s">
        <v>334</v>
      </c>
      <c r="C152" s="280" t="s">
        <v>664</v>
      </c>
      <c r="D152" s="280" t="s">
        <v>99</v>
      </c>
      <c r="E152" s="281">
        <v>35000</v>
      </c>
      <c r="F152" s="281">
        <v>35000</v>
      </c>
      <c r="G152" s="281">
        <v>35000</v>
      </c>
      <c r="H152" s="281">
        <v>35000</v>
      </c>
      <c r="I152" s="281">
        <f t="shared" si="22"/>
        <v>140000</v>
      </c>
    </row>
    <row r="153" spans="1:9">
      <c r="A153" s="280">
        <v>24</v>
      </c>
      <c r="B153" s="280" t="s">
        <v>336</v>
      </c>
      <c r="C153" s="280" t="s">
        <v>346</v>
      </c>
      <c r="D153" s="280" t="s">
        <v>105</v>
      </c>
      <c r="E153" s="281">
        <v>35000</v>
      </c>
      <c r="F153" s="281">
        <v>35000</v>
      </c>
      <c r="G153" s="281">
        <v>35000</v>
      </c>
      <c r="H153" s="281">
        <v>35000</v>
      </c>
      <c r="I153" s="281">
        <f t="shared" si="22"/>
        <v>140000</v>
      </c>
    </row>
    <row r="154" spans="1:9">
      <c r="A154" s="280">
        <v>25</v>
      </c>
      <c r="B154" s="280" t="s">
        <v>343</v>
      </c>
      <c r="C154" s="280" t="s">
        <v>344</v>
      </c>
      <c r="D154" s="280" t="s">
        <v>275</v>
      </c>
      <c r="E154" s="281">
        <v>35000</v>
      </c>
      <c r="F154" s="281">
        <v>35000</v>
      </c>
      <c r="G154" s="281">
        <v>35000</v>
      </c>
      <c r="H154" s="281">
        <v>35000</v>
      </c>
      <c r="I154" s="281">
        <f t="shared" si="22"/>
        <v>140000</v>
      </c>
    </row>
    <row r="155" spans="1:9">
      <c r="A155" s="280">
        <v>26</v>
      </c>
      <c r="B155" s="280" t="s">
        <v>345</v>
      </c>
      <c r="C155" s="280" t="s">
        <v>346</v>
      </c>
      <c r="D155" s="280" t="s">
        <v>275</v>
      </c>
      <c r="E155" s="281">
        <v>35000</v>
      </c>
      <c r="F155" s="281">
        <v>35000</v>
      </c>
      <c r="G155" s="281">
        <v>35000</v>
      </c>
      <c r="H155" s="281">
        <v>35000</v>
      </c>
      <c r="I155" s="281">
        <f t="shared" si="22"/>
        <v>140000</v>
      </c>
    </row>
    <row r="156" spans="1:9">
      <c r="A156" s="280">
        <v>27</v>
      </c>
      <c r="B156" s="280" t="s">
        <v>347</v>
      </c>
      <c r="C156" s="280" t="s">
        <v>348</v>
      </c>
      <c r="D156" s="280" t="s">
        <v>275</v>
      </c>
      <c r="E156" s="281">
        <v>35000</v>
      </c>
      <c r="F156" s="281">
        <v>35000</v>
      </c>
      <c r="G156" s="281">
        <v>35000</v>
      </c>
      <c r="H156" s="281">
        <v>35000</v>
      </c>
      <c r="I156" s="281">
        <f t="shared" si="22"/>
        <v>140000</v>
      </c>
    </row>
    <row r="157" spans="1:9">
      <c r="A157" s="280">
        <v>28</v>
      </c>
      <c r="B157" s="280" t="s">
        <v>349</v>
      </c>
      <c r="C157" s="280" t="s">
        <v>665</v>
      </c>
      <c r="D157" s="280" t="s">
        <v>111</v>
      </c>
      <c r="E157" s="281">
        <v>35000</v>
      </c>
      <c r="F157" s="281">
        <v>35000</v>
      </c>
      <c r="G157" s="281">
        <v>35000</v>
      </c>
      <c r="H157" s="281">
        <v>35000</v>
      </c>
      <c r="I157" s="281">
        <f t="shared" si="22"/>
        <v>140000</v>
      </c>
    </row>
    <row r="158" spans="1:9">
      <c r="A158" s="280">
        <v>29</v>
      </c>
      <c r="B158" s="280" t="s">
        <v>350</v>
      </c>
      <c r="C158" s="280" t="s">
        <v>346</v>
      </c>
      <c r="D158" s="280" t="s">
        <v>275</v>
      </c>
      <c r="E158" s="281">
        <v>35000</v>
      </c>
      <c r="F158" s="281">
        <v>35000</v>
      </c>
      <c r="G158" s="281">
        <v>35000</v>
      </c>
      <c r="H158" s="281">
        <v>35000</v>
      </c>
      <c r="I158" s="281">
        <f t="shared" si="22"/>
        <v>140000</v>
      </c>
    </row>
    <row r="159" spans="1:9">
      <c r="A159" s="280">
        <v>30</v>
      </c>
      <c r="B159" s="280" t="s">
        <v>359</v>
      </c>
      <c r="C159" s="280" t="s">
        <v>512</v>
      </c>
      <c r="D159" s="280" t="s">
        <v>377</v>
      </c>
      <c r="E159" s="281">
        <v>35000</v>
      </c>
      <c r="F159" s="281">
        <v>35000</v>
      </c>
      <c r="G159" s="281">
        <v>35000</v>
      </c>
      <c r="H159" s="281">
        <v>35000</v>
      </c>
      <c r="I159" s="281">
        <f t="shared" si="22"/>
        <v>140000</v>
      </c>
    </row>
    <row r="160" spans="1:9">
      <c r="A160" s="280">
        <v>31</v>
      </c>
      <c r="B160" s="280" t="s">
        <v>362</v>
      </c>
      <c r="C160" s="280" t="s">
        <v>512</v>
      </c>
      <c r="D160" s="280" t="s">
        <v>377</v>
      </c>
      <c r="E160" s="281">
        <v>35000</v>
      </c>
      <c r="F160" s="281">
        <v>35000</v>
      </c>
      <c r="G160" s="281">
        <v>35000</v>
      </c>
      <c r="H160" s="281">
        <v>35000</v>
      </c>
      <c r="I160" s="281">
        <f t="shared" si="22"/>
        <v>140000</v>
      </c>
    </row>
    <row r="161" spans="1:9">
      <c r="A161" s="280">
        <v>32</v>
      </c>
      <c r="B161" s="280" t="s">
        <v>666</v>
      </c>
      <c r="C161" s="280" t="s">
        <v>512</v>
      </c>
      <c r="D161" s="280" t="s">
        <v>377</v>
      </c>
      <c r="E161" s="281">
        <v>35000</v>
      </c>
      <c r="F161" s="281">
        <v>35000</v>
      </c>
      <c r="G161" s="281">
        <v>35000</v>
      </c>
      <c r="H161" s="281">
        <v>35000</v>
      </c>
      <c r="I161" s="281">
        <f t="shared" si="22"/>
        <v>140000</v>
      </c>
    </row>
    <row r="162" spans="1:9">
      <c r="A162" s="280">
        <v>33</v>
      </c>
      <c r="B162" s="280" t="s">
        <v>363</v>
      </c>
      <c r="C162" s="280" t="s">
        <v>512</v>
      </c>
      <c r="D162" s="280" t="s">
        <v>377</v>
      </c>
      <c r="E162" s="281">
        <v>35000</v>
      </c>
      <c r="F162" s="281">
        <v>35000</v>
      </c>
      <c r="G162" s="281">
        <v>35000</v>
      </c>
      <c r="H162" s="281">
        <v>35000</v>
      </c>
      <c r="I162" s="281">
        <f t="shared" si="22"/>
        <v>140000</v>
      </c>
    </row>
    <row r="163" spans="1:9">
      <c r="A163" s="280">
        <v>34</v>
      </c>
      <c r="B163" s="280" t="s">
        <v>364</v>
      </c>
      <c r="C163" s="280" t="s">
        <v>512</v>
      </c>
      <c r="D163" s="280" t="s">
        <v>377</v>
      </c>
      <c r="E163" s="281">
        <v>35000</v>
      </c>
      <c r="F163" s="281">
        <v>35000</v>
      </c>
      <c r="G163" s="281">
        <v>35000</v>
      </c>
      <c r="H163" s="281">
        <v>35000</v>
      </c>
      <c r="I163" s="281">
        <f t="shared" si="22"/>
        <v>140000</v>
      </c>
    </row>
    <row r="164" spans="1:9">
      <c r="A164" s="280">
        <v>35</v>
      </c>
      <c r="B164" s="280" t="s">
        <v>365</v>
      </c>
      <c r="C164" s="280" t="s">
        <v>512</v>
      </c>
      <c r="D164" s="280" t="s">
        <v>606</v>
      </c>
      <c r="E164" s="281">
        <v>35000</v>
      </c>
      <c r="F164" s="281">
        <v>35000</v>
      </c>
      <c r="G164" s="281">
        <v>35000</v>
      </c>
      <c r="H164" s="281">
        <v>35000</v>
      </c>
      <c r="I164" s="281">
        <f t="shared" si="22"/>
        <v>140000</v>
      </c>
    </row>
    <row r="165" spans="1:9">
      <c r="A165" s="280">
        <v>36</v>
      </c>
      <c r="B165" s="280" t="s">
        <v>367</v>
      </c>
      <c r="C165" s="280" t="s">
        <v>512</v>
      </c>
      <c r="D165" s="280" t="s">
        <v>606</v>
      </c>
      <c r="E165" s="281">
        <v>35000</v>
      </c>
      <c r="F165" s="281">
        <v>35000</v>
      </c>
      <c r="G165" s="281">
        <v>35000</v>
      </c>
      <c r="H165" s="281">
        <v>35000</v>
      </c>
      <c r="I165" s="281">
        <f t="shared" si="22"/>
        <v>140000</v>
      </c>
    </row>
    <row r="166" spans="1:9">
      <c r="A166" s="280">
        <v>37</v>
      </c>
      <c r="B166" s="280" t="s">
        <v>368</v>
      </c>
      <c r="C166" s="280" t="s">
        <v>512</v>
      </c>
      <c r="D166" s="280" t="s">
        <v>606</v>
      </c>
      <c r="E166" s="281">
        <v>35000</v>
      </c>
      <c r="F166" s="281">
        <v>35000</v>
      </c>
      <c r="G166" s="281">
        <v>35000</v>
      </c>
      <c r="H166" s="281">
        <v>35000</v>
      </c>
      <c r="I166" s="281">
        <f t="shared" si="22"/>
        <v>140000</v>
      </c>
    </row>
    <row r="167" spans="1:9">
      <c r="A167" s="280">
        <v>38</v>
      </c>
      <c r="B167" s="280" t="s">
        <v>369</v>
      </c>
      <c r="C167" s="280" t="s">
        <v>512</v>
      </c>
      <c r="D167" s="280" t="s">
        <v>606</v>
      </c>
      <c r="E167" s="281">
        <v>35000</v>
      </c>
      <c r="F167" s="281">
        <v>35000</v>
      </c>
      <c r="G167" s="281">
        <v>35000</v>
      </c>
      <c r="H167" s="281">
        <v>35000</v>
      </c>
      <c r="I167" s="281">
        <f t="shared" si="22"/>
        <v>140000</v>
      </c>
    </row>
    <row r="168" spans="1:9">
      <c r="A168" s="280">
        <v>39</v>
      </c>
      <c r="B168" s="280" t="s">
        <v>370</v>
      </c>
      <c r="C168" s="280" t="s">
        <v>512</v>
      </c>
      <c r="D168" s="280" t="s">
        <v>606</v>
      </c>
      <c r="E168" s="281">
        <v>35000</v>
      </c>
      <c r="F168" s="281">
        <v>35000</v>
      </c>
      <c r="G168" s="281">
        <v>35000</v>
      </c>
      <c r="H168" s="281">
        <v>35000</v>
      </c>
      <c r="I168" s="281">
        <f t="shared" si="22"/>
        <v>140000</v>
      </c>
    </row>
    <row r="169" spans="1:9">
      <c r="A169" s="280">
        <v>40</v>
      </c>
      <c r="B169" s="280" t="s">
        <v>357</v>
      </c>
      <c r="C169" s="280" t="s">
        <v>512</v>
      </c>
      <c r="D169" s="280" t="s">
        <v>606</v>
      </c>
      <c r="E169" s="281">
        <v>35000</v>
      </c>
      <c r="F169" s="281">
        <v>35000</v>
      </c>
      <c r="G169" s="281">
        <v>35000</v>
      </c>
      <c r="H169" s="281">
        <v>35000</v>
      </c>
      <c r="I169" s="281">
        <f t="shared" si="22"/>
        <v>140000</v>
      </c>
    </row>
    <row r="170" spans="1:9">
      <c r="A170" s="280">
        <v>41</v>
      </c>
      <c r="B170" s="280" t="s">
        <v>371</v>
      </c>
      <c r="C170" s="280" t="s">
        <v>387</v>
      </c>
      <c r="D170" s="280" t="s">
        <v>608</v>
      </c>
      <c r="E170" s="281">
        <v>35000</v>
      </c>
      <c r="F170" s="281">
        <v>35000</v>
      </c>
      <c r="G170" s="281">
        <v>35000</v>
      </c>
      <c r="H170" s="281">
        <v>35000</v>
      </c>
      <c r="I170" s="281">
        <f t="shared" si="22"/>
        <v>140000</v>
      </c>
    </row>
    <row r="171" spans="1:9">
      <c r="A171" s="280">
        <v>42</v>
      </c>
      <c r="B171" s="280" t="s">
        <v>373</v>
      </c>
      <c r="C171" s="280" t="s">
        <v>387</v>
      </c>
      <c r="D171" s="280" t="s">
        <v>608</v>
      </c>
      <c r="E171" s="281">
        <v>35000</v>
      </c>
      <c r="F171" s="281">
        <v>35000</v>
      </c>
      <c r="G171" s="281">
        <v>35000</v>
      </c>
      <c r="H171" s="281">
        <v>35000</v>
      </c>
      <c r="I171" s="281">
        <f t="shared" si="22"/>
        <v>140000</v>
      </c>
    </row>
    <row r="172" spans="1:9">
      <c r="A172" s="280">
        <v>43</v>
      </c>
      <c r="B172" s="280" t="s">
        <v>374</v>
      </c>
      <c r="C172" s="280" t="s">
        <v>387</v>
      </c>
      <c r="D172" s="280" t="s">
        <v>388</v>
      </c>
      <c r="E172" s="281">
        <v>35000</v>
      </c>
      <c r="F172" s="281">
        <v>35000</v>
      </c>
      <c r="G172" s="281">
        <v>35000</v>
      </c>
      <c r="H172" s="281">
        <v>35000</v>
      </c>
      <c r="I172" s="281">
        <f t="shared" si="22"/>
        <v>140000</v>
      </c>
    </row>
    <row r="173" spans="1:9">
      <c r="A173" s="280">
        <v>44</v>
      </c>
      <c r="B173" s="280" t="s">
        <v>376</v>
      </c>
      <c r="C173" s="280" t="s">
        <v>387</v>
      </c>
      <c r="D173" s="280" t="s">
        <v>403</v>
      </c>
      <c r="E173" s="281">
        <v>35000</v>
      </c>
      <c r="F173" s="281">
        <v>35000</v>
      </c>
      <c r="G173" s="281">
        <v>35000</v>
      </c>
      <c r="H173" s="281">
        <v>35000</v>
      </c>
      <c r="I173" s="281">
        <f t="shared" si="22"/>
        <v>140000</v>
      </c>
    </row>
    <row r="174" spans="1:9">
      <c r="A174" s="280">
        <v>45</v>
      </c>
      <c r="B174" s="280" t="s">
        <v>378</v>
      </c>
      <c r="C174" s="280" t="s">
        <v>514</v>
      </c>
      <c r="D174" s="280" t="s">
        <v>1534</v>
      </c>
      <c r="E174" s="281">
        <v>35000</v>
      </c>
      <c r="F174" s="281">
        <v>35000</v>
      </c>
      <c r="G174" s="281">
        <v>35000</v>
      </c>
      <c r="H174" s="281">
        <v>35000</v>
      </c>
      <c r="I174" s="281">
        <f t="shared" si="22"/>
        <v>140000</v>
      </c>
    </row>
    <row r="175" spans="1:9">
      <c r="A175" s="280">
        <v>46</v>
      </c>
      <c r="B175" s="280" t="s">
        <v>379</v>
      </c>
      <c r="C175" s="280" t="s">
        <v>514</v>
      </c>
      <c r="D175" s="280" t="s">
        <v>1534</v>
      </c>
      <c r="E175" s="281">
        <v>35000</v>
      </c>
      <c r="F175" s="281">
        <v>35000</v>
      </c>
      <c r="G175" s="281">
        <v>35000</v>
      </c>
      <c r="H175" s="281">
        <v>35000</v>
      </c>
      <c r="I175" s="281">
        <f t="shared" si="22"/>
        <v>140000</v>
      </c>
    </row>
    <row r="176" spans="1:9">
      <c r="A176" s="280">
        <v>47</v>
      </c>
      <c r="B176" s="280" t="s">
        <v>380</v>
      </c>
      <c r="C176" s="280" t="s">
        <v>514</v>
      </c>
      <c r="D176" s="280" t="s">
        <v>1534</v>
      </c>
      <c r="E176" s="281">
        <v>35000</v>
      </c>
      <c r="F176" s="281">
        <v>35000</v>
      </c>
      <c r="G176" s="281">
        <v>35000</v>
      </c>
      <c r="H176" s="281">
        <v>35000</v>
      </c>
      <c r="I176" s="281">
        <f t="shared" si="22"/>
        <v>140000</v>
      </c>
    </row>
    <row r="177" spans="1:9">
      <c r="A177" s="280">
        <v>48</v>
      </c>
      <c r="B177" s="280" t="s">
        <v>381</v>
      </c>
      <c r="C177" s="280" t="s">
        <v>514</v>
      </c>
      <c r="D177" s="280" t="s">
        <v>1534</v>
      </c>
      <c r="E177" s="281">
        <v>35000</v>
      </c>
      <c r="F177" s="281">
        <v>35000</v>
      </c>
      <c r="G177" s="281">
        <v>35000</v>
      </c>
      <c r="H177" s="281">
        <v>35000</v>
      </c>
      <c r="I177" s="281">
        <f t="shared" si="22"/>
        <v>140000</v>
      </c>
    </row>
    <row r="178" spans="1:9">
      <c r="A178" s="280">
        <v>49</v>
      </c>
      <c r="B178" s="280" t="s">
        <v>382</v>
      </c>
      <c r="C178" s="280" t="s">
        <v>514</v>
      </c>
      <c r="D178" s="280" t="s">
        <v>1534</v>
      </c>
      <c r="E178" s="281">
        <v>35000</v>
      </c>
      <c r="F178" s="281">
        <v>35000</v>
      </c>
      <c r="G178" s="281">
        <v>35000</v>
      </c>
      <c r="H178" s="281">
        <v>35000</v>
      </c>
      <c r="I178" s="281">
        <f t="shared" si="22"/>
        <v>140000</v>
      </c>
    </row>
    <row r="179" spans="1:9">
      <c r="A179" s="280">
        <v>50</v>
      </c>
      <c r="B179" s="280" t="s">
        <v>383</v>
      </c>
      <c r="C179" s="280" t="s">
        <v>514</v>
      </c>
      <c r="D179" s="280" t="s">
        <v>1534</v>
      </c>
      <c r="E179" s="281">
        <v>35000</v>
      </c>
      <c r="F179" s="281">
        <v>35000</v>
      </c>
      <c r="G179" s="281">
        <v>35000</v>
      </c>
      <c r="H179" s="281">
        <v>35000</v>
      </c>
      <c r="I179" s="281">
        <f t="shared" si="22"/>
        <v>140000</v>
      </c>
    </row>
    <row r="180" spans="1:9">
      <c r="A180" s="280">
        <v>51</v>
      </c>
      <c r="B180" s="280" t="s">
        <v>385</v>
      </c>
      <c r="C180" s="280" t="s">
        <v>514</v>
      </c>
      <c r="D180" s="280" t="s">
        <v>1534</v>
      </c>
      <c r="E180" s="281">
        <v>35000</v>
      </c>
      <c r="F180" s="281">
        <v>35000</v>
      </c>
      <c r="G180" s="281">
        <v>35000</v>
      </c>
      <c r="H180" s="281">
        <v>35000</v>
      </c>
      <c r="I180" s="281">
        <f t="shared" si="22"/>
        <v>140000</v>
      </c>
    </row>
    <row r="181" spans="1:9">
      <c r="A181" s="280">
        <v>52</v>
      </c>
      <c r="B181" s="280" t="s">
        <v>668</v>
      </c>
      <c r="C181" s="280" t="s">
        <v>387</v>
      </c>
      <c r="D181" s="280" t="s">
        <v>1534</v>
      </c>
      <c r="E181" s="281">
        <v>35000</v>
      </c>
      <c r="F181" s="281">
        <v>35000</v>
      </c>
      <c r="G181" s="281">
        <v>35000</v>
      </c>
      <c r="H181" s="281">
        <v>35000</v>
      </c>
      <c r="I181" s="281">
        <f t="shared" si="22"/>
        <v>140000</v>
      </c>
    </row>
    <row r="182" spans="1:9">
      <c r="A182" s="280">
        <v>53</v>
      </c>
      <c r="B182" s="280" t="s">
        <v>386</v>
      </c>
      <c r="C182" s="280" t="s">
        <v>387</v>
      </c>
      <c r="D182" s="280" t="s">
        <v>1534</v>
      </c>
      <c r="E182" s="281">
        <v>35000</v>
      </c>
      <c r="F182" s="281">
        <v>35000</v>
      </c>
      <c r="G182" s="281">
        <v>35000</v>
      </c>
      <c r="H182" s="281">
        <v>35000</v>
      </c>
      <c r="I182" s="281">
        <f t="shared" si="22"/>
        <v>140000</v>
      </c>
    </row>
    <row r="183" spans="1:9">
      <c r="A183" s="280">
        <v>54</v>
      </c>
      <c r="B183" s="280" t="s">
        <v>358</v>
      </c>
      <c r="C183" s="280" t="s">
        <v>514</v>
      </c>
      <c r="D183" s="280" t="s">
        <v>1550</v>
      </c>
      <c r="E183" s="281">
        <v>35000</v>
      </c>
      <c r="F183" s="281">
        <v>35000</v>
      </c>
      <c r="G183" s="281">
        <v>35000</v>
      </c>
      <c r="H183" s="281">
        <v>35000</v>
      </c>
      <c r="I183" s="281">
        <f t="shared" si="22"/>
        <v>140000</v>
      </c>
    </row>
    <row r="184" spans="1:9">
      <c r="A184" s="280">
        <v>55</v>
      </c>
      <c r="B184" s="280" t="s">
        <v>392</v>
      </c>
      <c r="C184" s="280" t="s">
        <v>514</v>
      </c>
      <c r="D184" s="280" t="s">
        <v>609</v>
      </c>
      <c r="E184" s="281">
        <v>35000</v>
      </c>
      <c r="F184" s="281">
        <v>35000</v>
      </c>
      <c r="G184" s="281">
        <v>35000</v>
      </c>
      <c r="H184" s="281">
        <v>35000</v>
      </c>
      <c r="I184" s="281">
        <f t="shared" si="22"/>
        <v>140000</v>
      </c>
    </row>
    <row r="185" spans="1:9">
      <c r="A185" s="280">
        <v>56</v>
      </c>
      <c r="B185" s="280" t="s">
        <v>396</v>
      </c>
      <c r="C185" s="280" t="s">
        <v>397</v>
      </c>
      <c r="D185" s="280" t="s">
        <v>1535</v>
      </c>
      <c r="E185" s="281">
        <v>35000</v>
      </c>
      <c r="F185" s="281">
        <v>35000</v>
      </c>
      <c r="G185" s="281">
        <v>35000</v>
      </c>
      <c r="H185" s="281">
        <v>35000</v>
      </c>
      <c r="I185" s="281">
        <f t="shared" si="22"/>
        <v>140000</v>
      </c>
    </row>
    <row r="186" spans="1:9">
      <c r="A186" s="280">
        <v>57</v>
      </c>
      <c r="B186" s="280" t="s">
        <v>399</v>
      </c>
      <c r="C186" s="280" t="s">
        <v>397</v>
      </c>
      <c r="D186" s="280" t="s">
        <v>1535</v>
      </c>
      <c r="E186" s="281">
        <v>35000</v>
      </c>
      <c r="F186" s="281">
        <v>35000</v>
      </c>
      <c r="G186" s="281">
        <v>35000</v>
      </c>
      <c r="H186" s="281">
        <v>35000</v>
      </c>
      <c r="I186" s="281">
        <f t="shared" si="22"/>
        <v>140000</v>
      </c>
    </row>
    <row r="187" spans="1:9">
      <c r="A187" s="280">
        <v>58</v>
      </c>
      <c r="B187" s="280" t="s">
        <v>400</v>
      </c>
      <c r="C187" s="280" t="s">
        <v>397</v>
      </c>
      <c r="D187" s="280" t="s">
        <v>1535</v>
      </c>
      <c r="E187" s="281">
        <v>35000</v>
      </c>
      <c r="F187" s="281">
        <v>35000</v>
      </c>
      <c r="G187" s="281">
        <v>35000</v>
      </c>
      <c r="H187" s="281">
        <v>35000</v>
      </c>
      <c r="I187" s="281">
        <f t="shared" si="22"/>
        <v>140000</v>
      </c>
    </row>
    <row r="188" spans="1:9">
      <c r="A188" s="280">
        <v>59</v>
      </c>
      <c r="B188" s="280" t="s">
        <v>401</v>
      </c>
      <c r="C188" s="280" t="s">
        <v>402</v>
      </c>
      <c r="D188" s="280" t="s">
        <v>395</v>
      </c>
      <c r="E188" s="281">
        <v>35000</v>
      </c>
      <c r="F188" s="281">
        <v>35000</v>
      </c>
      <c r="G188" s="281">
        <v>35000</v>
      </c>
      <c r="H188" s="281">
        <v>35000</v>
      </c>
      <c r="I188" s="281">
        <f t="shared" si="22"/>
        <v>140000</v>
      </c>
    </row>
    <row r="189" spans="1:9">
      <c r="A189" s="280">
        <v>60</v>
      </c>
      <c r="B189" s="280" t="s">
        <v>404</v>
      </c>
      <c r="C189" s="280" t="s">
        <v>402</v>
      </c>
      <c r="D189" s="280" t="s">
        <v>395</v>
      </c>
      <c r="E189" s="283">
        <v>35000</v>
      </c>
      <c r="F189" s="283">
        <v>35000</v>
      </c>
      <c r="G189" s="283">
        <v>35000</v>
      </c>
      <c r="H189" s="283">
        <v>35000</v>
      </c>
      <c r="I189" s="283">
        <f t="shared" si="22"/>
        <v>140000</v>
      </c>
    </row>
    <row r="190" spans="1:9">
      <c r="A190" s="280"/>
      <c r="B190" s="284" t="s">
        <v>1612</v>
      </c>
      <c r="C190" s="280"/>
      <c r="D190" s="280"/>
      <c r="E190" s="285">
        <f>SUM(E131:E189)</f>
        <v>2065000</v>
      </c>
      <c r="F190" s="285">
        <f t="shared" ref="F190:I190" si="23">SUM(F131:F189)</f>
        <v>2065000</v>
      </c>
      <c r="G190" s="285">
        <f t="shared" si="23"/>
        <v>2065000</v>
      </c>
      <c r="H190" s="285">
        <f t="shared" si="23"/>
        <v>2065000</v>
      </c>
      <c r="I190" s="285">
        <f t="shared" si="23"/>
        <v>8260000</v>
      </c>
    </row>
    <row r="191" spans="1:9">
      <c r="E191" s="271"/>
      <c r="F191" s="271"/>
      <c r="G191" s="271"/>
      <c r="H191" s="271"/>
      <c r="I191" s="272"/>
    </row>
    <row r="192" ht="24" customHeight="1" spans="1:9">
      <c r="A192" s="280"/>
      <c r="B192" s="287" t="s">
        <v>1613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71"/>
      <c r="F193" s="271"/>
      <c r="G193" s="271"/>
      <c r="H193" s="271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64"/>
      <c r="J1" s="264"/>
    </row>
    <row r="2" ht="17.5" spans="1:10">
      <c r="A2" s="3" t="s">
        <v>904</v>
      </c>
      <c r="B2" s="3"/>
      <c r="C2" s="3"/>
      <c r="D2" s="3"/>
      <c r="E2" s="3"/>
      <c r="F2" s="3"/>
      <c r="G2" s="3"/>
      <c r="H2" s="3"/>
      <c r="I2" s="265"/>
      <c r="J2" s="265"/>
    </row>
    <row r="3" ht="37.5" customHeight="1" spans="1:10">
      <c r="A3" s="266" t="s">
        <v>1586</v>
      </c>
      <c r="B3" s="266"/>
      <c r="C3" s="266"/>
      <c r="D3" s="266"/>
      <c r="E3" s="266"/>
      <c r="F3" s="266"/>
      <c r="G3" s="266"/>
      <c r="H3" s="266"/>
    </row>
    <row r="5" ht="42.75" customHeight="1" spans="1:10">
      <c r="A5" s="267" t="s">
        <v>22</v>
      </c>
      <c r="B5" s="55" t="s">
        <v>2</v>
      </c>
      <c r="C5" s="55" t="s">
        <v>3</v>
      </c>
      <c r="D5" s="268" t="s">
        <v>1614</v>
      </c>
      <c r="E5" s="268" t="s">
        <v>1537</v>
      </c>
      <c r="F5" s="268" t="s">
        <v>1538</v>
      </c>
      <c r="G5" s="268" t="s">
        <v>1615</v>
      </c>
      <c r="H5" s="269" t="s">
        <v>1591</v>
      </c>
      <c r="I5" s="46"/>
    </row>
    <row r="6" ht="18" spans="1:10">
      <c r="A6" s="43">
        <v>1</v>
      </c>
      <c r="B6" s="43" t="s">
        <v>1616</v>
      </c>
      <c r="C6" s="43" t="s">
        <v>1617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10">
      <c r="A7" s="43">
        <v>2</v>
      </c>
      <c r="B7" s="43" t="s">
        <v>1618</v>
      </c>
      <c r="C7" s="43" t="s">
        <v>1617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10">
      <c r="A8" s="43">
        <v>3</v>
      </c>
      <c r="B8" s="43" t="s">
        <v>1619</v>
      </c>
      <c r="C8" s="43" t="s">
        <v>1620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10">
      <c r="A9" s="43">
        <v>4</v>
      </c>
      <c r="B9" s="43" t="s">
        <v>1618</v>
      </c>
      <c r="C9" s="43" t="s">
        <v>1617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10">
      <c r="A10" s="43">
        <v>5</v>
      </c>
      <c r="B10" s="43" t="s">
        <v>1621</v>
      </c>
      <c r="C10" s="43" t="s">
        <v>1622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10">
      <c r="A11" s="43">
        <v>6</v>
      </c>
      <c r="B11" s="43" t="s">
        <v>1623</v>
      </c>
      <c r="C11" s="43" t="s">
        <v>1624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10">
      <c r="A12" s="43">
        <v>7</v>
      </c>
      <c r="B12" s="43" t="s">
        <v>1625</v>
      </c>
      <c r="C12" s="43" t="s">
        <v>1626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10">
      <c r="A13" s="43">
        <v>8</v>
      </c>
      <c r="B13" s="43" t="s">
        <v>1627</v>
      </c>
      <c r="C13" s="43" t="s">
        <v>1628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10">
      <c r="A14" s="43">
        <v>9</v>
      </c>
      <c r="B14" s="43" t="s">
        <v>1629</v>
      </c>
      <c r="C14" s="43" t="s">
        <v>1628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10">
      <c r="A15" s="43">
        <v>10</v>
      </c>
      <c r="B15" s="43" t="s">
        <v>1630</v>
      </c>
      <c r="C15" s="43" t="s">
        <v>1626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10">
      <c r="A16" s="43">
        <v>11</v>
      </c>
      <c r="B16" s="43" t="s">
        <v>1631</v>
      </c>
      <c r="C16" s="43" t="s">
        <v>1632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1633</v>
      </c>
      <c r="C17" s="43" t="s">
        <v>1620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1634</v>
      </c>
      <c r="C18" s="43" t="s">
        <v>1635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1636</v>
      </c>
      <c r="C19" s="43" t="s">
        <v>1622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1637</v>
      </c>
      <c r="C20" s="43" t="s">
        <v>978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1638</v>
      </c>
      <c r="C21" s="43" t="s">
        <v>1639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1640</v>
      </c>
      <c r="C22" s="43" t="s">
        <v>1622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1641</v>
      </c>
      <c r="C23" s="43" t="s">
        <v>493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1642</v>
      </c>
      <c r="C24" s="43" t="s">
        <v>493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1643</v>
      </c>
      <c r="C25" s="43" t="s">
        <v>493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1644</v>
      </c>
      <c r="C26" s="43" t="s">
        <v>493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1645</v>
      </c>
      <c r="C27" s="43" t="s">
        <v>1646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1647</v>
      </c>
      <c r="C28" s="43" t="s">
        <v>1648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1649</v>
      </c>
      <c r="C29" s="43" t="s">
        <v>1650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1651</v>
      </c>
      <c r="C30" s="43" t="s">
        <v>1632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1103</v>
      </c>
      <c r="C31" s="43" t="s">
        <v>493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1652</v>
      </c>
      <c r="C32" s="43" t="s">
        <v>1620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1653</v>
      </c>
      <c r="C33" s="43" t="s">
        <v>1620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1081</v>
      </c>
      <c r="C34" s="43" t="s">
        <v>493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1104</v>
      </c>
      <c r="C35" s="43" t="s">
        <v>493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839</v>
      </c>
      <c r="C36" s="43" t="s">
        <v>1654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1105</v>
      </c>
      <c r="C37" s="43" t="s">
        <v>493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1106</v>
      </c>
      <c r="C38" s="43" t="s">
        <v>842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1655</v>
      </c>
      <c r="C39" s="43" t="s">
        <v>493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1107</v>
      </c>
      <c r="C40" s="43" t="s">
        <v>493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1656</v>
      </c>
      <c r="C41" s="43" t="s">
        <v>1622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1657</v>
      </c>
      <c r="C42" s="43" t="s">
        <v>1622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1658</v>
      </c>
      <c r="C43" s="43" t="s">
        <v>1622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1659</v>
      </c>
      <c r="C44" s="43" t="s">
        <v>1622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1660</v>
      </c>
      <c r="C45" s="43" t="s">
        <v>1622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865</v>
      </c>
      <c r="C46" s="43" t="s">
        <v>1622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1661</v>
      </c>
      <c r="C47" s="43" t="s">
        <v>493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870</v>
      </c>
      <c r="C48" s="43" t="s">
        <v>1622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1662</v>
      </c>
      <c r="C49" s="43" t="s">
        <v>1622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1663</v>
      </c>
      <c r="C50" s="43" t="s">
        <v>493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862</v>
      </c>
      <c r="C51" s="43" t="s">
        <v>1622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871</v>
      </c>
      <c r="C52" s="43" t="s">
        <v>1622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1664</v>
      </c>
      <c r="C53" s="43" t="s">
        <v>493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1665</v>
      </c>
      <c r="C54" s="43" t="s">
        <v>493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1666</v>
      </c>
      <c r="C55" s="43" t="s">
        <v>493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1667</v>
      </c>
      <c r="C56" s="43" t="s">
        <v>493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1668</v>
      </c>
      <c r="C57" s="43" t="s">
        <v>1622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1669</v>
      </c>
      <c r="C58" s="43" t="s">
        <v>1622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70">
        <f>SUM(D8:D58)</f>
        <v>1785000</v>
      </c>
      <c r="E59" s="270">
        <f>SUM(E8:E58)</f>
        <v>1785000</v>
      </c>
      <c r="F59" s="270">
        <f>SUM(F8:F58)</f>
        <v>1785000</v>
      </c>
      <c r="G59" s="270">
        <f>SUM(G8:G58)</f>
        <v>1785000</v>
      </c>
      <c r="H59" s="270">
        <f>SUM(H8:H58)</f>
        <v>7140000</v>
      </c>
      <c r="I59" s="46"/>
    </row>
    <row r="60" spans="1:9">
      <c r="D60" s="271"/>
      <c r="E60" s="271"/>
      <c r="F60" s="271"/>
      <c r="G60" s="271"/>
      <c r="H60" s="271"/>
    </row>
    <row r="61" spans="1:9">
      <c r="D61" s="271"/>
      <c r="E61" s="271"/>
      <c r="F61" s="271"/>
      <c r="G61" s="271"/>
      <c r="H61" s="272"/>
    </row>
    <row r="62" spans="1:9">
      <c r="A62" s="273"/>
      <c r="B62" s="273"/>
      <c r="C62" s="273"/>
      <c r="D62" s="272"/>
      <c r="E62" s="272"/>
      <c r="F62" s="272"/>
      <c r="G62" s="272"/>
      <c r="H62" s="274"/>
    </row>
    <row r="63" spans="1:9">
      <c r="D63" s="271"/>
      <c r="E63" s="271"/>
      <c r="F63" s="271"/>
      <c r="G63" s="271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1076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58" t="s">
        <v>22</v>
      </c>
      <c r="B2" s="42" t="s">
        <v>465</v>
      </c>
      <c r="C2" s="42" t="s">
        <v>3</v>
      </c>
      <c r="D2" s="259" t="s">
        <v>1670</v>
      </c>
      <c r="E2" s="259" t="s">
        <v>16</v>
      </c>
      <c r="F2" s="259" t="s">
        <v>1671</v>
      </c>
      <c r="G2" s="46"/>
      <c r="H2" s="46"/>
      <c r="I2" s="46"/>
      <c r="J2" s="46"/>
    </row>
    <row r="3" ht="35.1" customHeight="1" spans="1:10">
      <c r="A3" s="49">
        <v>1</v>
      </c>
      <c r="B3" s="43" t="s">
        <v>179</v>
      </c>
      <c r="C3" s="43" t="s">
        <v>152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1672</v>
      </c>
      <c r="C4" s="43" t="s">
        <v>1673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120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57"/>
    </row>
    <row r="2" ht="33.75" customHeight="1" spans="1:6">
      <c r="A2" s="236" t="s">
        <v>1674</v>
      </c>
      <c r="B2" s="77"/>
      <c r="C2" s="76"/>
      <c r="D2" s="76"/>
      <c r="E2" s="78"/>
    </row>
    <row r="3" ht="9.75" customHeight="1"/>
    <row r="4" ht="49.5" customHeight="1" spans="1:6">
      <c r="A4" s="237"/>
      <c r="B4" s="238" t="s">
        <v>2</v>
      </c>
      <c r="C4" s="239" t="s">
        <v>3</v>
      </c>
      <c r="D4" s="240" t="s">
        <v>4</v>
      </c>
      <c r="E4" s="241" t="s">
        <v>484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242">
        <v>450000</v>
      </c>
      <c r="F7" s="13"/>
    </row>
    <row r="8" customHeight="1" spans="1:6">
      <c r="A8" s="10">
        <v>2</v>
      </c>
      <c r="B8" s="11" t="s">
        <v>1592</v>
      </c>
      <c r="C8" s="4" t="s">
        <v>1675</v>
      </c>
      <c r="D8" s="10" t="s">
        <v>36</v>
      </c>
      <c r="E8" s="242">
        <v>150000</v>
      </c>
      <c r="F8" s="13"/>
    </row>
    <row r="9" customHeight="1" spans="1:6">
      <c r="A9" s="10">
        <v>3</v>
      </c>
      <c r="B9" s="14" t="s">
        <v>1676</v>
      </c>
      <c r="C9" s="4" t="s">
        <v>1677</v>
      </c>
      <c r="D9" s="10" t="s">
        <v>36</v>
      </c>
      <c r="E9" s="242">
        <v>150000</v>
      </c>
      <c r="F9" s="13"/>
    </row>
    <row r="10" customHeight="1" spans="1:6">
      <c r="A10" s="10">
        <v>4</v>
      </c>
      <c r="B10" s="11" t="s">
        <v>27</v>
      </c>
      <c r="C10" s="12" t="s">
        <v>28</v>
      </c>
      <c r="D10" s="10" t="s">
        <v>29</v>
      </c>
      <c r="E10" s="242">
        <v>150000</v>
      </c>
      <c r="F10" s="13"/>
    </row>
    <row r="11" customHeight="1" spans="1:6">
      <c r="A11" s="10">
        <v>5</v>
      </c>
      <c r="B11" s="14" t="s">
        <v>30</v>
      </c>
      <c r="C11" s="4" t="s">
        <v>31</v>
      </c>
      <c r="D11" s="15" t="s">
        <v>210</v>
      </c>
      <c r="E11" s="242">
        <v>150000</v>
      </c>
      <c r="F11" s="13"/>
    </row>
    <row r="12" customHeight="1" spans="1:6">
      <c r="A12" s="10">
        <v>6</v>
      </c>
      <c r="B12" s="14" t="s">
        <v>227</v>
      </c>
      <c r="C12" s="4" t="s">
        <v>1594</v>
      </c>
      <c r="D12" s="16" t="s">
        <v>210</v>
      </c>
      <c r="E12" s="242">
        <v>150000</v>
      </c>
      <c r="F12" s="13"/>
    </row>
    <row r="13" customHeight="1" spans="1:6">
      <c r="A13" s="10">
        <v>7</v>
      </c>
      <c r="B13" s="11" t="s">
        <v>32</v>
      </c>
      <c r="C13" s="17" t="s">
        <v>33</v>
      </c>
      <c r="D13" s="16" t="s">
        <v>210</v>
      </c>
      <c r="E13" s="242">
        <v>150000</v>
      </c>
      <c r="F13" s="13"/>
    </row>
    <row r="14" customHeight="1" spans="1:6">
      <c r="A14" s="10">
        <v>8</v>
      </c>
      <c r="B14" s="14" t="s">
        <v>300</v>
      </c>
      <c r="C14" s="4" t="s">
        <v>907</v>
      </c>
      <c r="D14" s="16" t="s">
        <v>210</v>
      </c>
      <c r="E14" s="242">
        <v>150000</v>
      </c>
      <c r="F14" s="13"/>
    </row>
    <row r="15" customHeight="1" spans="1:6">
      <c r="A15" s="10">
        <v>9</v>
      </c>
      <c r="B15" s="11" t="s">
        <v>34</v>
      </c>
      <c r="C15" s="12" t="s">
        <v>910</v>
      </c>
      <c r="D15" s="15" t="s">
        <v>39</v>
      </c>
      <c r="E15" s="242">
        <v>105000</v>
      </c>
      <c r="F15" s="13"/>
    </row>
    <row r="16" customHeight="1" spans="1:6">
      <c r="A16" s="10">
        <v>10</v>
      </c>
      <c r="B16" s="18" t="s">
        <v>186</v>
      </c>
      <c r="C16" s="12" t="s">
        <v>926</v>
      </c>
      <c r="D16" s="10" t="s">
        <v>925</v>
      </c>
      <c r="E16" s="242">
        <v>105000</v>
      </c>
      <c r="F16" s="13"/>
    </row>
    <row r="17" customHeight="1" spans="1:6">
      <c r="A17" s="10">
        <v>11</v>
      </c>
      <c r="B17" s="19" t="s">
        <v>1678</v>
      </c>
      <c r="C17" s="4" t="s">
        <v>1679</v>
      </c>
      <c r="D17" s="16" t="s">
        <v>47</v>
      </c>
      <c r="E17" s="242">
        <v>75000</v>
      </c>
      <c r="F17" s="13"/>
    </row>
    <row r="18" ht="19.5" customHeight="1" spans="1:6">
      <c r="A18" s="10">
        <v>12</v>
      </c>
      <c r="B18" s="14" t="s">
        <v>1595</v>
      </c>
      <c r="C18" s="4" t="s">
        <v>643</v>
      </c>
      <c r="D18" s="10" t="s">
        <v>47</v>
      </c>
      <c r="E18" s="242">
        <v>75000</v>
      </c>
      <c r="F18" s="13"/>
    </row>
    <row r="19" ht="19.5" customHeight="1" spans="1:6">
      <c r="A19" s="10">
        <v>13</v>
      </c>
      <c r="B19" s="14" t="s">
        <v>1680</v>
      </c>
      <c r="C19" s="4" t="s">
        <v>1681</v>
      </c>
      <c r="D19" s="10" t="s">
        <v>47</v>
      </c>
      <c r="E19" s="242">
        <v>75000</v>
      </c>
      <c r="F19" s="13"/>
    </row>
    <row r="20" customHeight="1" spans="1:6">
      <c r="A20" s="10">
        <v>14</v>
      </c>
      <c r="B20" s="11" t="s">
        <v>40</v>
      </c>
      <c r="C20" s="4" t="s">
        <v>643</v>
      </c>
      <c r="D20" s="15" t="s">
        <v>47</v>
      </c>
      <c r="E20" s="242">
        <v>75000</v>
      </c>
      <c r="F20" s="13"/>
    </row>
    <row r="21" customHeight="1" spans="1:6">
      <c r="A21" s="10">
        <v>15</v>
      </c>
      <c r="B21" s="11" t="s">
        <v>51</v>
      </c>
      <c r="C21" s="12" t="s">
        <v>61</v>
      </c>
      <c r="D21" s="15" t="s">
        <v>218</v>
      </c>
      <c r="E21" s="242">
        <v>75000</v>
      </c>
      <c r="F21" s="13"/>
    </row>
    <row r="22" customHeight="1" spans="1:6">
      <c r="A22" s="10">
        <v>16</v>
      </c>
      <c r="B22" s="18" t="s">
        <v>54</v>
      </c>
      <c r="C22" s="4" t="s">
        <v>55</v>
      </c>
      <c r="D22" s="15" t="s">
        <v>602</v>
      </c>
      <c r="E22" s="242">
        <v>75000</v>
      </c>
      <c r="F22" s="13"/>
    </row>
    <row r="23" customHeight="1" spans="1:6">
      <c r="A23" s="10">
        <v>17</v>
      </c>
      <c r="B23" s="11" t="s">
        <v>193</v>
      </c>
      <c r="C23" s="12" t="s">
        <v>929</v>
      </c>
      <c r="D23" s="15" t="s">
        <v>70</v>
      </c>
      <c r="E23" s="242">
        <v>45000</v>
      </c>
      <c r="F23" s="13"/>
    </row>
    <row r="24" ht="18.75" customHeight="1" spans="1:6">
      <c r="A24" s="10">
        <v>18</v>
      </c>
      <c r="B24" s="11" t="s">
        <v>65</v>
      </c>
      <c r="C24" s="12" t="s">
        <v>178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1" t="s">
        <v>259</v>
      </c>
      <c r="C25" s="4" t="s">
        <v>260</v>
      </c>
      <c r="D25" s="15" t="s">
        <v>131</v>
      </c>
      <c r="E25" s="242">
        <v>45000</v>
      </c>
      <c r="F25" s="13"/>
    </row>
    <row r="26" ht="18.75" customHeight="1" spans="1:6">
      <c r="A26" s="10">
        <v>20</v>
      </c>
      <c r="B26" s="18" t="s">
        <v>1682</v>
      </c>
      <c r="C26" s="12" t="s">
        <v>104</v>
      </c>
      <c r="D26" s="15" t="s">
        <v>78</v>
      </c>
      <c r="E26" s="242">
        <v>45000</v>
      </c>
      <c r="F26" s="13"/>
    </row>
    <row r="27" ht="18.75" customHeight="1" spans="1:6">
      <c r="A27" s="10">
        <v>21</v>
      </c>
      <c r="B27" s="4" t="s">
        <v>478</v>
      </c>
      <c r="C27" s="4" t="s">
        <v>94</v>
      </c>
      <c r="D27" s="10" t="s">
        <v>99</v>
      </c>
      <c r="E27" s="242">
        <v>45000</v>
      </c>
      <c r="F27" s="13"/>
    </row>
    <row r="28" ht="18.75" customHeight="1" spans="1:6">
      <c r="A28" s="10">
        <v>22</v>
      </c>
      <c r="B28" s="18" t="s">
        <v>79</v>
      </c>
      <c r="C28" s="12" t="s">
        <v>94</v>
      </c>
      <c r="D28" s="15" t="s">
        <v>99</v>
      </c>
      <c r="E28" s="242">
        <v>45000</v>
      </c>
      <c r="F28" s="13"/>
    </row>
    <row r="29" ht="18.75" customHeight="1" spans="1:6">
      <c r="A29" s="10">
        <v>23</v>
      </c>
      <c r="B29" s="11" t="s">
        <v>1596</v>
      </c>
      <c r="C29" s="12" t="s">
        <v>1597</v>
      </c>
      <c r="D29" s="15" t="s">
        <v>99</v>
      </c>
      <c r="E29" s="242">
        <v>45000</v>
      </c>
      <c r="F29" s="13"/>
    </row>
    <row r="30" ht="18.75" customHeight="1" spans="1:6">
      <c r="A30" s="10">
        <v>24</v>
      </c>
      <c r="B30" s="18" t="s">
        <v>84</v>
      </c>
      <c r="C30" s="12" t="s">
        <v>1544</v>
      </c>
      <c r="D30" s="15" t="s">
        <v>105</v>
      </c>
      <c r="E30" s="242">
        <v>45000</v>
      </c>
      <c r="F30" s="13"/>
    </row>
    <row r="31" ht="18.75" customHeight="1" spans="1:6">
      <c r="A31" s="10">
        <v>25</v>
      </c>
      <c r="B31" s="18" t="s">
        <v>87</v>
      </c>
      <c r="C31" s="4" t="s">
        <v>1598</v>
      </c>
      <c r="D31" s="10" t="s">
        <v>105</v>
      </c>
      <c r="E31" s="242">
        <v>45000</v>
      </c>
      <c r="F31" s="13"/>
    </row>
    <row r="32" ht="18.75" customHeight="1" spans="1:6">
      <c r="A32" s="10">
        <v>26</v>
      </c>
      <c r="B32" s="18" t="s">
        <v>91</v>
      </c>
      <c r="C32" s="17" t="s">
        <v>646</v>
      </c>
      <c r="D32" s="15" t="s">
        <v>99</v>
      </c>
      <c r="E32" s="242">
        <v>45000</v>
      </c>
      <c r="F32" s="13"/>
    </row>
    <row r="33" ht="18.75" customHeight="1" spans="1:6">
      <c r="A33" s="10">
        <v>27</v>
      </c>
      <c r="B33" s="18" t="s">
        <v>95</v>
      </c>
      <c r="C33" s="4" t="s">
        <v>647</v>
      </c>
      <c r="D33" s="10" t="s">
        <v>111</v>
      </c>
      <c r="E33" s="242">
        <v>45000</v>
      </c>
      <c r="F33" s="13"/>
    </row>
    <row r="34" ht="18.75" customHeight="1" spans="1:6">
      <c r="A34" s="10">
        <v>28</v>
      </c>
      <c r="B34" s="18" t="s">
        <v>1525</v>
      </c>
      <c r="C34" s="12" t="s">
        <v>104</v>
      </c>
      <c r="D34" s="15" t="s">
        <v>111</v>
      </c>
      <c r="E34" s="242">
        <v>45000</v>
      </c>
      <c r="F34" s="13"/>
    </row>
    <row r="35" ht="18.75" customHeight="1" spans="1:6">
      <c r="A35" s="10">
        <v>29</v>
      </c>
      <c r="B35" s="18" t="s">
        <v>1683</v>
      </c>
      <c r="C35" s="12" t="s">
        <v>104</v>
      </c>
      <c r="D35" s="15" t="s">
        <v>111</v>
      </c>
      <c r="E35" s="242">
        <v>45000</v>
      </c>
      <c r="F35" s="13"/>
    </row>
    <row r="36" ht="18.75" customHeight="1" spans="1:6">
      <c r="A36" s="10">
        <v>30</v>
      </c>
      <c r="B36" s="18" t="s">
        <v>296</v>
      </c>
      <c r="C36" s="12" t="s">
        <v>291</v>
      </c>
      <c r="D36" s="15" t="s">
        <v>275</v>
      </c>
      <c r="E36" s="242">
        <v>45000</v>
      </c>
      <c r="F36" s="13"/>
    </row>
    <row r="37" ht="26.25" customHeight="1" spans="1:6">
      <c r="A37" s="10"/>
      <c r="B37" s="20" t="s">
        <v>120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121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122</v>
      </c>
      <c r="C40" s="4" t="s">
        <v>123</v>
      </c>
      <c r="D40" s="10" t="s">
        <v>124</v>
      </c>
      <c r="E40" s="242">
        <v>225000</v>
      </c>
      <c r="F40" s="13"/>
    </row>
    <row r="41" ht="18.75" customHeight="1" spans="1:6">
      <c r="A41" s="10">
        <v>2</v>
      </c>
      <c r="B41" s="18" t="s">
        <v>127</v>
      </c>
      <c r="C41" s="4" t="s">
        <v>1137</v>
      </c>
      <c r="D41" s="10" t="s">
        <v>275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137</v>
      </c>
      <c r="C44" s="5"/>
      <c r="D44" s="24"/>
      <c r="E44" s="242"/>
      <c r="F44" s="13"/>
    </row>
    <row r="45" customHeight="1" spans="1:6">
      <c r="A45" s="10">
        <v>1</v>
      </c>
      <c r="B45" s="11" t="s">
        <v>912</v>
      </c>
      <c r="C45" s="4" t="s">
        <v>913</v>
      </c>
      <c r="D45" s="10" t="s">
        <v>124</v>
      </c>
      <c r="E45" s="242">
        <v>225000</v>
      </c>
      <c r="F45" s="13"/>
    </row>
    <row r="46" customHeight="1" spans="1:6">
      <c r="A46" s="10">
        <v>2</v>
      </c>
      <c r="B46" s="11" t="s">
        <v>914</v>
      </c>
      <c r="C46" s="4" t="s">
        <v>44</v>
      </c>
      <c r="D46" s="10" t="s">
        <v>39</v>
      </c>
      <c r="E46" s="242">
        <v>105000</v>
      </c>
      <c r="F46" s="13"/>
    </row>
    <row r="47" customHeight="1" spans="1:6">
      <c r="A47" s="10">
        <v>3</v>
      </c>
      <c r="B47" s="11" t="s">
        <v>138</v>
      </c>
      <c r="C47" s="4" t="s">
        <v>145</v>
      </c>
      <c r="D47" s="10" t="s">
        <v>39</v>
      </c>
      <c r="E47" s="242">
        <v>105000</v>
      </c>
      <c r="F47" s="13"/>
    </row>
    <row r="48" customHeight="1" spans="1:6">
      <c r="A48" s="10">
        <v>4</v>
      </c>
      <c r="B48" s="11" t="s">
        <v>141</v>
      </c>
      <c r="C48" s="4" t="s">
        <v>145</v>
      </c>
      <c r="D48" s="10" t="s">
        <v>39</v>
      </c>
      <c r="E48" s="242">
        <v>105000</v>
      </c>
      <c r="F48" s="13"/>
    </row>
    <row r="49" customHeight="1" spans="1:6">
      <c r="A49" s="10">
        <v>5</v>
      </c>
      <c r="B49" s="11" t="s">
        <v>144</v>
      </c>
      <c r="C49" s="4" t="s">
        <v>145</v>
      </c>
      <c r="D49" s="10" t="s">
        <v>50</v>
      </c>
      <c r="E49" s="242">
        <v>105000</v>
      </c>
      <c r="F49" s="13"/>
    </row>
    <row r="50" customHeight="1" spans="1:6">
      <c r="A50" s="10">
        <v>6</v>
      </c>
      <c r="B50" s="11" t="s">
        <v>146</v>
      </c>
      <c r="C50" s="4" t="s">
        <v>46</v>
      </c>
      <c r="D50" s="10" t="s">
        <v>47</v>
      </c>
      <c r="E50" s="242">
        <v>75000</v>
      </c>
      <c r="F50" s="13"/>
    </row>
    <row r="51" customHeight="1" spans="1:6">
      <c r="A51" s="10">
        <v>7</v>
      </c>
      <c r="B51" s="14" t="s">
        <v>147</v>
      </c>
      <c r="C51" s="4" t="s">
        <v>52</v>
      </c>
      <c r="D51" s="16" t="s">
        <v>47</v>
      </c>
      <c r="E51" s="242">
        <v>75000</v>
      </c>
      <c r="F51" s="13"/>
    </row>
    <row r="52" customHeight="1" spans="1:6">
      <c r="A52" s="10">
        <v>8</v>
      </c>
      <c r="B52" s="11" t="s">
        <v>1601</v>
      </c>
      <c r="C52" s="4" t="s">
        <v>52</v>
      </c>
      <c r="D52" s="10" t="s">
        <v>214</v>
      </c>
      <c r="E52" s="242">
        <v>75000</v>
      </c>
      <c r="F52" s="13"/>
    </row>
    <row r="53" customHeight="1" spans="1:6">
      <c r="A53" s="10">
        <v>9</v>
      </c>
      <c r="B53" s="11" t="s">
        <v>45</v>
      </c>
      <c r="C53" s="4" t="s">
        <v>927</v>
      </c>
      <c r="D53" s="10" t="s">
        <v>601</v>
      </c>
      <c r="E53" s="242">
        <v>75000</v>
      </c>
      <c r="F53" s="13"/>
    </row>
    <row r="54" customHeight="1" spans="1:6">
      <c r="A54" s="10">
        <v>10</v>
      </c>
      <c r="B54" s="11" t="s">
        <v>155</v>
      </c>
      <c r="C54" s="4" t="s">
        <v>152</v>
      </c>
      <c r="D54" s="10" t="s">
        <v>225</v>
      </c>
      <c r="E54" s="242">
        <v>45000</v>
      </c>
      <c r="F54" s="13"/>
    </row>
    <row r="55" customHeight="1" spans="1:6">
      <c r="A55" s="10">
        <v>11</v>
      </c>
      <c r="B55" s="11" t="s">
        <v>915</v>
      </c>
      <c r="C55" s="4" t="s">
        <v>152</v>
      </c>
      <c r="D55" s="10" t="s">
        <v>225</v>
      </c>
      <c r="E55" s="242">
        <v>45000</v>
      </c>
      <c r="F55" s="13"/>
    </row>
    <row r="56" customHeight="1" spans="1:6">
      <c r="A56" s="10">
        <v>12</v>
      </c>
      <c r="B56" s="11" t="s">
        <v>157</v>
      </c>
      <c r="C56" s="4" t="s">
        <v>152</v>
      </c>
      <c r="D56" s="10" t="s">
        <v>225</v>
      </c>
      <c r="E56" s="242">
        <v>45000</v>
      </c>
      <c r="F56" s="13"/>
    </row>
    <row r="57" ht="25.5" customHeight="1" spans="1:6">
      <c r="A57" s="10"/>
      <c r="B57" s="20" t="s">
        <v>120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159</v>
      </c>
      <c r="C59" s="21"/>
      <c r="D59" s="21"/>
      <c r="E59" s="246"/>
      <c r="F59" s="13"/>
    </row>
    <row r="60" customHeight="1" spans="1:6">
      <c r="A60" s="10">
        <v>1</v>
      </c>
      <c r="B60" s="11" t="s">
        <v>916</v>
      </c>
      <c r="C60" s="12" t="s">
        <v>161</v>
      </c>
      <c r="D60" s="15" t="s">
        <v>124</v>
      </c>
      <c r="E60" s="242">
        <v>225000</v>
      </c>
      <c r="F60" s="13"/>
    </row>
    <row r="61" customHeight="1" spans="1:6">
      <c r="A61" s="10">
        <v>2</v>
      </c>
      <c r="B61" s="11" t="s">
        <v>162</v>
      </c>
      <c r="C61" s="12" t="s">
        <v>485</v>
      </c>
      <c r="D61" s="15" t="s">
        <v>925</v>
      </c>
      <c r="E61" s="242">
        <v>105000</v>
      </c>
      <c r="F61" s="13"/>
    </row>
    <row r="62" customHeight="1" spans="1:6">
      <c r="A62" s="10"/>
      <c r="B62" s="20" t="s">
        <v>120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164</v>
      </c>
      <c r="C64" s="21"/>
      <c r="D64" s="21"/>
      <c r="E64" s="246"/>
      <c r="F64" s="13"/>
    </row>
    <row r="65" customHeight="1" spans="1:6">
      <c r="A65" s="10">
        <v>1</v>
      </c>
      <c r="B65" s="11" t="s">
        <v>917</v>
      </c>
      <c r="C65" s="17" t="s">
        <v>918</v>
      </c>
      <c r="D65" s="10" t="s">
        <v>124</v>
      </c>
      <c r="E65" s="242">
        <v>225000</v>
      </c>
      <c r="F65" s="13"/>
    </row>
    <row r="66" customHeight="1" spans="1:6">
      <c r="A66" s="10">
        <v>2</v>
      </c>
      <c r="B66" s="18" t="s">
        <v>919</v>
      </c>
      <c r="C66" s="17" t="s">
        <v>920</v>
      </c>
      <c r="D66" s="15" t="s">
        <v>1532</v>
      </c>
      <c r="E66" s="242">
        <v>105000</v>
      </c>
      <c r="F66" s="13"/>
    </row>
    <row r="67" customHeight="1" spans="1:6">
      <c r="A67" s="10">
        <v>3</v>
      </c>
      <c r="B67" s="11" t="s">
        <v>167</v>
      </c>
      <c r="C67" s="4" t="s">
        <v>217</v>
      </c>
      <c r="D67" s="10" t="s">
        <v>601</v>
      </c>
      <c r="E67" s="242">
        <v>75000</v>
      </c>
      <c r="F67" s="13"/>
    </row>
    <row r="68" customHeight="1" spans="1:6">
      <c r="A68" s="10">
        <v>4</v>
      </c>
      <c r="B68" s="18" t="s">
        <v>921</v>
      </c>
      <c r="C68" s="17" t="s">
        <v>217</v>
      </c>
      <c r="D68" s="15" t="s">
        <v>218</v>
      </c>
      <c r="E68" s="242">
        <v>75000</v>
      </c>
      <c r="F68" s="13"/>
    </row>
    <row r="69" customHeight="1" spans="1:6">
      <c r="A69" s="10">
        <v>5</v>
      </c>
      <c r="B69" s="14" t="s">
        <v>922</v>
      </c>
      <c r="C69" s="17" t="s">
        <v>52</v>
      </c>
      <c r="D69" s="15" t="s">
        <v>47</v>
      </c>
      <c r="E69" s="242">
        <v>75000</v>
      </c>
      <c r="F69" s="13"/>
    </row>
    <row r="70" customHeight="1" spans="1:6">
      <c r="A70" s="10">
        <v>6</v>
      </c>
      <c r="B70" s="14" t="s">
        <v>43</v>
      </c>
      <c r="C70" s="17" t="s">
        <v>52</v>
      </c>
      <c r="D70" s="15" t="s">
        <v>214</v>
      </c>
      <c r="E70" s="242">
        <v>75000</v>
      </c>
      <c r="F70" s="13"/>
    </row>
    <row r="71" customHeight="1" spans="1:6">
      <c r="A71" s="10">
        <v>7</v>
      </c>
      <c r="B71" s="11" t="s">
        <v>171</v>
      </c>
      <c r="C71" s="4" t="s">
        <v>152</v>
      </c>
      <c r="D71" s="10" t="s">
        <v>180</v>
      </c>
      <c r="E71" s="242">
        <v>45000</v>
      </c>
      <c r="F71" s="13"/>
    </row>
    <row r="72" customHeight="1" spans="1:6">
      <c r="A72" s="10">
        <v>8</v>
      </c>
      <c r="B72" s="11" t="s">
        <v>1609</v>
      </c>
      <c r="C72" s="17" t="s">
        <v>72</v>
      </c>
      <c r="D72" s="15" t="s">
        <v>70</v>
      </c>
      <c r="E72" s="242">
        <v>45000</v>
      </c>
      <c r="F72" s="13"/>
    </row>
    <row r="73" customHeight="1" spans="1:6">
      <c r="A73" s="10">
        <v>9</v>
      </c>
      <c r="B73" s="11" t="s">
        <v>172</v>
      </c>
      <c r="C73" s="17" t="s">
        <v>72</v>
      </c>
      <c r="D73" s="15" t="s">
        <v>180</v>
      </c>
      <c r="E73" s="242">
        <v>45000</v>
      </c>
      <c r="F73" s="13"/>
    </row>
    <row r="74" customHeight="1" spans="1:6">
      <c r="A74" s="10">
        <v>10</v>
      </c>
      <c r="B74" s="11" t="s">
        <v>174</v>
      </c>
      <c r="C74" s="17" t="s">
        <v>72</v>
      </c>
      <c r="D74" s="15" t="s">
        <v>180</v>
      </c>
      <c r="E74" s="242">
        <v>45000</v>
      </c>
      <c r="F74" s="13"/>
    </row>
    <row r="75" customHeight="1" spans="1:6">
      <c r="A75" s="10">
        <v>11</v>
      </c>
      <c r="B75" s="11" t="s">
        <v>175</v>
      </c>
      <c r="C75" s="4" t="s">
        <v>649</v>
      </c>
      <c r="D75" s="10" t="s">
        <v>131</v>
      </c>
      <c r="E75" s="242">
        <v>45000</v>
      </c>
      <c r="F75" s="13"/>
    </row>
    <row r="76" customHeight="1" spans="1:6">
      <c r="A76" s="10">
        <v>12</v>
      </c>
      <c r="B76" s="11" t="s">
        <v>1684</v>
      </c>
      <c r="C76" s="17" t="s">
        <v>152</v>
      </c>
      <c r="D76" s="10" t="s">
        <v>75</v>
      </c>
      <c r="E76" s="242">
        <v>45000</v>
      </c>
      <c r="F76" s="13"/>
    </row>
    <row r="77" customHeight="1" spans="1:6">
      <c r="A77" s="10">
        <v>13</v>
      </c>
      <c r="B77" s="11" t="s">
        <v>82</v>
      </c>
      <c r="C77" s="17" t="s">
        <v>69</v>
      </c>
      <c r="D77" s="10" t="s">
        <v>99</v>
      </c>
      <c r="E77" s="242">
        <v>45000</v>
      </c>
      <c r="F77" s="13"/>
    </row>
    <row r="78" customHeight="1" spans="1:6">
      <c r="A78" s="10">
        <v>14</v>
      </c>
      <c r="B78" s="14" t="s">
        <v>68</v>
      </c>
      <c r="C78" s="17" t="s">
        <v>69</v>
      </c>
      <c r="D78" s="10" t="s">
        <v>111</v>
      </c>
      <c r="E78" s="242">
        <v>45000</v>
      </c>
      <c r="F78" s="13"/>
    </row>
    <row r="79" customHeight="1" spans="1:6">
      <c r="A79" s="10"/>
      <c r="B79" s="20" t="s">
        <v>120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183</v>
      </c>
      <c r="C81" s="21"/>
      <c r="D81" s="21"/>
      <c r="E81" s="246"/>
      <c r="F81" s="13"/>
    </row>
    <row r="82" customHeight="1" spans="1:6">
      <c r="A82" s="10">
        <v>1</v>
      </c>
      <c r="B82" s="11" t="s">
        <v>184</v>
      </c>
      <c r="C82" s="4" t="s">
        <v>185</v>
      </c>
      <c r="D82" s="10" t="s">
        <v>124</v>
      </c>
      <c r="E82" s="242">
        <v>225000</v>
      </c>
      <c r="F82" s="13"/>
    </row>
    <row r="83" customHeight="1" spans="1:6">
      <c r="A83" s="10">
        <v>2</v>
      </c>
      <c r="B83" s="14" t="s">
        <v>923</v>
      </c>
      <c r="C83" s="4" t="s">
        <v>924</v>
      </c>
      <c r="D83" s="15" t="s">
        <v>1532</v>
      </c>
      <c r="E83" s="242">
        <v>105000</v>
      </c>
      <c r="F83" s="13"/>
    </row>
    <row r="84" customHeight="1" spans="1:6">
      <c r="A84" s="10">
        <v>3</v>
      </c>
      <c r="B84" s="14" t="s">
        <v>1685</v>
      </c>
      <c r="C84" s="4" t="s">
        <v>1686</v>
      </c>
      <c r="D84" s="15" t="s">
        <v>1532</v>
      </c>
      <c r="E84" s="242">
        <v>105000</v>
      </c>
      <c r="F84" s="13"/>
    </row>
    <row r="85" customHeight="1" spans="1:6">
      <c r="A85" s="10">
        <v>4</v>
      </c>
      <c r="B85" s="11" t="s">
        <v>190</v>
      </c>
      <c r="C85" s="4" t="s">
        <v>1545</v>
      </c>
      <c r="D85" s="15" t="s">
        <v>601</v>
      </c>
      <c r="E85" s="242">
        <v>75000</v>
      </c>
      <c r="F85" s="13"/>
    </row>
    <row r="86" customHeight="1" spans="1:6">
      <c r="A86" s="10">
        <v>5</v>
      </c>
      <c r="B86" s="11" t="s">
        <v>197</v>
      </c>
      <c r="C86" s="4" t="s">
        <v>182</v>
      </c>
      <c r="D86" s="10" t="s">
        <v>75</v>
      </c>
      <c r="E86" s="242">
        <v>45000</v>
      </c>
      <c r="F86" s="13"/>
    </row>
    <row r="87" customHeight="1" spans="1:6">
      <c r="A87" s="10"/>
      <c r="B87" s="20" t="s">
        <v>120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205</v>
      </c>
      <c r="C89" s="25"/>
      <c r="D89" s="21"/>
      <c r="E89" s="242"/>
      <c r="F89" s="13"/>
    </row>
    <row r="90" customHeight="1" spans="1:6">
      <c r="A90" s="10">
        <v>1</v>
      </c>
      <c r="B90" s="11" t="s">
        <v>208</v>
      </c>
      <c r="C90" s="4" t="s">
        <v>145</v>
      </c>
      <c r="D90" s="10" t="s">
        <v>39</v>
      </c>
      <c r="E90" s="242">
        <v>105000</v>
      </c>
      <c r="F90" s="13"/>
    </row>
    <row r="91" customHeight="1" spans="1:6">
      <c r="A91" s="10">
        <v>2</v>
      </c>
      <c r="B91" s="11" t="s">
        <v>206</v>
      </c>
      <c r="C91" s="4" t="s">
        <v>145</v>
      </c>
      <c r="D91" s="10" t="s">
        <v>39</v>
      </c>
      <c r="E91" s="242">
        <v>105000</v>
      </c>
      <c r="F91" s="13"/>
    </row>
    <row r="92" customHeight="1" spans="1:6">
      <c r="A92" s="10">
        <v>3</v>
      </c>
      <c r="B92" s="14" t="s">
        <v>165</v>
      </c>
      <c r="C92" s="4" t="s">
        <v>52</v>
      </c>
      <c r="D92" s="10" t="s">
        <v>192</v>
      </c>
      <c r="E92" s="242">
        <v>75000</v>
      </c>
      <c r="F92" s="13"/>
    </row>
    <row r="93" customHeight="1" spans="1:6">
      <c r="A93" s="10">
        <v>4</v>
      </c>
      <c r="B93" s="11" t="s">
        <v>479</v>
      </c>
      <c r="C93" s="4" t="s">
        <v>46</v>
      </c>
      <c r="D93" s="10" t="s">
        <v>47</v>
      </c>
      <c r="E93" s="242">
        <v>75000</v>
      </c>
      <c r="F93" s="13"/>
    </row>
    <row r="94" ht="21.6" customHeight="1" spans="1:6">
      <c r="A94" s="10">
        <v>5</v>
      </c>
      <c r="B94" s="11" t="s">
        <v>211</v>
      </c>
      <c r="C94" s="4" t="s">
        <v>927</v>
      </c>
      <c r="D94" s="15" t="s">
        <v>601</v>
      </c>
      <c r="E94" s="242">
        <v>75000</v>
      </c>
      <c r="F94" s="13"/>
    </row>
    <row r="95" ht="21.6" customHeight="1" spans="1:6">
      <c r="A95" s="10">
        <v>6</v>
      </c>
      <c r="B95" s="11" t="s">
        <v>212</v>
      </c>
      <c r="C95" s="12" t="s">
        <v>217</v>
      </c>
      <c r="D95" s="15" t="s">
        <v>218</v>
      </c>
      <c r="E95" s="242">
        <v>75000</v>
      </c>
      <c r="F95" s="13"/>
    </row>
    <row r="96" ht="21.6" customHeight="1" spans="1:6">
      <c r="A96" s="10">
        <v>7</v>
      </c>
      <c r="B96" s="11" t="s">
        <v>213</v>
      </c>
      <c r="C96" s="12" t="s">
        <v>217</v>
      </c>
      <c r="D96" s="15" t="s">
        <v>218</v>
      </c>
      <c r="E96" s="242">
        <v>75000</v>
      </c>
      <c r="F96" s="13"/>
    </row>
    <row r="97" ht="21.6" customHeight="1" spans="1:6">
      <c r="A97" s="10">
        <v>8</v>
      </c>
      <c r="B97" s="11" t="s">
        <v>215</v>
      </c>
      <c r="C97" s="17" t="s">
        <v>72</v>
      </c>
      <c r="D97" s="15" t="s">
        <v>180</v>
      </c>
      <c r="E97" s="242">
        <v>45000</v>
      </c>
      <c r="F97" s="13"/>
    </row>
    <row r="98" ht="21.6" customHeight="1" spans="1:6">
      <c r="A98" s="10">
        <v>9</v>
      </c>
      <c r="B98" s="11" t="s">
        <v>220</v>
      </c>
      <c r="C98" s="4" t="s">
        <v>221</v>
      </c>
      <c r="D98" s="10" t="s">
        <v>81</v>
      </c>
      <c r="E98" s="242">
        <v>45000</v>
      </c>
      <c r="F98" s="13"/>
    </row>
    <row r="99" ht="21.6" customHeight="1" spans="1:6">
      <c r="A99" s="10">
        <v>10</v>
      </c>
      <c r="B99" s="11" t="s">
        <v>224</v>
      </c>
      <c r="C99" s="17" t="s">
        <v>505</v>
      </c>
      <c r="D99" s="15" t="s">
        <v>111</v>
      </c>
      <c r="E99" s="242">
        <v>45000</v>
      </c>
      <c r="F99" s="13"/>
    </row>
    <row r="100" customHeight="1" spans="1:6">
      <c r="A100" s="10"/>
      <c r="B100" s="20" t="s">
        <v>120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226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908</v>
      </c>
      <c r="C103" s="10" t="s">
        <v>909</v>
      </c>
      <c r="D103" s="15" t="s">
        <v>210</v>
      </c>
      <c r="E103" s="242">
        <v>150000</v>
      </c>
      <c r="F103" s="13"/>
    </row>
    <row r="104" customHeight="1" spans="1:6">
      <c r="A104" s="10">
        <v>2</v>
      </c>
      <c r="B104" s="11" t="s">
        <v>37</v>
      </c>
      <c r="C104" s="4" t="s">
        <v>230</v>
      </c>
      <c r="D104" s="10" t="s">
        <v>47</v>
      </c>
      <c r="E104" s="242">
        <v>75000</v>
      </c>
      <c r="F104" s="13"/>
    </row>
    <row r="105" customHeight="1" spans="1:6">
      <c r="A105" s="10">
        <v>3</v>
      </c>
      <c r="B105" s="11" t="s">
        <v>235</v>
      </c>
      <c r="C105" s="4" t="s">
        <v>651</v>
      </c>
      <c r="D105" s="15" t="s">
        <v>131</v>
      </c>
      <c r="E105" s="242">
        <v>45000</v>
      </c>
      <c r="F105" s="13"/>
    </row>
    <row r="106" customHeight="1" spans="1:6">
      <c r="A106" s="10">
        <v>4</v>
      </c>
      <c r="B106" s="11" t="s">
        <v>1687</v>
      </c>
      <c r="C106" s="4" t="s">
        <v>1688</v>
      </c>
      <c r="D106" s="15" t="s">
        <v>105</v>
      </c>
      <c r="E106" s="242">
        <v>45000</v>
      </c>
      <c r="F106" s="13"/>
    </row>
    <row r="107" customHeight="1" spans="1:6">
      <c r="A107" s="4"/>
      <c r="B107" s="20" t="s">
        <v>120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239</v>
      </c>
      <c r="C109" s="4"/>
      <c r="D109" s="4"/>
      <c r="E109" s="247"/>
      <c r="F109" s="13"/>
    </row>
    <row r="110" customHeight="1" spans="1:6">
      <c r="A110" s="4">
        <v>1</v>
      </c>
      <c r="B110" s="11" t="s">
        <v>652</v>
      </c>
      <c r="C110" s="12" t="s">
        <v>241</v>
      </c>
      <c r="D110" s="15" t="s">
        <v>124</v>
      </c>
      <c r="E110" s="242">
        <v>225000</v>
      </c>
      <c r="F110" s="13"/>
    </row>
    <row r="111" customHeight="1" spans="1:6">
      <c r="A111" s="4">
        <v>2</v>
      </c>
      <c r="B111" s="11" t="s">
        <v>242</v>
      </c>
      <c r="C111" s="4" t="s">
        <v>243</v>
      </c>
      <c r="D111" s="16" t="s">
        <v>210</v>
      </c>
      <c r="E111" s="242">
        <v>150000</v>
      </c>
      <c r="F111" s="13"/>
    </row>
    <row r="112" customHeight="1" spans="1:6">
      <c r="A112" s="4">
        <v>3</v>
      </c>
      <c r="B112" s="11" t="s">
        <v>244</v>
      </c>
      <c r="C112" s="4" t="s">
        <v>653</v>
      </c>
      <c r="D112" s="10" t="s">
        <v>56</v>
      </c>
      <c r="E112" s="242">
        <v>75000</v>
      </c>
      <c r="F112" s="13"/>
    </row>
    <row r="113" customHeight="1" spans="1:6">
      <c r="A113" s="4">
        <v>4</v>
      </c>
      <c r="B113" s="11" t="s">
        <v>246</v>
      </c>
      <c r="C113" s="4" t="s">
        <v>653</v>
      </c>
      <c r="D113" s="10" t="s">
        <v>56</v>
      </c>
      <c r="E113" s="242">
        <v>75000</v>
      </c>
      <c r="F113" s="13"/>
    </row>
    <row r="114" customHeight="1" spans="1:6">
      <c r="A114" s="4">
        <v>5</v>
      </c>
      <c r="B114" s="11" t="s">
        <v>249</v>
      </c>
      <c r="C114" s="4" t="s">
        <v>250</v>
      </c>
      <c r="D114" s="15" t="s">
        <v>506</v>
      </c>
      <c r="E114" s="242">
        <v>45000</v>
      </c>
      <c r="F114" s="13"/>
    </row>
    <row r="115" customHeight="1" spans="1:6">
      <c r="A115" s="4">
        <v>6</v>
      </c>
      <c r="B115" s="18" t="s">
        <v>252</v>
      </c>
      <c r="C115" s="4" t="s">
        <v>250</v>
      </c>
      <c r="D115" s="10" t="s">
        <v>105</v>
      </c>
      <c r="E115" s="242">
        <v>45000</v>
      </c>
      <c r="F115" s="13"/>
    </row>
    <row r="116" customHeight="1" spans="1:6">
      <c r="A116" s="4">
        <v>7</v>
      </c>
      <c r="B116" s="18" t="s">
        <v>253</v>
      </c>
      <c r="C116" s="4" t="s">
        <v>250</v>
      </c>
      <c r="D116" s="15" t="s">
        <v>111</v>
      </c>
      <c r="E116" s="242">
        <v>45000</v>
      </c>
      <c r="F116" s="13"/>
    </row>
    <row r="117" customHeight="1" spans="1:6">
      <c r="A117" s="4"/>
      <c r="B117" s="20" t="s">
        <v>120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278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279</v>
      </c>
      <c r="C120" s="12" t="s">
        <v>280</v>
      </c>
      <c r="D120" s="15" t="s">
        <v>124</v>
      </c>
      <c r="E120" s="242">
        <v>225000</v>
      </c>
      <c r="F120" s="13"/>
    </row>
    <row r="121" customHeight="1" spans="1:6">
      <c r="A121" s="4">
        <v>2</v>
      </c>
      <c r="B121" s="11" t="s">
        <v>281</v>
      </c>
      <c r="C121" s="12" t="s">
        <v>655</v>
      </c>
      <c r="D121" s="15" t="s">
        <v>39</v>
      </c>
      <c r="E121" s="242">
        <v>105000</v>
      </c>
      <c r="F121" s="13"/>
    </row>
    <row r="122" customHeight="1" spans="1:6">
      <c r="A122" s="4">
        <v>3</v>
      </c>
      <c r="B122" s="14" t="s">
        <v>283</v>
      </c>
      <c r="C122" s="12" t="s">
        <v>655</v>
      </c>
      <c r="D122" s="15" t="s">
        <v>39</v>
      </c>
      <c r="E122" s="242">
        <v>105000</v>
      </c>
      <c r="F122" s="13"/>
    </row>
    <row r="123" customHeight="1" spans="1:6">
      <c r="A123" s="4">
        <v>4</v>
      </c>
      <c r="B123" s="14" t="s">
        <v>930</v>
      </c>
      <c r="C123" s="12" t="s">
        <v>655</v>
      </c>
      <c r="D123" s="15" t="s">
        <v>42</v>
      </c>
      <c r="E123" s="242">
        <v>105000</v>
      </c>
      <c r="F123" s="13"/>
    </row>
    <row r="124" customHeight="1" spans="1:6">
      <c r="A124" s="4">
        <v>5</v>
      </c>
      <c r="B124" s="11" t="s">
        <v>286</v>
      </c>
      <c r="C124" s="12" t="s">
        <v>288</v>
      </c>
      <c r="D124" s="15" t="s">
        <v>214</v>
      </c>
      <c r="E124" s="242">
        <v>75000</v>
      </c>
      <c r="F124" s="13"/>
    </row>
    <row r="125" customHeight="1" spans="1:6">
      <c r="A125" s="4">
        <v>6</v>
      </c>
      <c r="B125" s="11" t="s">
        <v>287</v>
      </c>
      <c r="C125" s="12" t="s">
        <v>656</v>
      </c>
      <c r="D125" s="15" t="s">
        <v>601</v>
      </c>
      <c r="E125" s="242">
        <v>75000</v>
      </c>
      <c r="F125" s="13"/>
    </row>
    <row r="126" customHeight="1" spans="1:6">
      <c r="A126" s="4">
        <v>7</v>
      </c>
      <c r="B126" s="11" t="s">
        <v>289</v>
      </c>
      <c r="C126" s="12" t="s">
        <v>1547</v>
      </c>
      <c r="D126" s="15" t="s">
        <v>601</v>
      </c>
      <c r="E126" s="242">
        <v>75000</v>
      </c>
      <c r="F126" s="13"/>
    </row>
    <row r="127" customHeight="1" spans="1:6">
      <c r="A127" s="4">
        <v>8</v>
      </c>
      <c r="B127" s="11" t="s">
        <v>292</v>
      </c>
      <c r="C127" s="12" t="s">
        <v>657</v>
      </c>
      <c r="D127" s="10" t="s">
        <v>99</v>
      </c>
      <c r="E127" s="242">
        <v>45000</v>
      </c>
      <c r="F127" s="13"/>
    </row>
    <row r="128" customHeight="1" spans="1:6">
      <c r="A128" s="4">
        <v>9</v>
      </c>
      <c r="B128" s="18" t="s">
        <v>294</v>
      </c>
      <c r="C128" s="12" t="s">
        <v>295</v>
      </c>
      <c r="D128" s="15" t="s">
        <v>111</v>
      </c>
      <c r="E128" s="242">
        <v>45000</v>
      </c>
      <c r="F128" s="13"/>
    </row>
    <row r="129" customHeight="1" spans="1:6">
      <c r="A129" s="4"/>
      <c r="B129" s="20" t="s">
        <v>120</v>
      </c>
      <c r="C129" s="26" t="s">
        <v>1689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299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931</v>
      </c>
      <c r="C132" s="12" t="s">
        <v>932</v>
      </c>
      <c r="D132" s="15" t="s">
        <v>124</v>
      </c>
      <c r="E132" s="242">
        <v>225000</v>
      </c>
      <c r="F132" s="13"/>
    </row>
    <row r="133" customHeight="1" spans="1:6">
      <c r="A133" s="27">
        <v>2</v>
      </c>
      <c r="B133" s="11" t="s">
        <v>933</v>
      </c>
      <c r="C133" s="12" t="s">
        <v>934</v>
      </c>
      <c r="D133" s="15" t="s">
        <v>36</v>
      </c>
      <c r="E133" s="242">
        <v>150000</v>
      </c>
      <c r="F133" s="13"/>
    </row>
    <row r="134" customHeight="1" spans="1:6">
      <c r="A134" s="27">
        <v>3</v>
      </c>
      <c r="B134" s="14" t="s">
        <v>302</v>
      </c>
      <c r="C134" s="4" t="s">
        <v>488</v>
      </c>
      <c r="D134" s="16" t="s">
        <v>210</v>
      </c>
      <c r="E134" s="242">
        <v>150000</v>
      </c>
      <c r="F134" s="13"/>
    </row>
    <row r="135" customHeight="1" spans="1:6">
      <c r="A135" s="27">
        <v>4</v>
      </c>
      <c r="B135" s="11" t="s">
        <v>305</v>
      </c>
      <c r="C135" s="12" t="s">
        <v>935</v>
      </c>
      <c r="D135" s="15" t="s">
        <v>47</v>
      </c>
      <c r="E135" s="242">
        <v>75000</v>
      </c>
      <c r="F135" s="13"/>
    </row>
    <row r="136" customHeight="1" spans="1:6">
      <c r="A136" s="27">
        <v>5</v>
      </c>
      <c r="B136" s="11" t="s">
        <v>307</v>
      </c>
      <c r="C136" s="4" t="s">
        <v>311</v>
      </c>
      <c r="D136" s="15" t="s">
        <v>47</v>
      </c>
      <c r="E136" s="242">
        <v>75000</v>
      </c>
      <c r="F136" s="13"/>
    </row>
    <row r="137" customHeight="1" spans="1:6">
      <c r="A137" s="27">
        <v>6</v>
      </c>
      <c r="B137" s="11" t="s">
        <v>229</v>
      </c>
      <c r="C137" s="4" t="s">
        <v>937</v>
      </c>
      <c r="D137" s="15" t="s">
        <v>601</v>
      </c>
      <c r="E137" s="242">
        <v>75000</v>
      </c>
      <c r="F137" s="13"/>
    </row>
    <row r="138" customHeight="1" spans="1:6">
      <c r="A138" s="27">
        <v>7</v>
      </c>
      <c r="B138" s="11" t="s">
        <v>231</v>
      </c>
      <c r="C138" s="12" t="s">
        <v>936</v>
      </c>
      <c r="D138" s="15" t="s">
        <v>70</v>
      </c>
      <c r="E138" s="242">
        <v>45000</v>
      </c>
      <c r="F138" s="13"/>
    </row>
    <row r="139" customHeight="1" spans="1:6">
      <c r="A139" s="27">
        <v>8</v>
      </c>
      <c r="B139" s="11" t="s">
        <v>312</v>
      </c>
      <c r="C139" s="12" t="s">
        <v>936</v>
      </c>
      <c r="D139" s="15" t="s">
        <v>70</v>
      </c>
      <c r="E139" s="242">
        <v>45000</v>
      </c>
      <c r="F139" s="13"/>
    </row>
    <row r="140" customHeight="1" spans="1:6">
      <c r="A140" s="27">
        <v>9</v>
      </c>
      <c r="B140" s="11" t="s">
        <v>313</v>
      </c>
      <c r="C140" s="4" t="s">
        <v>937</v>
      </c>
      <c r="D140" s="15" t="s">
        <v>70</v>
      </c>
      <c r="E140" s="242">
        <v>45000</v>
      </c>
      <c r="F140" s="13"/>
    </row>
    <row r="141" customHeight="1" spans="1:6">
      <c r="A141" s="27">
        <v>10</v>
      </c>
      <c r="B141" s="11" t="s">
        <v>315</v>
      </c>
      <c r="C141" s="12" t="s">
        <v>938</v>
      </c>
      <c r="D141" s="15" t="s">
        <v>131</v>
      </c>
      <c r="E141" s="242">
        <v>45000</v>
      </c>
      <c r="F141" s="13"/>
    </row>
    <row r="142" customHeight="1" spans="1:6">
      <c r="A142" s="27">
        <v>11</v>
      </c>
      <c r="B142" s="11" t="s">
        <v>317</v>
      </c>
      <c r="C142" s="12" t="s">
        <v>1549</v>
      </c>
      <c r="D142" s="15" t="s">
        <v>153</v>
      </c>
      <c r="E142" s="242">
        <v>45000</v>
      </c>
      <c r="F142" s="13"/>
    </row>
    <row r="143" customHeight="1" spans="1:6">
      <c r="A143" s="27">
        <v>12</v>
      </c>
      <c r="B143" s="11" t="s">
        <v>62</v>
      </c>
      <c r="C143" s="12" t="s">
        <v>938</v>
      </c>
      <c r="D143" s="15" t="s">
        <v>70</v>
      </c>
      <c r="E143" s="242">
        <v>45000</v>
      </c>
      <c r="F143" s="13"/>
    </row>
    <row r="144" customHeight="1" spans="1:6">
      <c r="A144" s="27">
        <v>13</v>
      </c>
      <c r="B144" s="18" t="s">
        <v>319</v>
      </c>
      <c r="C144" s="4" t="s">
        <v>328</v>
      </c>
      <c r="D144" s="15" t="s">
        <v>153</v>
      </c>
      <c r="E144" s="242">
        <v>45000</v>
      </c>
      <c r="F144" s="13"/>
    </row>
    <row r="145" customHeight="1" spans="1:6">
      <c r="A145" s="27">
        <v>14</v>
      </c>
      <c r="B145" s="11" t="s">
        <v>321</v>
      </c>
      <c r="C145" s="4" t="s">
        <v>939</v>
      </c>
      <c r="D145" s="15" t="s">
        <v>75</v>
      </c>
      <c r="E145" s="242">
        <v>45000</v>
      </c>
      <c r="F145" s="13"/>
    </row>
    <row r="146" customHeight="1" spans="1:6">
      <c r="A146" s="27">
        <v>15</v>
      </c>
      <c r="B146" s="11" t="s">
        <v>322</v>
      </c>
      <c r="C146" s="4" t="s">
        <v>939</v>
      </c>
      <c r="D146" s="15" t="s">
        <v>78</v>
      </c>
      <c r="E146" s="242">
        <v>45000</v>
      </c>
      <c r="F146" s="13"/>
    </row>
    <row r="147" customHeight="1" spans="1:6">
      <c r="A147" s="27">
        <v>16</v>
      </c>
      <c r="B147" s="11" t="s">
        <v>324</v>
      </c>
      <c r="C147" s="4" t="s">
        <v>939</v>
      </c>
      <c r="D147" s="15" t="s">
        <v>78</v>
      </c>
      <c r="E147" s="242">
        <v>45000</v>
      </c>
      <c r="F147" s="13"/>
    </row>
    <row r="148" customHeight="1" spans="1:6">
      <c r="A148" s="27">
        <v>17</v>
      </c>
      <c r="B148" s="11" t="s">
        <v>325</v>
      </c>
      <c r="C148" s="12" t="s">
        <v>326</v>
      </c>
      <c r="D148" s="15" t="s">
        <v>81</v>
      </c>
      <c r="E148" s="242">
        <v>45000</v>
      </c>
      <c r="F148" s="13"/>
    </row>
    <row r="149" customHeight="1" spans="1:6">
      <c r="A149" s="27">
        <v>18</v>
      </c>
      <c r="B149" s="11" t="s">
        <v>1533</v>
      </c>
      <c r="C149" s="12" t="s">
        <v>328</v>
      </c>
      <c r="D149" s="10" t="s">
        <v>225</v>
      </c>
      <c r="E149" s="242">
        <v>45000</v>
      </c>
      <c r="F149" s="13"/>
    </row>
    <row r="150" customHeight="1" spans="1:6">
      <c r="A150" s="27">
        <v>19</v>
      </c>
      <c r="B150" s="11" t="s">
        <v>329</v>
      </c>
      <c r="C150" s="12" t="s">
        <v>661</v>
      </c>
      <c r="D150" s="15" t="s">
        <v>75</v>
      </c>
      <c r="E150" s="242">
        <v>45000</v>
      </c>
      <c r="F150" s="13"/>
    </row>
    <row r="151" customHeight="1" spans="1:6">
      <c r="A151" s="27">
        <v>20</v>
      </c>
      <c r="B151" s="11" t="s">
        <v>331</v>
      </c>
      <c r="C151" s="12" t="s">
        <v>662</v>
      </c>
      <c r="D151" s="15" t="s">
        <v>99</v>
      </c>
      <c r="E151" s="242">
        <v>45000</v>
      </c>
      <c r="F151" s="13"/>
    </row>
    <row r="152" customHeight="1" spans="1:6">
      <c r="A152" s="27">
        <v>21</v>
      </c>
      <c r="B152" s="11" t="s">
        <v>333</v>
      </c>
      <c r="C152" s="12" t="s">
        <v>663</v>
      </c>
      <c r="D152" s="15" t="s">
        <v>75</v>
      </c>
      <c r="E152" s="242">
        <v>45000</v>
      </c>
      <c r="F152" s="13"/>
    </row>
    <row r="153" customHeight="1" spans="1:6">
      <c r="A153" s="27">
        <v>22</v>
      </c>
      <c r="B153" s="11" t="s">
        <v>334</v>
      </c>
      <c r="C153" s="12" t="s">
        <v>664</v>
      </c>
      <c r="D153" s="15" t="s">
        <v>99</v>
      </c>
      <c r="E153" s="242">
        <v>45000</v>
      </c>
      <c r="F153" s="13"/>
    </row>
    <row r="154" customHeight="1" spans="1:6">
      <c r="A154" s="27">
        <v>23</v>
      </c>
      <c r="B154" s="18" t="s">
        <v>336</v>
      </c>
      <c r="C154" s="12" t="s">
        <v>346</v>
      </c>
      <c r="D154" s="15" t="s">
        <v>105</v>
      </c>
      <c r="E154" s="242">
        <v>45000</v>
      </c>
      <c r="F154" s="13"/>
    </row>
    <row r="155" customHeight="1" spans="1:6">
      <c r="A155" s="27">
        <v>24</v>
      </c>
      <c r="B155" s="18" t="s">
        <v>343</v>
      </c>
      <c r="C155" s="12" t="s">
        <v>344</v>
      </c>
      <c r="D155" s="15" t="s">
        <v>275</v>
      </c>
      <c r="E155" s="242">
        <v>45000</v>
      </c>
      <c r="F155" s="13"/>
    </row>
    <row r="156" customHeight="1" spans="1:6">
      <c r="A156" s="27">
        <v>25</v>
      </c>
      <c r="B156" s="18" t="s">
        <v>345</v>
      </c>
      <c r="C156" s="12" t="s">
        <v>346</v>
      </c>
      <c r="D156" s="15" t="s">
        <v>275</v>
      </c>
      <c r="E156" s="242">
        <v>45000</v>
      </c>
      <c r="F156" s="13"/>
    </row>
    <row r="157" customHeight="1" spans="1:6">
      <c r="A157" s="27">
        <v>26</v>
      </c>
      <c r="B157" s="18" t="s">
        <v>347</v>
      </c>
      <c r="C157" s="12" t="s">
        <v>348</v>
      </c>
      <c r="D157" s="15" t="s">
        <v>111</v>
      </c>
      <c r="E157" s="242">
        <v>45000</v>
      </c>
      <c r="F157" s="13"/>
    </row>
    <row r="158" customHeight="1" spans="1:6">
      <c r="A158" s="27">
        <v>27</v>
      </c>
      <c r="B158" s="18" t="s">
        <v>349</v>
      </c>
      <c r="C158" s="12" t="s">
        <v>665</v>
      </c>
      <c r="D158" s="15" t="s">
        <v>111</v>
      </c>
      <c r="E158" s="242">
        <v>45000</v>
      </c>
      <c r="F158" s="13"/>
    </row>
    <row r="159" customHeight="1" spans="1:6">
      <c r="A159" s="27">
        <v>28</v>
      </c>
      <c r="B159" s="11" t="s">
        <v>359</v>
      </c>
      <c r="C159" s="12" t="s">
        <v>512</v>
      </c>
      <c r="D159" s="15" t="s">
        <v>377</v>
      </c>
      <c r="E159" s="242">
        <v>30000</v>
      </c>
      <c r="F159" s="13"/>
    </row>
    <row r="160" customHeight="1" spans="1:6">
      <c r="A160" s="27">
        <v>29</v>
      </c>
      <c r="B160" s="11" t="s">
        <v>362</v>
      </c>
      <c r="C160" s="12" t="s">
        <v>512</v>
      </c>
      <c r="D160" s="15" t="s">
        <v>377</v>
      </c>
      <c r="E160" s="242">
        <v>30000</v>
      </c>
      <c r="F160" s="13"/>
    </row>
    <row r="161" customHeight="1" spans="1:6">
      <c r="A161" s="27">
        <v>30</v>
      </c>
      <c r="B161" s="11" t="s">
        <v>666</v>
      </c>
      <c r="C161" s="12" t="s">
        <v>512</v>
      </c>
      <c r="D161" s="15" t="s">
        <v>377</v>
      </c>
      <c r="E161" s="242">
        <v>30000</v>
      </c>
      <c r="F161" s="13"/>
    </row>
    <row r="162" customHeight="1" spans="1:6">
      <c r="A162" s="27">
        <v>32</v>
      </c>
      <c r="B162" s="11" t="s">
        <v>363</v>
      </c>
      <c r="C162" s="12" t="s">
        <v>512</v>
      </c>
      <c r="D162" s="15" t="s">
        <v>377</v>
      </c>
      <c r="E162" s="242">
        <v>30000</v>
      </c>
      <c r="F162" s="13"/>
    </row>
    <row r="163" customHeight="1" spans="1:6">
      <c r="A163" s="27">
        <v>33</v>
      </c>
      <c r="B163" s="11" t="s">
        <v>364</v>
      </c>
      <c r="C163" s="12" t="s">
        <v>512</v>
      </c>
      <c r="D163" s="15" t="s">
        <v>377</v>
      </c>
      <c r="E163" s="242">
        <v>30000</v>
      </c>
      <c r="F163" s="13"/>
    </row>
    <row r="164" customHeight="1" spans="1:6">
      <c r="A164" s="27">
        <v>34</v>
      </c>
      <c r="B164" s="11" t="s">
        <v>365</v>
      </c>
      <c r="C164" s="12" t="s">
        <v>512</v>
      </c>
      <c r="D164" s="15" t="s">
        <v>606</v>
      </c>
      <c r="E164" s="242">
        <v>30000</v>
      </c>
      <c r="F164" s="13"/>
    </row>
    <row r="165" customHeight="1" spans="1:6">
      <c r="A165" s="27">
        <v>35</v>
      </c>
      <c r="B165" s="11" t="s">
        <v>367</v>
      </c>
      <c r="C165" s="12" t="s">
        <v>512</v>
      </c>
      <c r="D165" s="15" t="s">
        <v>606</v>
      </c>
      <c r="E165" s="242">
        <v>30000</v>
      </c>
      <c r="F165" s="13"/>
    </row>
    <row r="166" customHeight="1" spans="1:6">
      <c r="A166" s="27">
        <v>36</v>
      </c>
      <c r="B166" s="11" t="s">
        <v>1690</v>
      </c>
      <c r="C166" s="12" t="s">
        <v>512</v>
      </c>
      <c r="D166" s="15" t="s">
        <v>606</v>
      </c>
      <c r="E166" s="242">
        <v>30000</v>
      </c>
      <c r="F166" s="13"/>
    </row>
    <row r="167" customHeight="1" spans="1:6">
      <c r="A167" s="27">
        <v>37</v>
      </c>
      <c r="B167" s="14" t="s">
        <v>368</v>
      </c>
      <c r="C167" s="12" t="s">
        <v>512</v>
      </c>
      <c r="D167" s="15" t="s">
        <v>606</v>
      </c>
      <c r="E167" s="242">
        <v>30000</v>
      </c>
      <c r="F167" s="13"/>
    </row>
    <row r="168" customHeight="1" spans="1:6">
      <c r="A168" s="27">
        <v>38</v>
      </c>
      <c r="B168" s="11" t="s">
        <v>369</v>
      </c>
      <c r="C168" s="12" t="s">
        <v>512</v>
      </c>
      <c r="D168" s="15" t="s">
        <v>606</v>
      </c>
      <c r="E168" s="242">
        <v>30000</v>
      </c>
      <c r="F168" s="13"/>
    </row>
    <row r="169" customHeight="1" spans="1:6">
      <c r="A169" s="27">
        <v>39</v>
      </c>
      <c r="B169" s="18" t="s">
        <v>370</v>
      </c>
      <c r="C169" s="12" t="s">
        <v>512</v>
      </c>
      <c r="D169" s="15" t="s">
        <v>606</v>
      </c>
      <c r="E169" s="242">
        <v>30000</v>
      </c>
      <c r="F169" s="13"/>
    </row>
    <row r="170" customHeight="1" spans="1:6">
      <c r="A170" s="27">
        <v>40</v>
      </c>
      <c r="B170" s="18" t="s">
        <v>357</v>
      </c>
      <c r="C170" s="12" t="s">
        <v>512</v>
      </c>
      <c r="D170" s="15" t="s">
        <v>606</v>
      </c>
      <c r="E170" s="242">
        <v>30000</v>
      </c>
      <c r="F170" s="13"/>
    </row>
    <row r="171" customHeight="1" spans="1:6">
      <c r="A171" s="27">
        <v>41</v>
      </c>
      <c r="B171" s="11" t="s">
        <v>371</v>
      </c>
      <c r="C171" s="12" t="s">
        <v>387</v>
      </c>
      <c r="D171" s="15" t="s">
        <v>608</v>
      </c>
      <c r="E171" s="242">
        <v>30000</v>
      </c>
      <c r="F171" s="13"/>
    </row>
    <row r="172" customHeight="1" spans="1:6">
      <c r="A172" s="27">
        <v>42</v>
      </c>
      <c r="B172" s="11" t="s">
        <v>373</v>
      </c>
      <c r="C172" s="12" t="s">
        <v>387</v>
      </c>
      <c r="D172" s="15" t="s">
        <v>608</v>
      </c>
      <c r="E172" s="242">
        <v>30000</v>
      </c>
      <c r="F172" s="13"/>
    </row>
    <row r="173" customHeight="1" spans="1:6">
      <c r="A173" s="27">
        <v>43</v>
      </c>
      <c r="B173" s="18" t="s">
        <v>374</v>
      </c>
      <c r="C173" s="12" t="s">
        <v>387</v>
      </c>
      <c r="D173" s="15" t="s">
        <v>388</v>
      </c>
      <c r="E173" s="242">
        <v>30000</v>
      </c>
      <c r="F173" s="13"/>
    </row>
    <row r="174" customHeight="1" spans="1:6">
      <c r="A174" s="27">
        <v>44</v>
      </c>
      <c r="B174" s="11" t="s">
        <v>376</v>
      </c>
      <c r="C174" s="12" t="s">
        <v>387</v>
      </c>
      <c r="D174" s="15" t="s">
        <v>403</v>
      </c>
      <c r="E174" s="242">
        <v>30000</v>
      </c>
      <c r="F174" s="13"/>
    </row>
    <row r="175" customHeight="1" spans="1:6">
      <c r="A175" s="27">
        <v>45</v>
      </c>
      <c r="B175" s="11" t="s">
        <v>378</v>
      </c>
      <c r="C175" s="12" t="s">
        <v>514</v>
      </c>
      <c r="D175" s="15" t="s">
        <v>1534</v>
      </c>
      <c r="E175" s="242">
        <v>30000</v>
      </c>
      <c r="F175" s="13"/>
    </row>
    <row r="176" customHeight="1" spans="1:6">
      <c r="A176" s="27">
        <v>46</v>
      </c>
      <c r="B176" s="11" t="s">
        <v>379</v>
      </c>
      <c r="C176" s="12" t="s">
        <v>514</v>
      </c>
      <c r="D176" s="15" t="s">
        <v>1534</v>
      </c>
      <c r="E176" s="242">
        <v>30000</v>
      </c>
      <c r="F176" s="13"/>
    </row>
    <row r="177" customHeight="1" spans="1:6">
      <c r="A177" s="27">
        <v>47</v>
      </c>
      <c r="B177" s="11" t="s">
        <v>380</v>
      </c>
      <c r="C177" s="12" t="s">
        <v>514</v>
      </c>
      <c r="D177" s="15" t="s">
        <v>1534</v>
      </c>
      <c r="E177" s="242">
        <v>30000</v>
      </c>
      <c r="F177" s="13"/>
    </row>
    <row r="178" customHeight="1" spans="1:6">
      <c r="A178" s="27">
        <v>48</v>
      </c>
      <c r="B178" s="11" t="s">
        <v>381</v>
      </c>
      <c r="C178" s="12" t="s">
        <v>514</v>
      </c>
      <c r="D178" s="15" t="s">
        <v>1534</v>
      </c>
      <c r="E178" s="242">
        <v>30000</v>
      </c>
      <c r="F178" s="13"/>
    </row>
    <row r="179" customHeight="1" spans="1:6">
      <c r="A179" s="27">
        <v>49</v>
      </c>
      <c r="B179" s="11" t="s">
        <v>382</v>
      </c>
      <c r="C179" s="12" t="s">
        <v>514</v>
      </c>
      <c r="D179" s="15" t="s">
        <v>1534</v>
      </c>
      <c r="E179" s="242">
        <v>30000</v>
      </c>
      <c r="F179" s="13"/>
    </row>
    <row r="180" customHeight="1" spans="1:6">
      <c r="A180" s="27">
        <v>50</v>
      </c>
      <c r="B180" s="18" t="s">
        <v>383</v>
      </c>
      <c r="C180" s="12" t="s">
        <v>514</v>
      </c>
      <c r="D180" s="15" t="s">
        <v>1534</v>
      </c>
      <c r="E180" s="242">
        <v>30000</v>
      </c>
      <c r="F180" s="13"/>
    </row>
    <row r="181" customHeight="1" spans="1:6">
      <c r="A181" s="27">
        <v>51</v>
      </c>
      <c r="B181" s="18" t="s">
        <v>385</v>
      </c>
      <c r="C181" s="12" t="s">
        <v>514</v>
      </c>
      <c r="D181" s="15" t="s">
        <v>1534</v>
      </c>
      <c r="E181" s="242">
        <v>30000</v>
      </c>
      <c r="F181" s="13"/>
    </row>
    <row r="182" customHeight="1" spans="1:6">
      <c r="A182" s="27">
        <v>52</v>
      </c>
      <c r="B182" s="11" t="s">
        <v>668</v>
      </c>
      <c r="C182" s="12" t="s">
        <v>387</v>
      </c>
      <c r="D182" s="15" t="s">
        <v>1534</v>
      </c>
      <c r="E182" s="242">
        <v>30000</v>
      </c>
      <c r="F182" s="13"/>
    </row>
    <row r="183" customHeight="1" spans="1:6">
      <c r="A183" s="27">
        <v>53</v>
      </c>
      <c r="B183" s="11" t="s">
        <v>386</v>
      </c>
      <c r="C183" s="12" t="s">
        <v>387</v>
      </c>
      <c r="D183" s="15" t="s">
        <v>1534</v>
      </c>
      <c r="E183" s="242">
        <v>30000</v>
      </c>
      <c r="F183" s="13"/>
    </row>
    <row r="184" customHeight="1" spans="1:6">
      <c r="A184" s="27">
        <v>54</v>
      </c>
      <c r="B184" s="18" t="s">
        <v>358</v>
      </c>
      <c r="C184" s="12" t="s">
        <v>514</v>
      </c>
      <c r="D184" s="15" t="s">
        <v>1550</v>
      </c>
      <c r="E184" s="242">
        <v>30000</v>
      </c>
      <c r="F184" s="13"/>
    </row>
    <row r="185" customHeight="1" spans="1:6">
      <c r="A185" s="27">
        <v>55</v>
      </c>
      <c r="B185" s="18" t="s">
        <v>392</v>
      </c>
      <c r="C185" s="12" t="s">
        <v>514</v>
      </c>
      <c r="D185" s="15" t="s">
        <v>609</v>
      </c>
      <c r="E185" s="242">
        <v>30000</v>
      </c>
      <c r="F185" s="13"/>
    </row>
    <row r="186" customHeight="1" spans="1:6">
      <c r="A186" s="27"/>
      <c r="B186" s="8" t="s">
        <v>120</v>
      </c>
      <c r="C186" s="28" t="s">
        <v>1691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406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1:6">
      <c r="B189" s="33"/>
      <c r="D189" s="34"/>
      <c r="E189" s="103"/>
      <c r="F189" s="35"/>
    </row>
    <row r="190" ht="65.25" customHeight="1" spans="1:6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57"/>
    </row>
    <row r="2" ht="33.75" customHeight="1" spans="1:6">
      <c r="A2" s="236" t="s">
        <v>1674</v>
      </c>
      <c r="B2" s="77"/>
      <c r="C2" s="76"/>
      <c r="D2" s="76"/>
      <c r="E2" s="78"/>
    </row>
    <row r="3" ht="9.75" customHeight="1"/>
    <row r="4" ht="49.5" customHeight="1" spans="1:6">
      <c r="A4" s="237"/>
      <c r="B4" s="238" t="s">
        <v>2</v>
      </c>
      <c r="C4" s="239" t="s">
        <v>3</v>
      </c>
      <c r="D4" s="240" t="s">
        <v>4</v>
      </c>
      <c r="E4" s="241" t="s">
        <v>484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242">
        <v>450000</v>
      </c>
      <c r="F7" s="13"/>
    </row>
    <row r="8" customHeight="1" spans="1:6">
      <c r="A8" s="10">
        <v>2</v>
      </c>
      <c r="B8" s="11" t="s">
        <v>1592</v>
      </c>
      <c r="C8" s="4" t="s">
        <v>1675</v>
      </c>
      <c r="D8" s="10" t="s">
        <v>36</v>
      </c>
      <c r="E8" s="242">
        <v>150000</v>
      </c>
      <c r="F8" s="13"/>
    </row>
    <row r="9" customHeight="1" spans="1:6">
      <c r="A9" s="10">
        <v>3</v>
      </c>
      <c r="B9" s="14" t="s">
        <v>1676</v>
      </c>
      <c r="C9" s="4" t="s">
        <v>1677</v>
      </c>
      <c r="D9" s="10" t="s">
        <v>36</v>
      </c>
      <c r="E9" s="242">
        <v>150000</v>
      </c>
      <c r="F9" s="13"/>
    </row>
    <row r="10" customHeight="1" spans="1:6">
      <c r="A10" s="10">
        <v>4</v>
      </c>
      <c r="B10" s="11" t="s">
        <v>27</v>
      </c>
      <c r="C10" s="12" t="s">
        <v>28</v>
      </c>
      <c r="D10" s="10" t="s">
        <v>29</v>
      </c>
      <c r="E10" s="242">
        <v>150000</v>
      </c>
      <c r="F10" s="13"/>
    </row>
    <row r="11" customHeight="1" spans="1:6">
      <c r="A11" s="10">
        <v>5</v>
      </c>
      <c r="B11" s="14" t="s">
        <v>30</v>
      </c>
      <c r="C11" s="4" t="s">
        <v>31</v>
      </c>
      <c r="D11" s="15" t="s">
        <v>210</v>
      </c>
      <c r="E11" s="242">
        <v>150000</v>
      </c>
      <c r="F11" s="13"/>
    </row>
    <row r="12" customHeight="1" spans="1:6">
      <c r="A12" s="10">
        <v>6</v>
      </c>
      <c r="B12" s="14" t="s">
        <v>227</v>
      </c>
      <c r="C12" s="4" t="s">
        <v>1594</v>
      </c>
      <c r="D12" s="16" t="s">
        <v>210</v>
      </c>
      <c r="E12" s="242">
        <v>150000</v>
      </c>
      <c r="F12" s="13"/>
    </row>
    <row r="13" customHeight="1" spans="1:6">
      <c r="A13" s="10">
        <v>7</v>
      </c>
      <c r="B13" s="11" t="s">
        <v>32</v>
      </c>
      <c r="C13" s="17" t="s">
        <v>33</v>
      </c>
      <c r="D13" s="16" t="s">
        <v>210</v>
      </c>
      <c r="E13" s="242">
        <v>150000</v>
      </c>
      <c r="F13" s="13"/>
    </row>
    <row r="14" customHeight="1" spans="1:6">
      <c r="A14" s="10">
        <v>8</v>
      </c>
      <c r="B14" s="14" t="s">
        <v>300</v>
      </c>
      <c r="C14" s="4" t="s">
        <v>907</v>
      </c>
      <c r="D14" s="16" t="s">
        <v>210</v>
      </c>
      <c r="E14" s="242">
        <v>150000</v>
      </c>
      <c r="F14" s="13"/>
    </row>
    <row r="15" customHeight="1" spans="1:6">
      <c r="A15" s="10">
        <v>9</v>
      </c>
      <c r="B15" s="11" t="s">
        <v>34</v>
      </c>
      <c r="C15" s="12" t="s">
        <v>910</v>
      </c>
      <c r="D15" s="15" t="s">
        <v>39</v>
      </c>
      <c r="E15" s="242">
        <v>105000</v>
      </c>
      <c r="F15" s="13"/>
    </row>
    <row r="16" customHeight="1" spans="1:6">
      <c r="A16" s="10">
        <v>10</v>
      </c>
      <c r="B16" s="18" t="s">
        <v>186</v>
      </c>
      <c r="C16" s="12" t="s">
        <v>926</v>
      </c>
      <c r="D16" s="10" t="s">
        <v>925</v>
      </c>
      <c r="E16" s="242">
        <v>105000</v>
      </c>
      <c r="F16" s="13"/>
    </row>
    <row r="17" customHeight="1" spans="1:6">
      <c r="A17" s="10">
        <v>11</v>
      </c>
      <c r="B17" s="19" t="s">
        <v>1678</v>
      </c>
      <c r="C17" s="4" t="s">
        <v>1679</v>
      </c>
      <c r="D17" s="16" t="s">
        <v>47</v>
      </c>
      <c r="E17" s="242">
        <v>75000</v>
      </c>
      <c r="F17" s="13"/>
    </row>
    <row r="18" ht="19.5" customHeight="1" spans="1:6">
      <c r="A18" s="10">
        <v>12</v>
      </c>
      <c r="B18" s="14" t="s">
        <v>1595</v>
      </c>
      <c r="C18" s="4" t="s">
        <v>643</v>
      </c>
      <c r="D18" s="10" t="s">
        <v>47</v>
      </c>
      <c r="E18" s="242">
        <v>75000</v>
      </c>
      <c r="F18" s="13"/>
    </row>
    <row r="19" ht="19.5" customHeight="1" spans="1:6">
      <c r="A19" s="10">
        <v>13</v>
      </c>
      <c r="B19" s="14" t="s">
        <v>1680</v>
      </c>
      <c r="C19" s="4" t="s">
        <v>1681</v>
      </c>
      <c r="D19" s="10" t="s">
        <v>47</v>
      </c>
      <c r="E19" s="242">
        <v>75000</v>
      </c>
      <c r="F19" s="13"/>
    </row>
    <row r="20" customHeight="1" spans="1:6">
      <c r="A20" s="10">
        <v>14</v>
      </c>
      <c r="B20" s="11" t="s">
        <v>40</v>
      </c>
      <c r="C20" s="4" t="s">
        <v>643</v>
      </c>
      <c r="D20" s="15" t="s">
        <v>47</v>
      </c>
      <c r="E20" s="242">
        <v>75000</v>
      </c>
      <c r="F20" s="13"/>
    </row>
    <row r="21" customHeight="1" spans="1:6">
      <c r="A21" s="10">
        <v>15</v>
      </c>
      <c r="B21" s="11" t="s">
        <v>51</v>
      </c>
      <c r="C21" s="12" t="s">
        <v>61</v>
      </c>
      <c r="D21" s="15" t="s">
        <v>218</v>
      </c>
      <c r="E21" s="242">
        <v>75000</v>
      </c>
      <c r="F21" s="13"/>
    </row>
    <row r="22" customHeight="1" spans="1:6">
      <c r="A22" s="10">
        <v>16</v>
      </c>
      <c r="B22" s="18" t="s">
        <v>54</v>
      </c>
      <c r="C22" s="4" t="s">
        <v>55</v>
      </c>
      <c r="D22" s="15" t="s">
        <v>602</v>
      </c>
      <c r="E22" s="242">
        <v>75000</v>
      </c>
      <c r="F22" s="13"/>
    </row>
    <row r="23" customHeight="1" spans="1:6">
      <c r="A23" s="10">
        <v>17</v>
      </c>
      <c r="B23" s="11" t="s">
        <v>193</v>
      </c>
      <c r="C23" s="12" t="s">
        <v>929</v>
      </c>
      <c r="D23" s="15" t="s">
        <v>70</v>
      </c>
      <c r="E23" s="242">
        <v>45000</v>
      </c>
      <c r="F23" s="13"/>
    </row>
    <row r="24" ht="18.75" customHeight="1" spans="1:6">
      <c r="A24" s="10">
        <v>18</v>
      </c>
      <c r="B24" s="11" t="s">
        <v>65</v>
      </c>
      <c r="C24" s="12" t="s">
        <v>178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8" t="s">
        <v>1682</v>
      </c>
      <c r="C25" s="12" t="s">
        <v>104</v>
      </c>
      <c r="D25" s="15" t="s">
        <v>78</v>
      </c>
      <c r="E25" s="242">
        <v>45000</v>
      </c>
      <c r="F25" s="13"/>
    </row>
    <row r="26" ht="18.75" customHeight="1" spans="1:6">
      <c r="A26" s="10">
        <v>20</v>
      </c>
      <c r="B26" s="4" t="s">
        <v>478</v>
      </c>
      <c r="C26" s="4" t="s">
        <v>94</v>
      </c>
      <c r="D26" s="10" t="s">
        <v>99</v>
      </c>
      <c r="E26" s="242">
        <v>45000</v>
      </c>
      <c r="F26" s="13"/>
    </row>
    <row r="27" ht="18.75" customHeight="1" spans="1:6">
      <c r="A27" s="10">
        <v>21</v>
      </c>
      <c r="B27" s="18" t="s">
        <v>79</v>
      </c>
      <c r="C27" s="12" t="s">
        <v>94</v>
      </c>
      <c r="D27" s="15" t="s">
        <v>99</v>
      </c>
      <c r="E27" s="242">
        <v>45000</v>
      </c>
      <c r="F27" s="13"/>
    </row>
    <row r="28" ht="18.75" customHeight="1" spans="1:6">
      <c r="A28" s="10">
        <v>22</v>
      </c>
      <c r="B28" s="11" t="s">
        <v>1596</v>
      </c>
      <c r="C28" s="12" t="s">
        <v>1597</v>
      </c>
      <c r="D28" s="15" t="s">
        <v>99</v>
      </c>
      <c r="E28" s="242">
        <v>45000</v>
      </c>
      <c r="F28" s="13"/>
    </row>
    <row r="29" ht="18.75" customHeight="1" spans="1:6">
      <c r="A29" s="10">
        <v>23</v>
      </c>
      <c r="B29" s="18" t="s">
        <v>84</v>
      </c>
      <c r="C29" s="12" t="s">
        <v>1544</v>
      </c>
      <c r="D29" s="15" t="s">
        <v>105</v>
      </c>
      <c r="E29" s="242">
        <v>45000</v>
      </c>
      <c r="F29" s="13"/>
    </row>
    <row r="30" ht="18.75" customHeight="1" spans="1:6">
      <c r="A30" s="10">
        <v>24</v>
      </c>
      <c r="B30" s="18" t="s">
        <v>87</v>
      </c>
      <c r="C30" s="4" t="s">
        <v>1598</v>
      </c>
      <c r="D30" s="10" t="s">
        <v>105</v>
      </c>
      <c r="E30" s="242">
        <v>45000</v>
      </c>
      <c r="F30" s="13"/>
    </row>
    <row r="31" ht="18.75" customHeight="1" spans="1:6">
      <c r="A31" s="10">
        <v>25</v>
      </c>
      <c r="B31" s="18" t="s">
        <v>91</v>
      </c>
      <c r="C31" s="17" t="s">
        <v>646</v>
      </c>
      <c r="D31" s="15" t="s">
        <v>99</v>
      </c>
      <c r="E31" s="242">
        <v>45000</v>
      </c>
      <c r="F31" s="13"/>
    </row>
    <row r="32" ht="18.75" customHeight="1" spans="1:6">
      <c r="A32" s="10">
        <v>26</v>
      </c>
      <c r="B32" s="18" t="s">
        <v>95</v>
      </c>
      <c r="C32" s="4" t="s">
        <v>647</v>
      </c>
      <c r="D32" s="10" t="s">
        <v>111</v>
      </c>
      <c r="E32" s="242">
        <v>45000</v>
      </c>
      <c r="F32" s="13"/>
    </row>
    <row r="33" ht="18.75" customHeight="1" spans="1:6">
      <c r="A33" s="10">
        <v>27</v>
      </c>
      <c r="B33" s="18" t="s">
        <v>1525</v>
      </c>
      <c r="C33" s="12" t="s">
        <v>104</v>
      </c>
      <c r="D33" s="15" t="s">
        <v>111</v>
      </c>
      <c r="E33" s="242">
        <v>45000</v>
      </c>
      <c r="F33" s="13"/>
    </row>
    <row r="34" ht="18.75" customHeight="1" spans="1:6">
      <c r="A34" s="10">
        <v>28</v>
      </c>
      <c r="B34" s="18" t="s">
        <v>1683</v>
      </c>
      <c r="C34" s="12" t="s">
        <v>104</v>
      </c>
      <c r="D34" s="15" t="s">
        <v>111</v>
      </c>
      <c r="E34" s="242">
        <v>45000</v>
      </c>
      <c r="F34" s="13"/>
    </row>
    <row r="35" ht="18.75" customHeight="1" spans="1:6">
      <c r="A35" s="10">
        <v>29</v>
      </c>
      <c r="B35" s="18" t="s">
        <v>296</v>
      </c>
      <c r="C35" s="12" t="s">
        <v>291</v>
      </c>
      <c r="D35" s="15" t="s">
        <v>275</v>
      </c>
      <c r="E35" s="242">
        <v>45000</v>
      </c>
      <c r="F35" s="13"/>
    </row>
    <row r="36" ht="26.25" customHeight="1" spans="1:6">
      <c r="A36" s="10"/>
      <c r="B36" s="20" t="s">
        <v>120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121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122</v>
      </c>
      <c r="C39" s="4" t="s">
        <v>123</v>
      </c>
      <c r="D39" s="10" t="s">
        <v>124</v>
      </c>
      <c r="E39" s="242">
        <v>225000</v>
      </c>
      <c r="F39" s="13"/>
    </row>
    <row r="40" ht="18.75" customHeight="1" spans="1:6">
      <c r="A40" s="10">
        <v>2</v>
      </c>
      <c r="B40" s="18" t="s">
        <v>127</v>
      </c>
      <c r="C40" s="4" t="s">
        <v>1137</v>
      </c>
      <c r="D40" s="10" t="s">
        <v>275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137</v>
      </c>
      <c r="C43" s="5"/>
      <c r="D43" s="24"/>
      <c r="E43" s="242"/>
      <c r="F43" s="13"/>
    </row>
    <row r="44" customHeight="1" spans="1:6">
      <c r="A44" s="10">
        <v>1</v>
      </c>
      <c r="B44" s="11" t="s">
        <v>912</v>
      </c>
      <c r="C44" s="4" t="s">
        <v>913</v>
      </c>
      <c r="D44" s="10" t="s">
        <v>124</v>
      </c>
      <c r="E44" s="242">
        <v>225000</v>
      </c>
      <c r="F44" s="13"/>
    </row>
    <row r="45" customHeight="1" spans="1:6">
      <c r="A45" s="10">
        <v>2</v>
      </c>
      <c r="B45" s="11" t="s">
        <v>914</v>
      </c>
      <c r="C45" s="4" t="s">
        <v>44</v>
      </c>
      <c r="D45" s="10" t="s">
        <v>39</v>
      </c>
      <c r="E45" s="242">
        <v>105000</v>
      </c>
      <c r="F45" s="13"/>
    </row>
    <row r="46" customHeight="1" spans="1:6">
      <c r="A46" s="10">
        <v>3</v>
      </c>
      <c r="B46" s="11" t="s">
        <v>138</v>
      </c>
      <c r="C46" s="4" t="s">
        <v>145</v>
      </c>
      <c r="D46" s="10" t="s">
        <v>39</v>
      </c>
      <c r="E46" s="242">
        <v>105000</v>
      </c>
      <c r="F46" s="13"/>
    </row>
    <row r="47" customHeight="1" spans="1:6">
      <c r="A47" s="10">
        <v>4</v>
      </c>
      <c r="B47" s="11" t="s">
        <v>141</v>
      </c>
      <c r="C47" s="4" t="s">
        <v>145</v>
      </c>
      <c r="D47" s="10" t="s">
        <v>39</v>
      </c>
      <c r="E47" s="242">
        <v>105000</v>
      </c>
      <c r="F47" s="13"/>
    </row>
    <row r="48" customHeight="1" spans="1:6">
      <c r="A48" s="10">
        <v>5</v>
      </c>
      <c r="B48" s="11" t="s">
        <v>144</v>
      </c>
      <c r="C48" s="4" t="s">
        <v>145</v>
      </c>
      <c r="D48" s="10" t="s">
        <v>50</v>
      </c>
      <c r="E48" s="242">
        <v>105000</v>
      </c>
      <c r="F48" s="13"/>
    </row>
    <row r="49" customHeight="1" spans="1:6">
      <c r="A49" s="10">
        <v>6</v>
      </c>
      <c r="B49" s="11" t="s">
        <v>146</v>
      </c>
      <c r="C49" s="4" t="s">
        <v>46</v>
      </c>
      <c r="D49" s="10" t="s">
        <v>47</v>
      </c>
      <c r="E49" s="242">
        <v>75000</v>
      </c>
      <c r="F49" s="13"/>
    </row>
    <row r="50" customHeight="1" spans="1:6">
      <c r="A50" s="10">
        <v>7</v>
      </c>
      <c r="B50" s="14" t="s">
        <v>147</v>
      </c>
      <c r="C50" s="4" t="s">
        <v>52</v>
      </c>
      <c r="D50" s="16" t="s">
        <v>47</v>
      </c>
      <c r="E50" s="242">
        <v>75000</v>
      </c>
      <c r="F50" s="13"/>
    </row>
    <row r="51" customHeight="1" spans="1:6">
      <c r="A51" s="10">
        <v>8</v>
      </c>
      <c r="B51" s="11" t="s">
        <v>1601</v>
      </c>
      <c r="C51" s="4" t="s">
        <v>52</v>
      </c>
      <c r="D51" s="10" t="s">
        <v>214</v>
      </c>
      <c r="E51" s="242">
        <v>75000</v>
      </c>
      <c r="F51" s="13"/>
    </row>
    <row r="52" customHeight="1" spans="1:6">
      <c r="A52" s="10">
        <v>9</v>
      </c>
      <c r="B52" s="11" t="s">
        <v>45</v>
      </c>
      <c r="C52" s="4" t="s">
        <v>927</v>
      </c>
      <c r="D52" s="10" t="s">
        <v>601</v>
      </c>
      <c r="E52" s="242">
        <v>75000</v>
      </c>
      <c r="F52" s="13"/>
    </row>
    <row r="53" customHeight="1" spans="1:6">
      <c r="A53" s="10">
        <v>10</v>
      </c>
      <c r="B53" s="11" t="s">
        <v>155</v>
      </c>
      <c r="C53" s="4" t="s">
        <v>152</v>
      </c>
      <c r="D53" s="10" t="s">
        <v>225</v>
      </c>
      <c r="E53" s="242">
        <v>45000</v>
      </c>
      <c r="F53" s="13"/>
    </row>
    <row r="54" customHeight="1" spans="1:6">
      <c r="A54" s="10">
        <v>11</v>
      </c>
      <c r="B54" s="11" t="s">
        <v>915</v>
      </c>
      <c r="C54" s="4" t="s">
        <v>152</v>
      </c>
      <c r="D54" s="10" t="s">
        <v>225</v>
      </c>
      <c r="E54" s="242">
        <v>45000</v>
      </c>
      <c r="F54" s="13"/>
    </row>
    <row r="55" customHeight="1" spans="1:6">
      <c r="A55" s="10">
        <v>12</v>
      </c>
      <c r="B55" s="11" t="s">
        <v>157</v>
      </c>
      <c r="C55" s="4" t="s">
        <v>152</v>
      </c>
      <c r="D55" s="10" t="s">
        <v>225</v>
      </c>
      <c r="E55" s="242">
        <v>45000</v>
      </c>
      <c r="F55" s="13"/>
    </row>
    <row r="56" ht="25.5" customHeight="1" spans="1:6">
      <c r="A56" s="10"/>
      <c r="B56" s="20" t="s">
        <v>120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159</v>
      </c>
      <c r="C58" s="21"/>
      <c r="D58" s="21"/>
      <c r="E58" s="246"/>
      <c r="F58" s="13"/>
    </row>
    <row r="59" customHeight="1" spans="1:6">
      <c r="A59" s="10">
        <v>1</v>
      </c>
      <c r="B59" s="11" t="s">
        <v>916</v>
      </c>
      <c r="C59" s="12" t="s">
        <v>161</v>
      </c>
      <c r="D59" s="15" t="s">
        <v>124</v>
      </c>
      <c r="E59" s="242">
        <v>225000</v>
      </c>
      <c r="F59" s="13"/>
    </row>
    <row r="60" customHeight="1" spans="1:6">
      <c r="A60" s="10">
        <v>2</v>
      </c>
      <c r="B60" s="11" t="s">
        <v>162</v>
      </c>
      <c r="C60" s="12" t="s">
        <v>485</v>
      </c>
      <c r="D60" s="15" t="s">
        <v>925</v>
      </c>
      <c r="E60" s="242">
        <v>105000</v>
      </c>
      <c r="F60" s="13"/>
    </row>
    <row r="61" customHeight="1" spans="1:6">
      <c r="A61" s="10"/>
      <c r="B61" s="20" t="s">
        <v>120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164</v>
      </c>
      <c r="C63" s="21"/>
      <c r="D63" s="21"/>
      <c r="E63" s="246"/>
      <c r="F63" s="13"/>
    </row>
    <row r="64" customHeight="1" spans="1:6">
      <c r="A64" s="10">
        <v>1</v>
      </c>
      <c r="B64" s="11" t="s">
        <v>917</v>
      </c>
      <c r="C64" s="17" t="s">
        <v>918</v>
      </c>
      <c r="D64" s="10" t="s">
        <v>124</v>
      </c>
      <c r="E64" s="242">
        <v>225000</v>
      </c>
      <c r="F64" s="13"/>
    </row>
    <row r="65" customHeight="1" spans="1:6">
      <c r="A65" s="10">
        <v>2</v>
      </c>
      <c r="B65" s="18" t="s">
        <v>919</v>
      </c>
      <c r="C65" s="17" t="s">
        <v>920</v>
      </c>
      <c r="D65" s="15" t="s">
        <v>1532</v>
      </c>
      <c r="E65" s="242">
        <v>105000</v>
      </c>
      <c r="F65" s="13"/>
    </row>
    <row r="66" customHeight="1" spans="1:6">
      <c r="A66" s="10">
        <v>3</v>
      </c>
      <c r="B66" s="11" t="s">
        <v>167</v>
      </c>
      <c r="C66" s="4" t="s">
        <v>217</v>
      </c>
      <c r="D66" s="10" t="s">
        <v>601</v>
      </c>
      <c r="E66" s="242">
        <v>75000</v>
      </c>
      <c r="F66" s="13"/>
    </row>
    <row r="67" customHeight="1" spans="1:6">
      <c r="A67" s="10">
        <v>4</v>
      </c>
      <c r="B67" s="18" t="s">
        <v>921</v>
      </c>
      <c r="C67" s="17" t="s">
        <v>217</v>
      </c>
      <c r="D67" s="15" t="s">
        <v>218</v>
      </c>
      <c r="E67" s="242">
        <v>75000</v>
      </c>
      <c r="F67" s="13"/>
    </row>
    <row r="68" customHeight="1" spans="1:6">
      <c r="A68" s="10">
        <v>5</v>
      </c>
      <c r="B68" s="14" t="s">
        <v>922</v>
      </c>
      <c r="C68" s="17" t="s">
        <v>52</v>
      </c>
      <c r="D68" s="15" t="s">
        <v>47</v>
      </c>
      <c r="E68" s="242">
        <v>75000</v>
      </c>
      <c r="F68" s="13"/>
    </row>
    <row r="69" customHeight="1" spans="1:6">
      <c r="A69" s="10">
        <v>6</v>
      </c>
      <c r="B69" s="14" t="s">
        <v>43</v>
      </c>
      <c r="C69" s="17" t="s">
        <v>52</v>
      </c>
      <c r="D69" s="15" t="s">
        <v>214</v>
      </c>
      <c r="E69" s="242">
        <v>75000</v>
      </c>
      <c r="F69" s="13"/>
    </row>
    <row r="70" customHeight="1" spans="1:6">
      <c r="A70" s="10">
        <v>7</v>
      </c>
      <c r="B70" s="11" t="s">
        <v>171</v>
      </c>
      <c r="C70" s="4" t="s">
        <v>152</v>
      </c>
      <c r="D70" s="10" t="s">
        <v>180</v>
      </c>
      <c r="E70" s="242">
        <v>45000</v>
      </c>
      <c r="F70" s="13"/>
    </row>
    <row r="71" customHeight="1" spans="1:6">
      <c r="A71" s="10">
        <v>8</v>
      </c>
      <c r="B71" s="11" t="s">
        <v>172</v>
      </c>
      <c r="C71" s="17" t="s">
        <v>72</v>
      </c>
      <c r="D71" s="15" t="s">
        <v>180</v>
      </c>
      <c r="E71" s="242">
        <v>45000</v>
      </c>
      <c r="F71" s="13"/>
    </row>
    <row r="72" customHeight="1" spans="1:6">
      <c r="A72" s="10">
        <v>9</v>
      </c>
      <c r="B72" s="11" t="s">
        <v>174</v>
      </c>
      <c r="C72" s="17" t="s">
        <v>72</v>
      </c>
      <c r="D72" s="15" t="s">
        <v>180</v>
      </c>
      <c r="E72" s="242">
        <v>45000</v>
      </c>
      <c r="F72" s="13"/>
    </row>
    <row r="73" customHeight="1" spans="1:6">
      <c r="A73" s="10">
        <v>10</v>
      </c>
      <c r="B73" s="11" t="s">
        <v>175</v>
      </c>
      <c r="C73" s="4" t="s">
        <v>649</v>
      </c>
      <c r="D73" s="10" t="s">
        <v>131</v>
      </c>
      <c r="E73" s="242">
        <v>45000</v>
      </c>
      <c r="F73" s="13"/>
    </row>
    <row r="74" customHeight="1" spans="1:6">
      <c r="A74" s="10">
        <v>11</v>
      </c>
      <c r="B74" s="11" t="s">
        <v>1684</v>
      </c>
      <c r="C74" s="17" t="s">
        <v>152</v>
      </c>
      <c r="D74" s="10" t="s">
        <v>75</v>
      </c>
      <c r="E74" s="242">
        <v>45000</v>
      </c>
      <c r="F74" s="13"/>
    </row>
    <row r="75" customHeight="1" spans="1:6">
      <c r="A75" s="10">
        <v>12</v>
      </c>
      <c r="B75" s="11" t="s">
        <v>82</v>
      </c>
      <c r="C75" s="17" t="s">
        <v>69</v>
      </c>
      <c r="D75" s="10" t="s">
        <v>99</v>
      </c>
      <c r="E75" s="242">
        <v>45000</v>
      </c>
      <c r="F75" s="13"/>
    </row>
    <row r="76" customHeight="1" spans="1:6">
      <c r="A76" s="10">
        <v>13</v>
      </c>
      <c r="B76" s="14" t="s">
        <v>68</v>
      </c>
      <c r="C76" s="17" t="s">
        <v>69</v>
      </c>
      <c r="D76" s="10" t="s">
        <v>111</v>
      </c>
      <c r="E76" s="242">
        <v>45000</v>
      </c>
      <c r="F76" s="13"/>
    </row>
    <row r="77" customHeight="1" spans="1:6">
      <c r="A77" s="10"/>
      <c r="B77" s="20" t="s">
        <v>120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183</v>
      </c>
      <c r="C79" s="21"/>
      <c r="D79" s="21"/>
      <c r="E79" s="246"/>
      <c r="F79" s="13"/>
    </row>
    <row r="80" customHeight="1" spans="1:6">
      <c r="A80" s="10">
        <v>1</v>
      </c>
      <c r="B80" s="11" t="s">
        <v>184</v>
      </c>
      <c r="C80" s="4" t="s">
        <v>185</v>
      </c>
      <c r="D80" s="10" t="s">
        <v>124</v>
      </c>
      <c r="E80" s="242">
        <v>225000</v>
      </c>
      <c r="F80" s="13"/>
    </row>
    <row r="81" customHeight="1" spans="1:6">
      <c r="A81" s="10">
        <v>2</v>
      </c>
      <c r="B81" s="14" t="s">
        <v>923</v>
      </c>
      <c r="C81" s="4" t="s">
        <v>924</v>
      </c>
      <c r="D81" s="15" t="s">
        <v>1532</v>
      </c>
      <c r="E81" s="242">
        <v>105000</v>
      </c>
      <c r="F81" s="13"/>
    </row>
    <row r="82" customHeight="1" spans="1:6">
      <c r="A82" s="10">
        <v>3</v>
      </c>
      <c r="B82" s="14" t="s">
        <v>1685</v>
      </c>
      <c r="C82" s="4" t="s">
        <v>1686</v>
      </c>
      <c r="D82" s="15" t="s">
        <v>1532</v>
      </c>
      <c r="E82" s="242">
        <v>105000</v>
      </c>
      <c r="F82" s="13"/>
    </row>
    <row r="83" customHeight="1" spans="1:6">
      <c r="A83" s="10">
        <v>4</v>
      </c>
      <c r="B83" s="11" t="s">
        <v>190</v>
      </c>
      <c r="C83" s="4" t="s">
        <v>1545</v>
      </c>
      <c r="D83" s="15" t="s">
        <v>601</v>
      </c>
      <c r="E83" s="242">
        <v>75000</v>
      </c>
      <c r="F83" s="13"/>
    </row>
    <row r="84" customHeight="1" spans="1:6">
      <c r="A84" s="10">
        <v>5</v>
      </c>
      <c r="B84" s="11" t="s">
        <v>197</v>
      </c>
      <c r="C84" s="4" t="s">
        <v>182</v>
      </c>
      <c r="D84" s="10" t="s">
        <v>75</v>
      </c>
      <c r="E84" s="242">
        <v>45000</v>
      </c>
      <c r="F84" s="13"/>
    </row>
    <row r="85" customHeight="1" spans="1:6">
      <c r="A85" s="10"/>
      <c r="B85" s="20" t="s">
        <v>120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205</v>
      </c>
      <c r="C87" s="25"/>
      <c r="D87" s="21"/>
      <c r="E87" s="242"/>
      <c r="F87" s="13"/>
    </row>
    <row r="88" customHeight="1" spans="1:6">
      <c r="A88" s="10">
        <v>1</v>
      </c>
      <c r="B88" s="11" t="s">
        <v>208</v>
      </c>
      <c r="C88" s="4" t="s">
        <v>145</v>
      </c>
      <c r="D88" s="10" t="s">
        <v>39</v>
      </c>
      <c r="E88" s="242">
        <v>105000</v>
      </c>
      <c r="F88" s="13"/>
    </row>
    <row r="89" customHeight="1" spans="1:6">
      <c r="A89" s="10">
        <v>2</v>
      </c>
      <c r="B89" s="11" t="s">
        <v>206</v>
      </c>
      <c r="C89" s="4" t="s">
        <v>145</v>
      </c>
      <c r="D89" s="10" t="s">
        <v>39</v>
      </c>
      <c r="E89" s="242">
        <v>105000</v>
      </c>
      <c r="F89" s="13"/>
    </row>
    <row r="90" customHeight="1" spans="1:6">
      <c r="A90" s="10">
        <v>3</v>
      </c>
      <c r="B90" s="14" t="s">
        <v>165</v>
      </c>
      <c r="C90" s="4" t="s">
        <v>52</v>
      </c>
      <c r="D90" s="10" t="s">
        <v>192</v>
      </c>
      <c r="E90" s="242">
        <v>75000</v>
      </c>
      <c r="F90" s="13"/>
    </row>
    <row r="91" customHeight="1" spans="1:6">
      <c r="A91" s="10">
        <v>4</v>
      </c>
      <c r="B91" s="11" t="s">
        <v>479</v>
      </c>
      <c r="C91" s="4" t="s">
        <v>46</v>
      </c>
      <c r="D91" s="10" t="s">
        <v>47</v>
      </c>
      <c r="E91" s="242">
        <v>75000</v>
      </c>
      <c r="F91" s="13"/>
    </row>
    <row r="92" ht="21.6" customHeight="1" spans="1:6">
      <c r="A92" s="10">
        <v>5</v>
      </c>
      <c r="B92" s="11" t="s">
        <v>211</v>
      </c>
      <c r="C92" s="4" t="s">
        <v>927</v>
      </c>
      <c r="D92" s="15" t="s">
        <v>601</v>
      </c>
      <c r="E92" s="242">
        <v>75000</v>
      </c>
      <c r="F92" s="13"/>
    </row>
    <row r="93" ht="21.6" customHeight="1" spans="1:6">
      <c r="A93" s="10">
        <v>6</v>
      </c>
      <c r="B93" s="11" t="s">
        <v>212</v>
      </c>
      <c r="C93" s="12" t="s">
        <v>217</v>
      </c>
      <c r="D93" s="15" t="s">
        <v>218</v>
      </c>
      <c r="E93" s="242">
        <v>75000</v>
      </c>
      <c r="F93" s="13"/>
    </row>
    <row r="94" ht="21.6" customHeight="1" spans="1:6">
      <c r="A94" s="10">
        <v>7</v>
      </c>
      <c r="B94" s="11" t="s">
        <v>213</v>
      </c>
      <c r="C94" s="12" t="s">
        <v>217</v>
      </c>
      <c r="D94" s="15" t="s">
        <v>218</v>
      </c>
      <c r="E94" s="242">
        <v>75000</v>
      </c>
      <c r="F94" s="13"/>
    </row>
    <row r="95" ht="21.6" customHeight="1" spans="1:6">
      <c r="A95" s="10">
        <v>8</v>
      </c>
      <c r="B95" s="11" t="s">
        <v>215</v>
      </c>
      <c r="C95" s="17" t="s">
        <v>72</v>
      </c>
      <c r="D95" s="15" t="s">
        <v>180</v>
      </c>
      <c r="E95" s="242">
        <v>45000</v>
      </c>
      <c r="F95" s="13"/>
    </row>
    <row r="96" ht="21.6" customHeight="1" spans="1:6">
      <c r="A96" s="10">
        <v>9</v>
      </c>
      <c r="B96" s="11" t="s">
        <v>220</v>
      </c>
      <c r="C96" s="4" t="s">
        <v>221</v>
      </c>
      <c r="D96" s="10" t="s">
        <v>81</v>
      </c>
      <c r="E96" s="242">
        <v>45000</v>
      </c>
      <c r="F96" s="13"/>
    </row>
    <row r="97" ht="21.6" customHeight="1" spans="1:6">
      <c r="A97" s="10">
        <v>10</v>
      </c>
      <c r="B97" s="11" t="s">
        <v>224</v>
      </c>
      <c r="C97" s="17" t="s">
        <v>505</v>
      </c>
      <c r="D97" s="15" t="s">
        <v>111</v>
      </c>
      <c r="E97" s="242">
        <v>45000</v>
      </c>
      <c r="F97" s="13"/>
    </row>
    <row r="98" customHeight="1" spans="1:6">
      <c r="A98" s="10"/>
      <c r="B98" s="20" t="s">
        <v>120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226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908</v>
      </c>
      <c r="C101" s="10" t="s">
        <v>909</v>
      </c>
      <c r="D101" s="15" t="s">
        <v>210</v>
      </c>
      <c r="E101" s="242">
        <v>150000</v>
      </c>
      <c r="F101" s="13"/>
    </row>
    <row r="102" customHeight="1" spans="1:6">
      <c r="A102" s="10">
        <v>2</v>
      </c>
      <c r="B102" s="11" t="s">
        <v>37</v>
      </c>
      <c r="C102" s="4" t="s">
        <v>230</v>
      </c>
      <c r="D102" s="10" t="s">
        <v>47</v>
      </c>
      <c r="E102" s="242">
        <v>75000</v>
      </c>
      <c r="F102" s="13"/>
    </row>
    <row r="103" customHeight="1" spans="1:6">
      <c r="A103" s="10">
        <v>3</v>
      </c>
      <c r="B103" s="11" t="s">
        <v>235</v>
      </c>
      <c r="C103" s="4" t="s">
        <v>651</v>
      </c>
      <c r="D103" s="15" t="s">
        <v>131</v>
      </c>
      <c r="E103" s="242">
        <v>45000</v>
      </c>
      <c r="F103" s="13"/>
    </row>
    <row r="104" customHeight="1" spans="1:6">
      <c r="A104" s="10">
        <v>4</v>
      </c>
      <c r="B104" s="11" t="s">
        <v>1687</v>
      </c>
      <c r="C104" s="4" t="s">
        <v>1688</v>
      </c>
      <c r="D104" s="15" t="s">
        <v>105</v>
      </c>
      <c r="E104" s="242">
        <v>45000</v>
      </c>
      <c r="F104" s="13"/>
    </row>
    <row r="105" customHeight="1" spans="1:6">
      <c r="A105" s="4"/>
      <c r="B105" s="20" t="s">
        <v>120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239</v>
      </c>
      <c r="C107" s="4"/>
      <c r="D107" s="4"/>
      <c r="E107" s="247"/>
      <c r="F107" s="13"/>
    </row>
    <row r="108" customHeight="1" spans="1:6">
      <c r="A108" s="4">
        <v>1</v>
      </c>
      <c r="B108" s="11" t="s">
        <v>652</v>
      </c>
      <c r="C108" s="12" t="s">
        <v>241</v>
      </c>
      <c r="D108" s="15" t="s">
        <v>124</v>
      </c>
      <c r="E108" s="242">
        <v>225000</v>
      </c>
      <c r="F108" s="13"/>
    </row>
    <row r="109" customHeight="1" spans="1:6">
      <c r="A109" s="4">
        <v>2</v>
      </c>
      <c r="B109" s="11" t="s">
        <v>242</v>
      </c>
      <c r="C109" s="4" t="s">
        <v>243</v>
      </c>
      <c r="D109" s="16" t="s">
        <v>210</v>
      </c>
      <c r="E109" s="242">
        <v>150000</v>
      </c>
      <c r="F109" s="13"/>
    </row>
    <row r="110" customHeight="1" spans="1:6">
      <c r="A110" s="4">
        <v>3</v>
      </c>
      <c r="B110" s="11" t="s">
        <v>244</v>
      </c>
      <c r="C110" s="4" t="s">
        <v>653</v>
      </c>
      <c r="D110" s="10" t="s">
        <v>56</v>
      </c>
      <c r="E110" s="242">
        <v>75000</v>
      </c>
      <c r="F110" s="13"/>
    </row>
    <row r="111" customHeight="1" spans="1:6">
      <c r="A111" s="4">
        <v>4</v>
      </c>
      <c r="B111" s="11" t="s">
        <v>246</v>
      </c>
      <c r="C111" s="4" t="s">
        <v>653</v>
      </c>
      <c r="D111" s="10" t="s">
        <v>56</v>
      </c>
      <c r="E111" s="242">
        <v>75000</v>
      </c>
      <c r="F111" s="13"/>
    </row>
    <row r="112" customHeight="1" spans="1:6">
      <c r="A112" s="4">
        <v>5</v>
      </c>
      <c r="B112" s="11" t="s">
        <v>249</v>
      </c>
      <c r="C112" s="4" t="s">
        <v>250</v>
      </c>
      <c r="D112" s="15" t="s">
        <v>506</v>
      </c>
      <c r="E112" s="242">
        <v>45000</v>
      </c>
      <c r="F112" s="13"/>
    </row>
    <row r="113" customHeight="1" spans="1:6">
      <c r="A113" s="4">
        <v>6</v>
      </c>
      <c r="B113" s="18" t="s">
        <v>252</v>
      </c>
      <c r="C113" s="4" t="s">
        <v>250</v>
      </c>
      <c r="D113" s="10" t="s">
        <v>105</v>
      </c>
      <c r="E113" s="242">
        <v>45000</v>
      </c>
      <c r="F113" s="13"/>
    </row>
    <row r="114" customHeight="1" spans="1:6">
      <c r="A114" s="4">
        <v>7</v>
      </c>
      <c r="B114" s="18" t="s">
        <v>253</v>
      </c>
      <c r="C114" s="4" t="s">
        <v>250</v>
      </c>
      <c r="D114" s="15" t="s">
        <v>111</v>
      </c>
      <c r="E114" s="242">
        <v>45000</v>
      </c>
      <c r="F114" s="13"/>
    </row>
    <row r="115" customHeight="1" spans="1:6">
      <c r="A115" s="4"/>
      <c r="B115" s="20" t="s">
        <v>120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1692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1609</v>
      </c>
      <c r="C118" s="17" t="s">
        <v>72</v>
      </c>
      <c r="D118" s="15" t="s">
        <v>70</v>
      </c>
      <c r="E118" s="242">
        <v>45000</v>
      </c>
      <c r="F118" s="13"/>
    </row>
    <row r="119" ht="27" customHeight="1" spans="1:6">
      <c r="A119" s="10">
        <v>2</v>
      </c>
      <c r="B119" s="11" t="s">
        <v>259</v>
      </c>
      <c r="C119" s="4" t="s">
        <v>260</v>
      </c>
      <c r="D119" s="15" t="s">
        <v>131</v>
      </c>
      <c r="E119" s="242">
        <v>45000</v>
      </c>
      <c r="F119" s="13"/>
    </row>
    <row r="120" ht="27" customHeight="1" spans="1:6">
      <c r="A120" s="4"/>
      <c r="B120" s="20" t="s">
        <v>120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278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279</v>
      </c>
      <c r="C123" s="12" t="s">
        <v>280</v>
      </c>
      <c r="D123" s="15" t="s">
        <v>124</v>
      </c>
      <c r="E123" s="242">
        <v>225000</v>
      </c>
      <c r="F123" s="13"/>
    </row>
    <row r="124" customHeight="1" spans="1:6">
      <c r="A124" s="4">
        <v>2</v>
      </c>
      <c r="B124" s="11" t="s">
        <v>281</v>
      </c>
      <c r="C124" s="12" t="s">
        <v>655</v>
      </c>
      <c r="D124" s="15" t="s">
        <v>39</v>
      </c>
      <c r="E124" s="242">
        <v>105000</v>
      </c>
      <c r="F124" s="13"/>
    </row>
    <row r="125" customHeight="1" spans="1:6">
      <c r="A125" s="4">
        <v>3</v>
      </c>
      <c r="B125" s="14" t="s">
        <v>283</v>
      </c>
      <c r="C125" s="12" t="s">
        <v>655</v>
      </c>
      <c r="D125" s="15" t="s">
        <v>39</v>
      </c>
      <c r="E125" s="242">
        <v>105000</v>
      </c>
      <c r="F125" s="13"/>
    </row>
    <row r="126" customHeight="1" spans="1:6">
      <c r="A126" s="4">
        <v>4</v>
      </c>
      <c r="B126" s="14" t="s">
        <v>930</v>
      </c>
      <c r="C126" s="12" t="s">
        <v>655</v>
      </c>
      <c r="D126" s="15" t="s">
        <v>42</v>
      </c>
      <c r="E126" s="242">
        <v>105000</v>
      </c>
      <c r="F126" s="13"/>
    </row>
    <row r="127" customHeight="1" spans="1:6">
      <c r="A127" s="4">
        <v>5</v>
      </c>
      <c r="B127" s="11" t="s">
        <v>286</v>
      </c>
      <c r="C127" s="12" t="s">
        <v>288</v>
      </c>
      <c r="D127" s="15" t="s">
        <v>214</v>
      </c>
      <c r="E127" s="242">
        <v>75000</v>
      </c>
      <c r="F127" s="13"/>
    </row>
    <row r="128" customHeight="1" spans="1:6">
      <c r="A128" s="4">
        <v>6</v>
      </c>
      <c r="B128" s="11" t="s">
        <v>287</v>
      </c>
      <c r="C128" s="12" t="s">
        <v>656</v>
      </c>
      <c r="D128" s="15" t="s">
        <v>601</v>
      </c>
      <c r="E128" s="242">
        <v>75000</v>
      </c>
      <c r="F128" s="13"/>
    </row>
    <row r="129" customHeight="1" spans="1:6">
      <c r="A129" s="4">
        <v>7</v>
      </c>
      <c r="B129" s="11" t="s">
        <v>289</v>
      </c>
      <c r="C129" s="12" t="s">
        <v>1547</v>
      </c>
      <c r="D129" s="15" t="s">
        <v>601</v>
      </c>
      <c r="E129" s="242">
        <v>75000</v>
      </c>
      <c r="F129" s="13"/>
    </row>
    <row r="130" customHeight="1" spans="1:6">
      <c r="A130" s="4">
        <v>8</v>
      </c>
      <c r="B130" s="11" t="s">
        <v>292</v>
      </c>
      <c r="C130" s="12" t="s">
        <v>657</v>
      </c>
      <c r="D130" s="10" t="s">
        <v>99</v>
      </c>
      <c r="E130" s="242">
        <v>45000</v>
      </c>
      <c r="F130" s="13"/>
    </row>
    <row r="131" customHeight="1" spans="1:6">
      <c r="A131" s="4">
        <v>9</v>
      </c>
      <c r="B131" s="18" t="s">
        <v>294</v>
      </c>
      <c r="C131" s="12" t="s">
        <v>295</v>
      </c>
      <c r="D131" s="15" t="s">
        <v>111</v>
      </c>
      <c r="E131" s="242">
        <v>45000</v>
      </c>
      <c r="F131" s="13"/>
    </row>
    <row r="132" customHeight="1" spans="1:6">
      <c r="A132" s="4"/>
      <c r="B132" s="20" t="s">
        <v>120</v>
      </c>
      <c r="C132" s="26" t="s">
        <v>1689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299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931</v>
      </c>
      <c r="C135" s="12" t="s">
        <v>932</v>
      </c>
      <c r="D135" s="15" t="s">
        <v>124</v>
      </c>
      <c r="E135" s="242">
        <v>225000</v>
      </c>
      <c r="F135" s="13"/>
    </row>
    <row r="136" customHeight="1" spans="1:6">
      <c r="A136" s="27">
        <v>2</v>
      </c>
      <c r="B136" s="11" t="s">
        <v>933</v>
      </c>
      <c r="C136" s="12" t="s">
        <v>934</v>
      </c>
      <c r="D136" s="15" t="s">
        <v>36</v>
      </c>
      <c r="E136" s="242">
        <v>150000</v>
      </c>
      <c r="F136" s="13"/>
    </row>
    <row r="137" customHeight="1" spans="1:6">
      <c r="A137" s="27">
        <v>3</v>
      </c>
      <c r="B137" s="14" t="s">
        <v>302</v>
      </c>
      <c r="C137" s="4" t="s">
        <v>488</v>
      </c>
      <c r="D137" s="16" t="s">
        <v>210</v>
      </c>
      <c r="E137" s="242">
        <v>150000</v>
      </c>
      <c r="F137" s="13"/>
    </row>
    <row r="138" customHeight="1" spans="1:6">
      <c r="A138" s="27">
        <v>4</v>
      </c>
      <c r="B138" s="11" t="s">
        <v>305</v>
      </c>
      <c r="C138" s="12" t="s">
        <v>935</v>
      </c>
      <c r="D138" s="15" t="s">
        <v>47</v>
      </c>
      <c r="E138" s="242">
        <v>75000</v>
      </c>
      <c r="F138" s="13"/>
    </row>
    <row r="139" customHeight="1" spans="1:6">
      <c r="A139" s="27">
        <v>5</v>
      </c>
      <c r="B139" s="11" t="s">
        <v>307</v>
      </c>
      <c r="C139" s="4" t="s">
        <v>311</v>
      </c>
      <c r="D139" s="15" t="s">
        <v>47</v>
      </c>
      <c r="E139" s="242">
        <v>75000</v>
      </c>
      <c r="F139" s="13"/>
    </row>
    <row r="140" customHeight="1" spans="1:6">
      <c r="A140" s="27">
        <v>6</v>
      </c>
      <c r="B140" s="11" t="s">
        <v>229</v>
      </c>
      <c r="C140" s="4" t="s">
        <v>937</v>
      </c>
      <c r="D140" s="15" t="s">
        <v>601</v>
      </c>
      <c r="E140" s="242">
        <v>75000</v>
      </c>
      <c r="F140" s="13"/>
    </row>
    <row r="141" customHeight="1" spans="1:6">
      <c r="A141" s="27">
        <v>7</v>
      </c>
      <c r="B141" s="11" t="s">
        <v>231</v>
      </c>
      <c r="C141" s="12" t="s">
        <v>936</v>
      </c>
      <c r="D141" s="15" t="s">
        <v>70</v>
      </c>
      <c r="E141" s="242">
        <v>45000</v>
      </c>
      <c r="F141" s="13"/>
    </row>
    <row r="142" customHeight="1" spans="1:6">
      <c r="A142" s="27">
        <v>8</v>
      </c>
      <c r="B142" s="11" t="s">
        <v>312</v>
      </c>
      <c r="C142" s="12" t="s">
        <v>936</v>
      </c>
      <c r="D142" s="15" t="s">
        <v>70</v>
      </c>
      <c r="E142" s="242">
        <v>45000</v>
      </c>
      <c r="F142" s="13"/>
    </row>
    <row r="143" customHeight="1" spans="1:6">
      <c r="A143" s="27">
        <v>9</v>
      </c>
      <c r="B143" s="11" t="s">
        <v>313</v>
      </c>
      <c r="C143" s="4" t="s">
        <v>937</v>
      </c>
      <c r="D143" s="15" t="s">
        <v>70</v>
      </c>
      <c r="E143" s="242">
        <v>45000</v>
      </c>
      <c r="F143" s="13"/>
    </row>
    <row r="144" customHeight="1" spans="1:6">
      <c r="A144" s="27">
        <v>10</v>
      </c>
      <c r="B144" s="11" t="s">
        <v>315</v>
      </c>
      <c r="C144" s="12" t="s">
        <v>938</v>
      </c>
      <c r="D144" s="15" t="s">
        <v>131</v>
      </c>
      <c r="E144" s="242">
        <v>45000</v>
      </c>
      <c r="F144" s="13"/>
    </row>
    <row r="145" customHeight="1" spans="1:6">
      <c r="A145" s="27">
        <v>11</v>
      </c>
      <c r="B145" s="11" t="s">
        <v>317</v>
      </c>
      <c r="C145" s="12" t="s">
        <v>1549</v>
      </c>
      <c r="D145" s="15" t="s">
        <v>153</v>
      </c>
      <c r="E145" s="242">
        <v>45000</v>
      </c>
      <c r="F145" s="13"/>
    </row>
    <row r="146" customHeight="1" spans="1:6">
      <c r="A146" s="27">
        <v>12</v>
      </c>
      <c r="B146" s="11" t="s">
        <v>62</v>
      </c>
      <c r="C146" s="12" t="s">
        <v>938</v>
      </c>
      <c r="D146" s="15" t="s">
        <v>70</v>
      </c>
      <c r="E146" s="242">
        <v>45000</v>
      </c>
      <c r="F146" s="13"/>
    </row>
    <row r="147" customHeight="1" spans="1:6">
      <c r="A147" s="27">
        <v>13</v>
      </c>
      <c r="B147" s="18" t="s">
        <v>319</v>
      </c>
      <c r="C147" s="4" t="s">
        <v>328</v>
      </c>
      <c r="D147" s="15" t="s">
        <v>153</v>
      </c>
      <c r="E147" s="242">
        <v>45000</v>
      </c>
      <c r="F147" s="13"/>
    </row>
    <row r="148" customHeight="1" spans="1:6">
      <c r="A148" s="27">
        <v>14</v>
      </c>
      <c r="B148" s="11" t="s">
        <v>321</v>
      </c>
      <c r="C148" s="4" t="s">
        <v>939</v>
      </c>
      <c r="D148" s="15" t="s">
        <v>75</v>
      </c>
      <c r="E148" s="242">
        <v>45000</v>
      </c>
      <c r="F148" s="13"/>
    </row>
    <row r="149" customHeight="1" spans="1:6">
      <c r="A149" s="27">
        <v>15</v>
      </c>
      <c r="B149" s="11" t="s">
        <v>322</v>
      </c>
      <c r="C149" s="4" t="s">
        <v>939</v>
      </c>
      <c r="D149" s="15" t="s">
        <v>78</v>
      </c>
      <c r="E149" s="242">
        <v>45000</v>
      </c>
      <c r="F149" s="13"/>
    </row>
    <row r="150" customHeight="1" spans="1:6">
      <c r="A150" s="27">
        <v>16</v>
      </c>
      <c r="B150" s="11" t="s">
        <v>324</v>
      </c>
      <c r="C150" s="4" t="s">
        <v>939</v>
      </c>
      <c r="D150" s="15" t="s">
        <v>78</v>
      </c>
      <c r="E150" s="242">
        <v>45000</v>
      </c>
      <c r="F150" s="13"/>
    </row>
    <row r="151" customHeight="1" spans="1:6">
      <c r="A151" s="27">
        <v>17</v>
      </c>
      <c r="B151" s="11" t="s">
        <v>325</v>
      </c>
      <c r="C151" s="12" t="s">
        <v>326</v>
      </c>
      <c r="D151" s="15" t="s">
        <v>81</v>
      </c>
      <c r="E151" s="242">
        <v>45000</v>
      </c>
      <c r="F151" s="13"/>
    </row>
    <row r="152" customHeight="1" spans="1:6">
      <c r="A152" s="27">
        <v>18</v>
      </c>
      <c r="B152" s="11" t="s">
        <v>1533</v>
      </c>
      <c r="C152" s="12" t="s">
        <v>328</v>
      </c>
      <c r="D152" s="10" t="s">
        <v>225</v>
      </c>
      <c r="E152" s="242">
        <v>45000</v>
      </c>
      <c r="F152" s="13"/>
    </row>
    <row r="153" customHeight="1" spans="1:6">
      <c r="A153" s="27">
        <v>19</v>
      </c>
      <c r="B153" s="11" t="s">
        <v>329</v>
      </c>
      <c r="C153" s="12" t="s">
        <v>661</v>
      </c>
      <c r="D153" s="15" t="s">
        <v>75</v>
      </c>
      <c r="E153" s="242">
        <v>45000</v>
      </c>
      <c r="F153" s="13"/>
    </row>
    <row r="154" customHeight="1" spans="1:6">
      <c r="A154" s="27">
        <v>20</v>
      </c>
      <c r="B154" s="11" t="s">
        <v>331</v>
      </c>
      <c r="C154" s="12" t="s">
        <v>662</v>
      </c>
      <c r="D154" s="15" t="s">
        <v>99</v>
      </c>
      <c r="E154" s="242">
        <v>45000</v>
      </c>
      <c r="F154" s="13"/>
    </row>
    <row r="155" customHeight="1" spans="1:6">
      <c r="A155" s="27">
        <v>21</v>
      </c>
      <c r="B155" s="11" t="s">
        <v>333</v>
      </c>
      <c r="C155" s="12" t="s">
        <v>663</v>
      </c>
      <c r="D155" s="15" t="s">
        <v>75</v>
      </c>
      <c r="E155" s="242">
        <v>45000</v>
      </c>
      <c r="F155" s="13"/>
    </row>
    <row r="156" customHeight="1" spans="1:6">
      <c r="A156" s="27">
        <v>22</v>
      </c>
      <c r="B156" s="11" t="s">
        <v>334</v>
      </c>
      <c r="C156" s="12" t="s">
        <v>664</v>
      </c>
      <c r="D156" s="15" t="s">
        <v>99</v>
      </c>
      <c r="E156" s="242">
        <v>45000</v>
      </c>
      <c r="F156" s="13"/>
    </row>
    <row r="157" customHeight="1" spans="1:6">
      <c r="A157" s="27">
        <v>23</v>
      </c>
      <c r="B157" s="18" t="s">
        <v>336</v>
      </c>
      <c r="C157" s="12" t="s">
        <v>346</v>
      </c>
      <c r="D157" s="15" t="s">
        <v>105</v>
      </c>
      <c r="E157" s="242">
        <v>45000</v>
      </c>
      <c r="F157" s="13"/>
    </row>
    <row r="158" customHeight="1" spans="1:6">
      <c r="A158" s="27">
        <v>24</v>
      </c>
      <c r="B158" s="18" t="s">
        <v>343</v>
      </c>
      <c r="C158" s="12" t="s">
        <v>344</v>
      </c>
      <c r="D158" s="15" t="s">
        <v>275</v>
      </c>
      <c r="E158" s="242">
        <v>45000</v>
      </c>
      <c r="F158" s="13"/>
    </row>
    <row r="159" customHeight="1" spans="1:6">
      <c r="A159" s="27">
        <v>25</v>
      </c>
      <c r="B159" s="18" t="s">
        <v>345</v>
      </c>
      <c r="C159" s="12" t="s">
        <v>346</v>
      </c>
      <c r="D159" s="15" t="s">
        <v>275</v>
      </c>
      <c r="E159" s="242">
        <v>45000</v>
      </c>
      <c r="F159" s="13"/>
    </row>
    <row r="160" customHeight="1" spans="1:6">
      <c r="A160" s="27">
        <v>26</v>
      </c>
      <c r="B160" s="18" t="s">
        <v>347</v>
      </c>
      <c r="C160" s="12" t="s">
        <v>348</v>
      </c>
      <c r="D160" s="15" t="s">
        <v>111</v>
      </c>
      <c r="E160" s="242">
        <v>45000</v>
      </c>
      <c r="F160" s="13"/>
    </row>
    <row r="161" customHeight="1" spans="1:6">
      <c r="A161" s="27">
        <v>27</v>
      </c>
      <c r="B161" s="18" t="s">
        <v>349</v>
      </c>
      <c r="C161" s="12" t="s">
        <v>665</v>
      </c>
      <c r="D161" s="15" t="s">
        <v>111</v>
      </c>
      <c r="E161" s="242">
        <v>45000</v>
      </c>
      <c r="F161" s="13"/>
    </row>
    <row r="162" customHeight="1" spans="1:6">
      <c r="A162" s="27">
        <v>28</v>
      </c>
      <c r="B162" s="11" t="s">
        <v>359</v>
      </c>
      <c r="C162" s="12" t="s">
        <v>512</v>
      </c>
      <c r="D162" s="15" t="s">
        <v>377</v>
      </c>
      <c r="E162" s="242">
        <v>30000</v>
      </c>
      <c r="F162" s="13"/>
    </row>
    <row r="163" customHeight="1" spans="1:6">
      <c r="A163" s="27">
        <v>29</v>
      </c>
      <c r="B163" s="11" t="s">
        <v>362</v>
      </c>
      <c r="C163" s="12" t="s">
        <v>512</v>
      </c>
      <c r="D163" s="15" t="s">
        <v>377</v>
      </c>
      <c r="E163" s="242">
        <v>30000</v>
      </c>
      <c r="F163" s="13"/>
    </row>
    <row r="164" customHeight="1" spans="1:6">
      <c r="A164" s="27">
        <v>30</v>
      </c>
      <c r="B164" s="11" t="s">
        <v>666</v>
      </c>
      <c r="C164" s="12" t="s">
        <v>512</v>
      </c>
      <c r="D164" s="15" t="s">
        <v>377</v>
      </c>
      <c r="E164" s="242">
        <v>30000</v>
      </c>
      <c r="F164" s="13"/>
    </row>
    <row r="165" customHeight="1" spans="1:6">
      <c r="A165" s="27">
        <v>32</v>
      </c>
      <c r="B165" s="11" t="s">
        <v>363</v>
      </c>
      <c r="C165" s="12" t="s">
        <v>512</v>
      </c>
      <c r="D165" s="15" t="s">
        <v>377</v>
      </c>
      <c r="E165" s="242">
        <v>30000</v>
      </c>
      <c r="F165" s="13"/>
    </row>
    <row r="166" customHeight="1" spans="1:6">
      <c r="A166" s="27">
        <v>33</v>
      </c>
      <c r="B166" s="11" t="s">
        <v>364</v>
      </c>
      <c r="C166" s="12" t="s">
        <v>512</v>
      </c>
      <c r="D166" s="15" t="s">
        <v>377</v>
      </c>
      <c r="E166" s="242">
        <v>30000</v>
      </c>
      <c r="F166" s="13"/>
    </row>
    <row r="167" customHeight="1" spans="1:6">
      <c r="A167" s="27">
        <v>34</v>
      </c>
      <c r="B167" s="11" t="s">
        <v>365</v>
      </c>
      <c r="C167" s="12" t="s">
        <v>512</v>
      </c>
      <c r="D167" s="15" t="s">
        <v>606</v>
      </c>
      <c r="E167" s="242">
        <v>30000</v>
      </c>
      <c r="F167" s="13"/>
    </row>
    <row r="168" customHeight="1" spans="1:6">
      <c r="A168" s="27">
        <v>35</v>
      </c>
      <c r="B168" s="11" t="s">
        <v>367</v>
      </c>
      <c r="C168" s="12" t="s">
        <v>512</v>
      </c>
      <c r="D168" s="15" t="s">
        <v>606</v>
      </c>
      <c r="E168" s="242">
        <v>30000</v>
      </c>
      <c r="F168" s="13"/>
    </row>
    <row r="169" customHeight="1" spans="1:6">
      <c r="A169" s="27">
        <v>36</v>
      </c>
      <c r="B169" s="14" t="s">
        <v>368</v>
      </c>
      <c r="C169" s="12" t="s">
        <v>512</v>
      </c>
      <c r="D169" s="15" t="s">
        <v>606</v>
      </c>
      <c r="E169" s="242">
        <v>30000</v>
      </c>
      <c r="F169" s="13"/>
    </row>
    <row r="170" customHeight="1" spans="1:6">
      <c r="A170" s="27">
        <v>37</v>
      </c>
      <c r="B170" s="11" t="s">
        <v>369</v>
      </c>
      <c r="C170" s="12" t="s">
        <v>512</v>
      </c>
      <c r="D170" s="15" t="s">
        <v>606</v>
      </c>
      <c r="E170" s="242">
        <v>30000</v>
      </c>
      <c r="F170" s="13"/>
    </row>
    <row r="171" customHeight="1" spans="1:6">
      <c r="A171" s="27">
        <v>38</v>
      </c>
      <c r="B171" s="18" t="s">
        <v>370</v>
      </c>
      <c r="C171" s="12" t="s">
        <v>512</v>
      </c>
      <c r="D171" s="15" t="s">
        <v>606</v>
      </c>
      <c r="E171" s="242">
        <v>30000</v>
      </c>
      <c r="F171" s="13"/>
    </row>
    <row r="172" customHeight="1" spans="1:6">
      <c r="A172" s="27">
        <v>39</v>
      </c>
      <c r="B172" s="18" t="s">
        <v>357</v>
      </c>
      <c r="C172" s="12" t="s">
        <v>512</v>
      </c>
      <c r="D172" s="15" t="s">
        <v>606</v>
      </c>
      <c r="E172" s="242">
        <v>30000</v>
      </c>
      <c r="F172" s="13"/>
    </row>
    <row r="173" customHeight="1" spans="1:6">
      <c r="A173" s="27">
        <v>40</v>
      </c>
      <c r="B173" s="11" t="s">
        <v>371</v>
      </c>
      <c r="C173" s="12" t="s">
        <v>387</v>
      </c>
      <c r="D173" s="15" t="s">
        <v>608</v>
      </c>
      <c r="E173" s="242">
        <v>30000</v>
      </c>
      <c r="F173" s="13"/>
    </row>
    <row r="174" customHeight="1" spans="1:6">
      <c r="A174" s="27">
        <v>41</v>
      </c>
      <c r="B174" s="11" t="s">
        <v>373</v>
      </c>
      <c r="C174" s="12" t="s">
        <v>387</v>
      </c>
      <c r="D174" s="15" t="s">
        <v>608</v>
      </c>
      <c r="E174" s="242">
        <v>30000</v>
      </c>
      <c r="F174" s="13"/>
    </row>
    <row r="175" customHeight="1" spans="1:6">
      <c r="A175" s="27">
        <v>42</v>
      </c>
      <c r="B175" s="18" t="s">
        <v>374</v>
      </c>
      <c r="C175" s="12" t="s">
        <v>387</v>
      </c>
      <c r="D175" s="15" t="s">
        <v>388</v>
      </c>
      <c r="E175" s="242">
        <v>30000</v>
      </c>
      <c r="F175" s="13"/>
    </row>
    <row r="176" customHeight="1" spans="1:6">
      <c r="A176" s="27">
        <v>43</v>
      </c>
      <c r="B176" s="11" t="s">
        <v>376</v>
      </c>
      <c r="C176" s="12" t="s">
        <v>387</v>
      </c>
      <c r="D176" s="15" t="s">
        <v>403</v>
      </c>
      <c r="E176" s="242">
        <v>30000</v>
      </c>
      <c r="F176" s="13"/>
    </row>
    <row r="177" customHeight="1" spans="1:6">
      <c r="A177" s="27">
        <v>44</v>
      </c>
      <c r="B177" s="11" t="s">
        <v>378</v>
      </c>
      <c r="C177" s="12" t="s">
        <v>514</v>
      </c>
      <c r="D177" s="15" t="s">
        <v>1534</v>
      </c>
      <c r="E177" s="242">
        <v>30000</v>
      </c>
      <c r="F177" s="13"/>
    </row>
    <row r="178" customHeight="1" spans="1:6">
      <c r="A178" s="27">
        <v>45</v>
      </c>
      <c r="B178" s="11" t="s">
        <v>379</v>
      </c>
      <c r="C178" s="12" t="s">
        <v>514</v>
      </c>
      <c r="D178" s="15" t="s">
        <v>1534</v>
      </c>
      <c r="E178" s="242">
        <v>30000</v>
      </c>
      <c r="F178" s="13"/>
    </row>
    <row r="179" customHeight="1" spans="1:6">
      <c r="A179" s="27">
        <v>46</v>
      </c>
      <c r="B179" s="11" t="s">
        <v>380</v>
      </c>
      <c r="C179" s="12" t="s">
        <v>514</v>
      </c>
      <c r="D179" s="15" t="s">
        <v>1534</v>
      </c>
      <c r="E179" s="242">
        <v>30000</v>
      </c>
      <c r="F179" s="13"/>
    </row>
    <row r="180" customHeight="1" spans="1:6">
      <c r="A180" s="27">
        <v>47</v>
      </c>
      <c r="B180" s="11" t="s">
        <v>381</v>
      </c>
      <c r="C180" s="12" t="s">
        <v>514</v>
      </c>
      <c r="D180" s="15" t="s">
        <v>1534</v>
      </c>
      <c r="E180" s="242">
        <v>30000</v>
      </c>
      <c r="F180" s="13"/>
    </row>
    <row r="181" customHeight="1" spans="1:6">
      <c r="A181" s="27">
        <v>48</v>
      </c>
      <c r="B181" s="11" t="s">
        <v>382</v>
      </c>
      <c r="C181" s="12" t="s">
        <v>514</v>
      </c>
      <c r="D181" s="15" t="s">
        <v>1534</v>
      </c>
      <c r="E181" s="242">
        <v>30000</v>
      </c>
      <c r="F181" s="13"/>
    </row>
    <row r="182" customHeight="1" spans="1:6">
      <c r="A182" s="27">
        <v>49</v>
      </c>
      <c r="B182" s="18" t="s">
        <v>383</v>
      </c>
      <c r="C182" s="12" t="s">
        <v>514</v>
      </c>
      <c r="D182" s="15" t="s">
        <v>1534</v>
      </c>
      <c r="E182" s="242">
        <v>30000</v>
      </c>
      <c r="F182" s="13"/>
    </row>
    <row r="183" customHeight="1" spans="1:6">
      <c r="A183" s="27">
        <v>50</v>
      </c>
      <c r="B183" s="18" t="s">
        <v>385</v>
      </c>
      <c r="C183" s="12" t="s">
        <v>514</v>
      </c>
      <c r="D183" s="15" t="s">
        <v>1534</v>
      </c>
      <c r="E183" s="242">
        <v>30000</v>
      </c>
      <c r="F183" s="13"/>
    </row>
    <row r="184" customHeight="1" spans="1:6">
      <c r="A184" s="27">
        <v>51</v>
      </c>
      <c r="B184" s="11" t="s">
        <v>668</v>
      </c>
      <c r="C184" s="12" t="s">
        <v>387</v>
      </c>
      <c r="D184" s="15" t="s">
        <v>1534</v>
      </c>
      <c r="E184" s="242">
        <v>30000</v>
      </c>
      <c r="F184" s="13"/>
    </row>
    <row r="185" customHeight="1" spans="1:6">
      <c r="A185" s="27">
        <v>52</v>
      </c>
      <c r="B185" s="11" t="s">
        <v>386</v>
      </c>
      <c r="C185" s="12" t="s">
        <v>387</v>
      </c>
      <c r="D185" s="15" t="s">
        <v>1534</v>
      </c>
      <c r="E185" s="242">
        <v>30000</v>
      </c>
      <c r="F185" s="13"/>
    </row>
    <row r="186" customHeight="1" spans="1:6">
      <c r="A186" s="27">
        <v>53</v>
      </c>
      <c r="B186" s="18" t="s">
        <v>358</v>
      </c>
      <c r="C186" s="12" t="s">
        <v>514</v>
      </c>
      <c r="D186" s="15" t="s">
        <v>1550</v>
      </c>
      <c r="E186" s="242">
        <v>30000</v>
      </c>
      <c r="F186" s="13"/>
    </row>
    <row r="187" customHeight="1" spans="1:6">
      <c r="A187" s="27">
        <v>54</v>
      </c>
      <c r="B187" s="18" t="s">
        <v>392</v>
      </c>
      <c r="C187" s="12" t="s">
        <v>514</v>
      </c>
      <c r="D187" s="15" t="s">
        <v>609</v>
      </c>
      <c r="E187" s="242">
        <v>30000</v>
      </c>
      <c r="F187" s="13"/>
    </row>
    <row r="188" customHeight="1" spans="1:6">
      <c r="A188" s="27"/>
      <c r="B188" s="8" t="s">
        <v>120</v>
      </c>
      <c r="C188" s="28" t="s">
        <v>1693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406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1:6">
      <c r="B191" s="33"/>
      <c r="D191" s="34"/>
      <c r="E191" s="103"/>
      <c r="F191" s="35"/>
    </row>
    <row r="192" ht="65.25" customHeight="1" spans="1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36"/>
    </row>
    <row r="2" ht="33.75" customHeight="1" spans="1:6">
      <c r="A2" s="236" t="s">
        <v>1674</v>
      </c>
      <c r="B2" s="77"/>
      <c r="C2" s="76"/>
      <c r="D2" s="76"/>
      <c r="E2" s="76"/>
    </row>
    <row r="3" ht="9.75" customHeight="1"/>
    <row r="4" ht="49.5" customHeight="1" spans="1:6">
      <c r="A4" s="237"/>
      <c r="B4" s="238" t="s">
        <v>2</v>
      </c>
      <c r="C4" s="239" t="s">
        <v>3</v>
      </c>
      <c r="D4" s="240" t="s">
        <v>4</v>
      </c>
      <c r="E4" s="241" t="s">
        <v>484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242">
        <v>540000</v>
      </c>
      <c r="F7" s="13"/>
    </row>
    <row r="8" customHeight="1" spans="1:6">
      <c r="A8" s="10">
        <v>2</v>
      </c>
      <c r="B8" s="11" t="s">
        <v>1592</v>
      </c>
      <c r="C8" s="4" t="s">
        <v>1675</v>
      </c>
      <c r="D8" s="10" t="s">
        <v>36</v>
      </c>
      <c r="E8" s="242">
        <v>180000</v>
      </c>
      <c r="F8" s="13"/>
    </row>
    <row r="9" customHeight="1" spans="1:6">
      <c r="A9" s="10">
        <v>3</v>
      </c>
      <c r="B9" s="11" t="s">
        <v>27</v>
      </c>
      <c r="C9" s="12" t="s">
        <v>28</v>
      </c>
      <c r="D9" s="10" t="s">
        <v>29</v>
      </c>
      <c r="E9" s="242">
        <v>180000</v>
      </c>
      <c r="F9" s="13"/>
    </row>
    <row r="10" customHeight="1" spans="1:6">
      <c r="A10" s="10">
        <v>4</v>
      </c>
      <c r="B10" s="14" t="s">
        <v>30</v>
      </c>
      <c r="C10" s="4" t="s">
        <v>31</v>
      </c>
      <c r="D10" s="15" t="s">
        <v>210</v>
      </c>
      <c r="E10" s="242">
        <v>180000</v>
      </c>
      <c r="F10" s="13"/>
    </row>
    <row r="11" customHeight="1" spans="1:6">
      <c r="A11" s="10">
        <v>5</v>
      </c>
      <c r="B11" s="14" t="s">
        <v>227</v>
      </c>
      <c r="C11" s="4" t="s">
        <v>1594</v>
      </c>
      <c r="D11" s="16" t="s">
        <v>210</v>
      </c>
      <c r="E11" s="242">
        <v>180000</v>
      </c>
      <c r="F11" s="13"/>
    </row>
    <row r="12" customHeight="1" spans="1:6">
      <c r="A12" s="10">
        <v>6</v>
      </c>
      <c r="B12" s="11" t="s">
        <v>32</v>
      </c>
      <c r="C12" s="17" t="s">
        <v>33</v>
      </c>
      <c r="D12" s="16" t="s">
        <v>210</v>
      </c>
      <c r="E12" s="242">
        <v>180000</v>
      </c>
      <c r="F12" s="13"/>
    </row>
    <row r="13" customHeight="1" spans="1:6">
      <c r="A13" s="10">
        <v>7</v>
      </c>
      <c r="B13" s="14" t="s">
        <v>300</v>
      </c>
      <c r="C13" s="4" t="s">
        <v>907</v>
      </c>
      <c r="D13" s="16" t="s">
        <v>210</v>
      </c>
      <c r="E13" s="242">
        <v>180000</v>
      </c>
      <c r="F13" s="13"/>
    </row>
    <row r="14" customHeight="1" spans="1:6">
      <c r="A14" s="10">
        <v>8</v>
      </c>
      <c r="B14" s="11" t="s">
        <v>34</v>
      </c>
      <c r="C14" s="12" t="s">
        <v>910</v>
      </c>
      <c r="D14" s="15" t="s">
        <v>39</v>
      </c>
      <c r="E14" s="242">
        <v>126000</v>
      </c>
      <c r="F14" s="13"/>
    </row>
    <row r="15" customHeight="1" spans="1:6">
      <c r="A15" s="10">
        <v>9</v>
      </c>
      <c r="B15" s="18" t="s">
        <v>186</v>
      </c>
      <c r="C15" s="12" t="s">
        <v>926</v>
      </c>
      <c r="D15" s="10" t="s">
        <v>925</v>
      </c>
      <c r="E15" s="242">
        <v>126000</v>
      </c>
      <c r="F15" s="13"/>
    </row>
    <row r="16" customHeight="1" spans="1:6">
      <c r="A16" s="10">
        <v>10</v>
      </c>
      <c r="B16" s="19" t="s">
        <v>1678</v>
      </c>
      <c r="C16" s="4" t="s">
        <v>1679</v>
      </c>
      <c r="D16" s="16" t="s">
        <v>47</v>
      </c>
      <c r="E16" s="242">
        <v>90000</v>
      </c>
      <c r="F16" s="13"/>
    </row>
    <row r="17" ht="19.5" customHeight="1" spans="1:6">
      <c r="A17" s="10">
        <v>11</v>
      </c>
      <c r="B17" s="14" t="s">
        <v>1595</v>
      </c>
      <c r="C17" s="4" t="s">
        <v>643</v>
      </c>
      <c r="D17" s="10" t="s">
        <v>47</v>
      </c>
      <c r="E17" s="242">
        <v>90000</v>
      </c>
      <c r="F17" s="13"/>
    </row>
    <row r="18" ht="19.5" customHeight="1" spans="1:6">
      <c r="A18" s="10">
        <v>12</v>
      </c>
      <c r="B18" s="14" t="s">
        <v>1680</v>
      </c>
      <c r="C18" s="4" t="s">
        <v>1681</v>
      </c>
      <c r="D18" s="10" t="s">
        <v>47</v>
      </c>
      <c r="E18" s="242">
        <v>90000</v>
      </c>
      <c r="F18" s="13"/>
    </row>
    <row r="19" customHeight="1" spans="1:6">
      <c r="A19" s="10">
        <v>13</v>
      </c>
      <c r="B19" s="11" t="s">
        <v>40</v>
      </c>
      <c r="C19" s="4" t="s">
        <v>643</v>
      </c>
      <c r="D19" s="15" t="s">
        <v>47</v>
      </c>
      <c r="E19" s="242">
        <v>90000</v>
      </c>
      <c r="F19" s="13"/>
    </row>
    <row r="20" customHeight="1" spans="1:6">
      <c r="A20" s="10">
        <v>14</v>
      </c>
      <c r="B20" s="11" t="s">
        <v>51</v>
      </c>
      <c r="C20" s="12" t="s">
        <v>61</v>
      </c>
      <c r="D20" s="15" t="s">
        <v>218</v>
      </c>
      <c r="E20" s="242">
        <v>90000</v>
      </c>
      <c r="F20" s="13"/>
    </row>
    <row r="21" customHeight="1" spans="1:6">
      <c r="A21" s="10">
        <v>15</v>
      </c>
      <c r="B21" s="18" t="s">
        <v>54</v>
      </c>
      <c r="C21" s="4" t="s">
        <v>55</v>
      </c>
      <c r="D21" s="15" t="s">
        <v>602</v>
      </c>
      <c r="E21" s="242">
        <v>90000</v>
      </c>
      <c r="F21" s="13"/>
    </row>
    <row r="22" customHeight="1" spans="1:6">
      <c r="A22" s="10">
        <v>16</v>
      </c>
      <c r="B22" s="11" t="s">
        <v>193</v>
      </c>
      <c r="C22" s="12" t="s">
        <v>929</v>
      </c>
      <c r="D22" s="15" t="s">
        <v>70</v>
      </c>
      <c r="E22" s="242">
        <v>54000</v>
      </c>
      <c r="F22" s="13"/>
    </row>
    <row r="23" ht="18.75" customHeight="1" spans="1:6">
      <c r="A23" s="10">
        <v>17</v>
      </c>
      <c r="B23" s="11" t="s">
        <v>65</v>
      </c>
      <c r="C23" s="12" t="s">
        <v>178</v>
      </c>
      <c r="D23" s="15" t="s">
        <v>131</v>
      </c>
      <c r="E23" s="242">
        <v>54000</v>
      </c>
      <c r="F23" s="13"/>
    </row>
    <row r="24" ht="18.75" customHeight="1" spans="1:6">
      <c r="A24" s="10">
        <v>18</v>
      </c>
      <c r="B24" s="18" t="s">
        <v>1682</v>
      </c>
      <c r="C24" s="12" t="s">
        <v>104</v>
      </c>
      <c r="D24" s="15" t="s">
        <v>78</v>
      </c>
      <c r="E24" s="242">
        <v>54000</v>
      </c>
      <c r="F24" s="13"/>
    </row>
    <row r="25" ht="18.75" customHeight="1" spans="1:6">
      <c r="A25" s="10">
        <v>19</v>
      </c>
      <c r="B25" s="4" t="s">
        <v>478</v>
      </c>
      <c r="C25" s="4" t="s">
        <v>94</v>
      </c>
      <c r="D25" s="10" t="s">
        <v>99</v>
      </c>
      <c r="E25" s="242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94</v>
      </c>
      <c r="D26" s="15" t="s">
        <v>99</v>
      </c>
      <c r="E26" s="242">
        <v>54000</v>
      </c>
      <c r="F26" s="13"/>
    </row>
    <row r="27" ht="18.75" customHeight="1" spans="1:6">
      <c r="A27" s="10">
        <v>21</v>
      </c>
      <c r="B27" s="11" t="s">
        <v>1596</v>
      </c>
      <c r="C27" s="12" t="s">
        <v>1597</v>
      </c>
      <c r="D27" s="15" t="s">
        <v>99</v>
      </c>
      <c r="E27" s="242">
        <v>54000</v>
      </c>
      <c r="F27" s="13"/>
    </row>
    <row r="28" ht="18.75" customHeight="1" spans="1:6">
      <c r="A28" s="10">
        <v>22</v>
      </c>
      <c r="B28" s="18" t="s">
        <v>84</v>
      </c>
      <c r="C28" s="12" t="s">
        <v>1544</v>
      </c>
      <c r="D28" s="15" t="s">
        <v>105</v>
      </c>
      <c r="E28" s="242">
        <v>54000</v>
      </c>
      <c r="F28" s="13"/>
    </row>
    <row r="29" ht="18.75" customHeight="1" spans="1:6">
      <c r="A29" s="10">
        <v>23</v>
      </c>
      <c r="B29" s="18" t="s">
        <v>87</v>
      </c>
      <c r="C29" s="4" t="s">
        <v>1598</v>
      </c>
      <c r="D29" s="10" t="s">
        <v>105</v>
      </c>
      <c r="E29" s="242">
        <v>54000</v>
      </c>
      <c r="F29" s="13"/>
    </row>
    <row r="30" ht="18.75" customHeight="1" spans="1:6">
      <c r="A30" s="10">
        <v>24</v>
      </c>
      <c r="B30" s="18" t="s">
        <v>91</v>
      </c>
      <c r="C30" s="17" t="s">
        <v>646</v>
      </c>
      <c r="D30" s="15" t="s">
        <v>99</v>
      </c>
      <c r="E30" s="242">
        <v>54000</v>
      </c>
      <c r="F30" s="13"/>
    </row>
    <row r="31" ht="18.75" customHeight="1" spans="1:6">
      <c r="A31" s="10">
        <v>25</v>
      </c>
      <c r="B31" s="18" t="s">
        <v>95</v>
      </c>
      <c r="C31" s="4" t="s">
        <v>647</v>
      </c>
      <c r="D31" s="10" t="s">
        <v>111</v>
      </c>
      <c r="E31" s="242">
        <v>54000</v>
      </c>
      <c r="F31" s="13"/>
    </row>
    <row r="32" ht="18.75" customHeight="1" spans="1:6">
      <c r="A32" s="10">
        <v>26</v>
      </c>
      <c r="B32" s="18" t="s">
        <v>1525</v>
      </c>
      <c r="C32" s="12" t="s">
        <v>104</v>
      </c>
      <c r="D32" s="15" t="s">
        <v>111</v>
      </c>
      <c r="E32" s="242">
        <v>54000</v>
      </c>
      <c r="F32" s="13"/>
    </row>
    <row r="33" ht="18.75" customHeight="1" spans="1:6">
      <c r="A33" s="10">
        <v>27</v>
      </c>
      <c r="B33" s="18" t="s">
        <v>1683</v>
      </c>
      <c r="C33" s="12" t="s">
        <v>104</v>
      </c>
      <c r="D33" s="15" t="s">
        <v>111</v>
      </c>
      <c r="E33" s="242">
        <v>54000</v>
      </c>
      <c r="F33" s="13"/>
    </row>
    <row r="34" ht="18.75" customHeight="1" spans="1:6">
      <c r="A34" s="10">
        <v>28</v>
      </c>
      <c r="B34" s="18" t="s">
        <v>296</v>
      </c>
      <c r="C34" s="12" t="s">
        <v>291</v>
      </c>
      <c r="D34" s="15" t="s">
        <v>275</v>
      </c>
      <c r="E34" s="242">
        <v>54000</v>
      </c>
      <c r="F34" s="13"/>
    </row>
    <row r="35" ht="26.25" customHeight="1" spans="1:6">
      <c r="A35" s="10"/>
      <c r="B35" s="20" t="s">
        <v>120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121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122</v>
      </c>
      <c r="C38" s="4" t="s">
        <v>123</v>
      </c>
      <c r="D38" s="10" t="s">
        <v>124</v>
      </c>
      <c r="E38" s="242">
        <v>270000</v>
      </c>
      <c r="F38" s="13"/>
    </row>
    <row r="39" ht="18.75" customHeight="1" spans="1:6">
      <c r="A39" s="10">
        <v>2</v>
      </c>
      <c r="B39" s="18" t="s">
        <v>127</v>
      </c>
      <c r="C39" s="4" t="s">
        <v>1137</v>
      </c>
      <c r="D39" s="10" t="s">
        <v>275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137</v>
      </c>
      <c r="C42" s="5"/>
      <c r="D42" s="24"/>
      <c r="E42" s="242"/>
      <c r="F42" s="13"/>
    </row>
    <row r="43" customHeight="1" spans="1:6">
      <c r="A43" s="10">
        <v>1</v>
      </c>
      <c r="B43" s="11" t="s">
        <v>912</v>
      </c>
      <c r="C43" s="4" t="s">
        <v>913</v>
      </c>
      <c r="D43" s="10" t="s">
        <v>124</v>
      </c>
      <c r="E43" s="242">
        <v>270000</v>
      </c>
      <c r="F43" s="13"/>
    </row>
    <row r="44" customHeight="1" spans="1:6">
      <c r="A44" s="10">
        <v>2</v>
      </c>
      <c r="B44" s="11" t="s">
        <v>914</v>
      </c>
      <c r="C44" s="4" t="s">
        <v>44</v>
      </c>
      <c r="D44" s="10" t="s">
        <v>39</v>
      </c>
      <c r="E44" s="242">
        <v>126000</v>
      </c>
      <c r="F44" s="13"/>
    </row>
    <row r="45" customHeight="1" spans="1:6">
      <c r="A45" s="10">
        <v>3</v>
      </c>
      <c r="B45" s="11" t="s">
        <v>138</v>
      </c>
      <c r="C45" s="4" t="s">
        <v>145</v>
      </c>
      <c r="D45" s="10" t="s">
        <v>39</v>
      </c>
      <c r="E45" s="242">
        <v>126000</v>
      </c>
      <c r="F45" s="13"/>
    </row>
    <row r="46" customHeight="1" spans="1:6">
      <c r="A46" s="10">
        <v>4</v>
      </c>
      <c r="B46" s="11" t="s">
        <v>141</v>
      </c>
      <c r="C46" s="4" t="s">
        <v>145</v>
      </c>
      <c r="D46" s="10" t="s">
        <v>39</v>
      </c>
      <c r="E46" s="242">
        <v>126000</v>
      </c>
      <c r="F46" s="13"/>
    </row>
    <row r="47" customHeight="1" spans="1:6">
      <c r="A47" s="10">
        <v>5</v>
      </c>
      <c r="B47" s="11" t="s">
        <v>144</v>
      </c>
      <c r="C47" s="4" t="s">
        <v>145</v>
      </c>
      <c r="D47" s="10" t="s">
        <v>50</v>
      </c>
      <c r="E47" s="242">
        <v>126000</v>
      </c>
      <c r="F47" s="13"/>
    </row>
    <row r="48" customHeight="1" spans="1:6">
      <c r="A48" s="10">
        <v>6</v>
      </c>
      <c r="B48" s="11" t="s">
        <v>146</v>
      </c>
      <c r="C48" s="4" t="s">
        <v>46</v>
      </c>
      <c r="D48" s="10" t="s">
        <v>47</v>
      </c>
      <c r="E48" s="242">
        <v>90000</v>
      </c>
      <c r="F48" s="13"/>
    </row>
    <row r="49" customHeight="1" spans="1:6">
      <c r="A49" s="10">
        <v>7</v>
      </c>
      <c r="B49" s="14" t="s">
        <v>147</v>
      </c>
      <c r="C49" s="4" t="s">
        <v>52</v>
      </c>
      <c r="D49" s="16" t="s">
        <v>47</v>
      </c>
      <c r="E49" s="242">
        <v>90000</v>
      </c>
      <c r="F49" s="13"/>
    </row>
    <row r="50" customHeight="1" spans="1:6">
      <c r="A50" s="10">
        <v>8</v>
      </c>
      <c r="B50" s="11" t="s">
        <v>1601</v>
      </c>
      <c r="C50" s="4" t="s">
        <v>52</v>
      </c>
      <c r="D50" s="10" t="s">
        <v>214</v>
      </c>
      <c r="E50" s="242">
        <v>90000</v>
      </c>
      <c r="F50" s="13"/>
    </row>
    <row r="51" customHeight="1" spans="1:6">
      <c r="A51" s="10">
        <v>9</v>
      </c>
      <c r="B51" s="11" t="s">
        <v>45</v>
      </c>
      <c r="C51" s="4" t="s">
        <v>927</v>
      </c>
      <c r="D51" s="10" t="s">
        <v>601</v>
      </c>
      <c r="E51" s="242">
        <v>90000</v>
      </c>
      <c r="F51" s="13"/>
    </row>
    <row r="52" customHeight="1" spans="1:6">
      <c r="A52" s="10">
        <v>10</v>
      </c>
      <c r="B52" s="11" t="s">
        <v>155</v>
      </c>
      <c r="C52" s="4" t="s">
        <v>152</v>
      </c>
      <c r="D52" s="10" t="s">
        <v>225</v>
      </c>
      <c r="E52" s="242">
        <v>54000</v>
      </c>
      <c r="F52" s="13"/>
    </row>
    <row r="53" customHeight="1" spans="1:6">
      <c r="A53" s="10">
        <v>11</v>
      </c>
      <c r="B53" s="11" t="s">
        <v>915</v>
      </c>
      <c r="C53" s="4" t="s">
        <v>152</v>
      </c>
      <c r="D53" s="10" t="s">
        <v>225</v>
      </c>
      <c r="E53" s="242">
        <v>54000</v>
      </c>
      <c r="F53" s="13"/>
    </row>
    <row r="54" customHeight="1" spans="1:6">
      <c r="A54" s="10">
        <v>12</v>
      </c>
      <c r="B54" s="11" t="s">
        <v>157</v>
      </c>
      <c r="C54" s="4" t="s">
        <v>152</v>
      </c>
      <c r="D54" s="10" t="s">
        <v>225</v>
      </c>
      <c r="E54" s="242">
        <v>54000</v>
      </c>
      <c r="F54" s="13"/>
    </row>
    <row r="55" ht="25.5" customHeight="1" spans="1:6">
      <c r="A55" s="10"/>
      <c r="B55" s="20" t="s">
        <v>120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159</v>
      </c>
      <c r="C57" s="21"/>
      <c r="D57" s="21"/>
      <c r="E57" s="246"/>
      <c r="F57" s="13"/>
    </row>
    <row r="58" customHeight="1" spans="1:6">
      <c r="A58" s="10">
        <v>1</v>
      </c>
      <c r="B58" s="11" t="s">
        <v>916</v>
      </c>
      <c r="C58" s="12" t="s">
        <v>161</v>
      </c>
      <c r="D58" s="15" t="s">
        <v>124</v>
      </c>
      <c r="E58" s="242">
        <v>270000</v>
      </c>
      <c r="F58" s="13"/>
    </row>
    <row r="59" customHeight="1" spans="1:6">
      <c r="A59" s="10">
        <v>2</v>
      </c>
      <c r="B59" s="11" t="s">
        <v>162</v>
      </c>
      <c r="C59" s="12" t="s">
        <v>485</v>
      </c>
      <c r="D59" s="15" t="s">
        <v>925</v>
      </c>
      <c r="E59" s="242">
        <v>126000</v>
      </c>
      <c r="F59" s="13"/>
    </row>
    <row r="60" customHeight="1" spans="1:6">
      <c r="A60" s="10"/>
      <c r="B60" s="20" t="s">
        <v>120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164</v>
      </c>
      <c r="C62" s="21"/>
      <c r="D62" s="21"/>
      <c r="E62" s="246"/>
      <c r="F62" s="13"/>
    </row>
    <row r="63" customHeight="1" spans="1:6">
      <c r="A63" s="10">
        <v>1</v>
      </c>
      <c r="B63" s="11" t="s">
        <v>917</v>
      </c>
      <c r="C63" s="17" t="s">
        <v>918</v>
      </c>
      <c r="D63" s="10" t="s">
        <v>124</v>
      </c>
      <c r="E63" s="242">
        <v>270000</v>
      </c>
      <c r="F63" s="13"/>
    </row>
    <row r="64" customHeight="1" spans="1:6">
      <c r="A64" s="10">
        <v>2</v>
      </c>
      <c r="B64" s="18" t="s">
        <v>919</v>
      </c>
      <c r="C64" s="17" t="s">
        <v>920</v>
      </c>
      <c r="D64" s="15" t="s">
        <v>1532</v>
      </c>
      <c r="E64" s="242">
        <v>126000</v>
      </c>
      <c r="F64" s="13"/>
    </row>
    <row r="65" customHeight="1" spans="1:6">
      <c r="A65" s="10">
        <v>3</v>
      </c>
      <c r="B65" s="11" t="s">
        <v>167</v>
      </c>
      <c r="C65" s="4" t="s">
        <v>217</v>
      </c>
      <c r="D65" s="10" t="s">
        <v>601</v>
      </c>
      <c r="E65" s="242">
        <v>90000</v>
      </c>
      <c r="F65" s="13"/>
    </row>
    <row r="66" customHeight="1" spans="1:6">
      <c r="A66" s="10">
        <v>4</v>
      </c>
      <c r="B66" s="18" t="s">
        <v>921</v>
      </c>
      <c r="C66" s="17" t="s">
        <v>217</v>
      </c>
      <c r="D66" s="15" t="s">
        <v>218</v>
      </c>
      <c r="E66" s="242">
        <v>90000</v>
      </c>
      <c r="F66" s="13"/>
    </row>
    <row r="67" customHeight="1" spans="1:6">
      <c r="A67" s="10">
        <v>5</v>
      </c>
      <c r="B67" s="14" t="s">
        <v>922</v>
      </c>
      <c r="C67" s="17" t="s">
        <v>52</v>
      </c>
      <c r="D67" s="15" t="s">
        <v>47</v>
      </c>
      <c r="E67" s="242">
        <v>90000</v>
      </c>
      <c r="F67" s="13"/>
    </row>
    <row r="68" customHeight="1" spans="1:6">
      <c r="A68" s="10">
        <v>6</v>
      </c>
      <c r="B68" s="14" t="s">
        <v>43</v>
      </c>
      <c r="C68" s="17" t="s">
        <v>52</v>
      </c>
      <c r="D68" s="15" t="s">
        <v>214</v>
      </c>
      <c r="E68" s="242">
        <v>90000</v>
      </c>
      <c r="F68" s="13"/>
    </row>
    <row r="69" customHeight="1" spans="1:6">
      <c r="A69" s="10">
        <v>7</v>
      </c>
      <c r="B69" s="11" t="s">
        <v>171</v>
      </c>
      <c r="C69" s="4" t="s">
        <v>152</v>
      </c>
      <c r="D69" s="10" t="s">
        <v>180</v>
      </c>
      <c r="E69" s="242">
        <v>54000</v>
      </c>
      <c r="F69" s="13"/>
    </row>
    <row r="70" customHeight="1" spans="1:6">
      <c r="A70" s="10">
        <v>8</v>
      </c>
      <c r="B70" s="11" t="s">
        <v>172</v>
      </c>
      <c r="C70" s="17" t="s">
        <v>72</v>
      </c>
      <c r="D70" s="15" t="s">
        <v>180</v>
      </c>
      <c r="E70" s="242">
        <v>54000</v>
      </c>
      <c r="F70" s="13"/>
    </row>
    <row r="71" customHeight="1" spans="1:6">
      <c r="A71" s="10">
        <v>9</v>
      </c>
      <c r="B71" s="11" t="s">
        <v>174</v>
      </c>
      <c r="C71" s="17" t="s">
        <v>72</v>
      </c>
      <c r="D71" s="15" t="s">
        <v>180</v>
      </c>
      <c r="E71" s="242">
        <v>54000</v>
      </c>
      <c r="F71" s="13"/>
    </row>
    <row r="72" customHeight="1" spans="1:6">
      <c r="A72" s="10">
        <v>10</v>
      </c>
      <c r="B72" s="11" t="s">
        <v>175</v>
      </c>
      <c r="C72" s="4" t="s">
        <v>649</v>
      </c>
      <c r="D72" s="10" t="s">
        <v>131</v>
      </c>
      <c r="E72" s="242">
        <v>54000</v>
      </c>
      <c r="F72" s="13"/>
    </row>
    <row r="73" customHeight="1" spans="1:6">
      <c r="A73" s="10">
        <v>11</v>
      </c>
      <c r="B73" s="11" t="s">
        <v>1684</v>
      </c>
      <c r="C73" s="17" t="s">
        <v>152</v>
      </c>
      <c r="D73" s="10" t="s">
        <v>75</v>
      </c>
      <c r="E73" s="242">
        <v>54000</v>
      </c>
      <c r="F73" s="13"/>
    </row>
    <row r="74" customHeight="1" spans="1:6">
      <c r="A74" s="10">
        <v>12</v>
      </c>
      <c r="B74" s="11" t="s">
        <v>82</v>
      </c>
      <c r="C74" s="17" t="s">
        <v>69</v>
      </c>
      <c r="D74" s="10" t="s">
        <v>99</v>
      </c>
      <c r="E74" s="242">
        <v>54000</v>
      </c>
      <c r="F74" s="13"/>
    </row>
    <row r="75" customHeight="1" spans="1:6">
      <c r="A75" s="10">
        <v>13</v>
      </c>
      <c r="B75" s="14" t="s">
        <v>68</v>
      </c>
      <c r="C75" s="17" t="s">
        <v>69</v>
      </c>
      <c r="D75" s="10" t="s">
        <v>111</v>
      </c>
      <c r="E75" s="242">
        <v>54000</v>
      </c>
      <c r="F75" s="13"/>
    </row>
    <row r="76" customHeight="1" spans="1:6">
      <c r="A76" s="10"/>
      <c r="B76" s="20" t="s">
        <v>120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183</v>
      </c>
      <c r="C78" s="21"/>
      <c r="D78" s="21"/>
      <c r="E78" s="246"/>
      <c r="F78" s="13"/>
    </row>
    <row r="79" customHeight="1" spans="1:6">
      <c r="A79" s="10">
        <v>1</v>
      </c>
      <c r="B79" s="11" t="s">
        <v>184</v>
      </c>
      <c r="C79" s="4" t="s">
        <v>185</v>
      </c>
      <c r="D79" s="10" t="s">
        <v>124</v>
      </c>
      <c r="E79" s="242">
        <v>270000</v>
      </c>
      <c r="F79" s="13"/>
    </row>
    <row r="80" customHeight="1" spans="1:6">
      <c r="A80" s="10">
        <v>2</v>
      </c>
      <c r="B80" s="14" t="s">
        <v>923</v>
      </c>
      <c r="C80" s="4" t="s">
        <v>924</v>
      </c>
      <c r="D80" s="15" t="s">
        <v>1532</v>
      </c>
      <c r="E80" s="242">
        <v>126000</v>
      </c>
      <c r="F80" s="13"/>
    </row>
    <row r="81" customHeight="1" spans="1:6">
      <c r="A81" s="10">
        <v>3</v>
      </c>
      <c r="B81" s="14" t="s">
        <v>1685</v>
      </c>
      <c r="C81" s="4" t="s">
        <v>1686</v>
      </c>
      <c r="D81" s="15" t="s">
        <v>1532</v>
      </c>
      <c r="E81" s="242">
        <v>126000</v>
      </c>
      <c r="F81" s="13"/>
    </row>
    <row r="82" customHeight="1" spans="1:6">
      <c r="A82" s="10">
        <v>4</v>
      </c>
      <c r="B82" s="11" t="s">
        <v>190</v>
      </c>
      <c r="C82" s="4" t="s">
        <v>1545</v>
      </c>
      <c r="D82" s="15" t="s">
        <v>601</v>
      </c>
      <c r="E82" s="242">
        <v>90000</v>
      </c>
      <c r="F82" s="13"/>
    </row>
    <row r="83" customHeight="1" spans="1:6">
      <c r="A83" s="10">
        <v>5</v>
      </c>
      <c r="B83" s="11" t="s">
        <v>197</v>
      </c>
      <c r="C83" s="4" t="s">
        <v>182</v>
      </c>
      <c r="D83" s="10" t="s">
        <v>75</v>
      </c>
      <c r="E83" s="242">
        <v>54000</v>
      </c>
      <c r="F83" s="13"/>
    </row>
    <row r="84" customHeight="1" spans="1:6">
      <c r="A84" s="10"/>
      <c r="B84" s="20" t="s">
        <v>120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205</v>
      </c>
      <c r="C86" s="25"/>
      <c r="D86" s="21"/>
      <c r="E86" s="242"/>
      <c r="F86" s="13"/>
    </row>
    <row r="87" customHeight="1" spans="1:6">
      <c r="A87" s="10">
        <v>1</v>
      </c>
      <c r="B87" s="11" t="s">
        <v>208</v>
      </c>
      <c r="C87" s="4" t="s">
        <v>145</v>
      </c>
      <c r="D87" s="10" t="s">
        <v>39</v>
      </c>
      <c r="E87" s="242">
        <v>126000</v>
      </c>
      <c r="F87" s="13"/>
    </row>
    <row r="88" customHeight="1" spans="1:6">
      <c r="A88" s="10">
        <v>2</v>
      </c>
      <c r="B88" s="11" t="s">
        <v>206</v>
      </c>
      <c r="C88" s="4" t="s">
        <v>145</v>
      </c>
      <c r="D88" s="10" t="s">
        <v>39</v>
      </c>
      <c r="E88" s="242">
        <v>126000</v>
      </c>
      <c r="F88" s="13"/>
    </row>
    <row r="89" customHeight="1" spans="1:6">
      <c r="A89" s="10">
        <v>3</v>
      </c>
      <c r="B89" s="14" t="s">
        <v>165</v>
      </c>
      <c r="C89" s="4" t="s">
        <v>52</v>
      </c>
      <c r="D89" s="10" t="s">
        <v>192</v>
      </c>
      <c r="E89" s="242">
        <v>90000</v>
      </c>
      <c r="F89" s="13"/>
    </row>
    <row r="90" customHeight="1" spans="1:6">
      <c r="A90" s="10">
        <v>4</v>
      </c>
      <c r="B90" s="11" t="s">
        <v>479</v>
      </c>
      <c r="C90" s="4" t="s">
        <v>46</v>
      </c>
      <c r="D90" s="10" t="s">
        <v>47</v>
      </c>
      <c r="E90" s="242">
        <v>90000</v>
      </c>
      <c r="F90" s="13"/>
    </row>
    <row r="91" ht="21.6" customHeight="1" spans="1:6">
      <c r="A91" s="10">
        <v>5</v>
      </c>
      <c r="B91" s="11" t="s">
        <v>211</v>
      </c>
      <c r="C91" s="4" t="s">
        <v>927</v>
      </c>
      <c r="D91" s="15" t="s">
        <v>601</v>
      </c>
      <c r="E91" s="242">
        <v>90000</v>
      </c>
      <c r="F91" s="13"/>
    </row>
    <row r="92" ht="21.6" customHeight="1" spans="1:6">
      <c r="A92" s="10">
        <v>6</v>
      </c>
      <c r="B92" s="11" t="s">
        <v>212</v>
      </c>
      <c r="C92" s="12" t="s">
        <v>217</v>
      </c>
      <c r="D92" s="15" t="s">
        <v>218</v>
      </c>
      <c r="E92" s="242">
        <v>90000</v>
      </c>
      <c r="F92" s="13"/>
    </row>
    <row r="93" ht="21.6" customHeight="1" spans="1:6">
      <c r="A93" s="10">
        <v>7</v>
      </c>
      <c r="B93" s="11" t="s">
        <v>213</v>
      </c>
      <c r="C93" s="12" t="s">
        <v>217</v>
      </c>
      <c r="D93" s="15" t="s">
        <v>218</v>
      </c>
      <c r="E93" s="242">
        <v>90000</v>
      </c>
      <c r="F93" s="13"/>
    </row>
    <row r="94" ht="21.6" customHeight="1" spans="1:6">
      <c r="A94" s="10">
        <v>8</v>
      </c>
      <c r="B94" s="11" t="s">
        <v>215</v>
      </c>
      <c r="C94" s="17" t="s">
        <v>72</v>
      </c>
      <c r="D94" s="15" t="s">
        <v>180</v>
      </c>
      <c r="E94" s="242">
        <v>54000</v>
      </c>
      <c r="F94" s="13"/>
    </row>
    <row r="95" ht="21.6" customHeight="1" spans="1:6">
      <c r="A95" s="10">
        <v>9</v>
      </c>
      <c r="B95" s="11" t="s">
        <v>220</v>
      </c>
      <c r="C95" s="4" t="s">
        <v>221</v>
      </c>
      <c r="D95" s="10" t="s">
        <v>81</v>
      </c>
      <c r="E95" s="242">
        <v>54000</v>
      </c>
      <c r="F95" s="13"/>
    </row>
    <row r="96" ht="21.6" customHeight="1" spans="1:6">
      <c r="A96" s="10">
        <v>10</v>
      </c>
      <c r="B96" s="11" t="s">
        <v>224</v>
      </c>
      <c r="C96" s="17" t="s">
        <v>505</v>
      </c>
      <c r="D96" s="15" t="s">
        <v>111</v>
      </c>
      <c r="E96" s="242">
        <v>54000</v>
      </c>
      <c r="F96" s="13"/>
    </row>
    <row r="97" customHeight="1" spans="1:6">
      <c r="A97" s="10"/>
      <c r="B97" s="20" t="s">
        <v>120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226</v>
      </c>
      <c r="C99" s="21"/>
      <c r="D99" s="21"/>
      <c r="E99" s="246"/>
      <c r="F99" s="13"/>
    </row>
    <row r="100" customHeight="1" spans="1:6">
      <c r="A100" s="10">
        <v>1</v>
      </c>
      <c r="B100" s="18" t="s">
        <v>908</v>
      </c>
      <c r="C100" s="10" t="s">
        <v>909</v>
      </c>
      <c r="D100" s="15" t="s">
        <v>210</v>
      </c>
      <c r="E100" s="242">
        <v>180000</v>
      </c>
      <c r="F100" s="13"/>
    </row>
    <row r="101" customHeight="1" spans="1:6">
      <c r="A101" s="10">
        <v>2</v>
      </c>
      <c r="B101" s="11" t="s">
        <v>37</v>
      </c>
      <c r="C101" s="4" t="s">
        <v>230</v>
      </c>
      <c r="D101" s="10" t="s">
        <v>47</v>
      </c>
      <c r="E101" s="242">
        <v>90000</v>
      </c>
      <c r="F101" s="13"/>
    </row>
    <row r="102" customHeight="1" spans="1:6">
      <c r="A102" s="10">
        <v>3</v>
      </c>
      <c r="B102" s="11" t="s">
        <v>235</v>
      </c>
      <c r="C102" s="4" t="s">
        <v>651</v>
      </c>
      <c r="D102" s="15" t="s">
        <v>131</v>
      </c>
      <c r="E102" s="242">
        <v>54000</v>
      </c>
      <c r="F102" s="13"/>
    </row>
    <row r="103" customHeight="1" spans="1:6">
      <c r="A103" s="10">
        <v>4</v>
      </c>
      <c r="B103" s="11" t="s">
        <v>1687</v>
      </c>
      <c r="C103" s="4" t="s">
        <v>1688</v>
      </c>
      <c r="D103" s="15" t="s">
        <v>105</v>
      </c>
      <c r="E103" s="242">
        <v>54000</v>
      </c>
      <c r="F103" s="13"/>
    </row>
    <row r="104" customHeight="1" spans="1:6">
      <c r="A104" s="4"/>
      <c r="B104" s="20" t="s">
        <v>120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239</v>
      </c>
      <c r="C106" s="4"/>
      <c r="D106" s="4"/>
      <c r="E106" s="247"/>
      <c r="F106" s="13"/>
    </row>
    <row r="107" customHeight="1" spans="1:6">
      <c r="A107" s="4">
        <v>1</v>
      </c>
      <c r="B107" s="11" t="s">
        <v>652</v>
      </c>
      <c r="C107" s="12" t="s">
        <v>241</v>
      </c>
      <c r="D107" s="15" t="s">
        <v>124</v>
      </c>
      <c r="E107" s="242">
        <v>270000</v>
      </c>
      <c r="F107" s="13"/>
    </row>
    <row r="108" customHeight="1" spans="1:6">
      <c r="A108" s="4">
        <v>2</v>
      </c>
      <c r="B108" s="11" t="s">
        <v>242</v>
      </c>
      <c r="C108" s="4" t="s">
        <v>243</v>
      </c>
      <c r="D108" s="16" t="s">
        <v>210</v>
      </c>
      <c r="E108" s="242">
        <v>180000</v>
      </c>
      <c r="F108" s="13"/>
    </row>
    <row r="109" customHeight="1" spans="1:6">
      <c r="A109" s="4">
        <v>3</v>
      </c>
      <c r="B109" s="11" t="s">
        <v>244</v>
      </c>
      <c r="C109" s="4" t="s">
        <v>653</v>
      </c>
      <c r="D109" s="10" t="s">
        <v>56</v>
      </c>
      <c r="E109" s="242">
        <v>90000</v>
      </c>
      <c r="F109" s="13"/>
    </row>
    <row r="110" customHeight="1" spans="1:6">
      <c r="A110" s="4">
        <v>4</v>
      </c>
      <c r="B110" s="11" t="s">
        <v>246</v>
      </c>
      <c r="C110" s="4" t="s">
        <v>653</v>
      </c>
      <c r="D110" s="10" t="s">
        <v>56</v>
      </c>
      <c r="E110" s="242">
        <v>90000</v>
      </c>
      <c r="F110" s="13"/>
    </row>
    <row r="111" customHeight="1" spans="1:6">
      <c r="A111" s="4">
        <v>5</v>
      </c>
      <c r="B111" s="11" t="s">
        <v>249</v>
      </c>
      <c r="C111" s="4" t="s">
        <v>250</v>
      </c>
      <c r="D111" s="15" t="s">
        <v>506</v>
      </c>
      <c r="E111" s="242">
        <v>54000</v>
      </c>
      <c r="F111" s="13"/>
    </row>
    <row r="112" customHeight="1" spans="1:6">
      <c r="A112" s="4">
        <v>6</v>
      </c>
      <c r="B112" s="18" t="s">
        <v>252</v>
      </c>
      <c r="C112" s="4" t="s">
        <v>250</v>
      </c>
      <c r="D112" s="10" t="s">
        <v>105</v>
      </c>
      <c r="E112" s="242">
        <v>54000</v>
      </c>
      <c r="F112" s="13"/>
    </row>
    <row r="113" customHeight="1" spans="1:6">
      <c r="A113" s="4">
        <v>7</v>
      </c>
      <c r="B113" s="18" t="s">
        <v>253</v>
      </c>
      <c r="C113" s="4" t="s">
        <v>250</v>
      </c>
      <c r="D113" s="15" t="s">
        <v>111</v>
      </c>
      <c r="E113" s="242">
        <v>54000</v>
      </c>
      <c r="F113" s="13"/>
    </row>
    <row r="114" customHeight="1" spans="1:6">
      <c r="A114" s="4"/>
      <c r="B114" s="20" t="s">
        <v>120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1694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1609</v>
      </c>
      <c r="C117" s="17" t="s">
        <v>72</v>
      </c>
      <c r="D117" s="15" t="s">
        <v>70</v>
      </c>
      <c r="E117" s="242">
        <v>54000</v>
      </c>
      <c r="F117" s="13"/>
    </row>
    <row r="118" ht="27" customHeight="1" spans="1:6">
      <c r="A118" s="10">
        <v>2</v>
      </c>
      <c r="B118" s="11" t="s">
        <v>259</v>
      </c>
      <c r="C118" s="4" t="s">
        <v>260</v>
      </c>
      <c r="D118" s="15" t="s">
        <v>131</v>
      </c>
      <c r="E118" s="242">
        <v>54000</v>
      </c>
      <c r="F118" s="13"/>
    </row>
    <row r="119" ht="27" customHeight="1" spans="1:6">
      <c r="A119" s="4"/>
      <c r="B119" s="20" t="s">
        <v>120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278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279</v>
      </c>
      <c r="C122" s="12" t="s">
        <v>280</v>
      </c>
      <c r="D122" s="15" t="s">
        <v>124</v>
      </c>
      <c r="E122" s="242">
        <v>270000</v>
      </c>
      <c r="F122" s="13"/>
    </row>
    <row r="123" customHeight="1" spans="1:6">
      <c r="A123" s="4">
        <v>2</v>
      </c>
      <c r="B123" s="11" t="s">
        <v>281</v>
      </c>
      <c r="C123" s="12" t="s">
        <v>655</v>
      </c>
      <c r="D123" s="15" t="s">
        <v>39</v>
      </c>
      <c r="E123" s="242">
        <v>126000</v>
      </c>
      <c r="F123" s="13"/>
    </row>
    <row r="124" customHeight="1" spans="1:6">
      <c r="A124" s="4">
        <v>3</v>
      </c>
      <c r="B124" s="14" t="s">
        <v>283</v>
      </c>
      <c r="C124" s="12" t="s">
        <v>655</v>
      </c>
      <c r="D124" s="15" t="s">
        <v>39</v>
      </c>
      <c r="E124" s="242">
        <v>126000</v>
      </c>
      <c r="F124" s="13"/>
    </row>
    <row r="125" customHeight="1" spans="1:6">
      <c r="A125" s="4">
        <v>4</v>
      </c>
      <c r="B125" s="14" t="s">
        <v>930</v>
      </c>
      <c r="C125" s="12" t="s">
        <v>655</v>
      </c>
      <c r="D125" s="15" t="s">
        <v>42</v>
      </c>
      <c r="E125" s="242">
        <v>126000</v>
      </c>
      <c r="F125" s="13"/>
    </row>
    <row r="126" customHeight="1" spans="1:6">
      <c r="A126" s="4">
        <v>5</v>
      </c>
      <c r="B126" s="11" t="s">
        <v>286</v>
      </c>
      <c r="C126" s="12" t="s">
        <v>288</v>
      </c>
      <c r="D126" s="15" t="s">
        <v>214</v>
      </c>
      <c r="E126" s="242">
        <v>90000</v>
      </c>
      <c r="F126" s="13"/>
    </row>
    <row r="127" customHeight="1" spans="1:6">
      <c r="A127" s="4">
        <v>6</v>
      </c>
      <c r="B127" s="11" t="s">
        <v>287</v>
      </c>
      <c r="C127" s="12" t="s">
        <v>656</v>
      </c>
      <c r="D127" s="15" t="s">
        <v>601</v>
      </c>
      <c r="E127" s="242">
        <v>90000</v>
      </c>
      <c r="F127" s="13"/>
    </row>
    <row r="128" customHeight="1" spans="1:6">
      <c r="A128" s="4">
        <v>7</v>
      </c>
      <c r="B128" s="11" t="s">
        <v>289</v>
      </c>
      <c r="C128" s="12" t="s">
        <v>1547</v>
      </c>
      <c r="D128" s="15" t="s">
        <v>601</v>
      </c>
      <c r="E128" s="242">
        <v>90000</v>
      </c>
      <c r="F128" s="13"/>
    </row>
    <row r="129" customHeight="1" spans="1:6">
      <c r="A129" s="4">
        <v>8</v>
      </c>
      <c r="B129" s="11" t="s">
        <v>292</v>
      </c>
      <c r="C129" s="12" t="s">
        <v>657</v>
      </c>
      <c r="D129" s="10" t="s">
        <v>99</v>
      </c>
      <c r="E129" s="242">
        <v>54000</v>
      </c>
      <c r="F129" s="13"/>
    </row>
    <row r="130" customHeight="1" spans="1:6">
      <c r="A130" s="4">
        <v>9</v>
      </c>
      <c r="B130" s="18" t="s">
        <v>294</v>
      </c>
      <c r="C130" s="12" t="s">
        <v>295</v>
      </c>
      <c r="D130" s="15" t="s">
        <v>111</v>
      </c>
      <c r="E130" s="242">
        <v>54000</v>
      </c>
      <c r="F130" s="13"/>
    </row>
    <row r="131" customHeight="1" spans="1:6">
      <c r="A131" s="4"/>
      <c r="B131" s="20" t="s">
        <v>120</v>
      </c>
      <c r="C131" s="26" t="s">
        <v>1689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299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931</v>
      </c>
      <c r="C134" s="12" t="s">
        <v>932</v>
      </c>
      <c r="D134" s="15" t="s">
        <v>124</v>
      </c>
      <c r="E134" s="242">
        <v>270000</v>
      </c>
      <c r="F134" s="13"/>
    </row>
    <row r="135" customHeight="1" spans="1:6">
      <c r="A135" s="27">
        <v>2</v>
      </c>
      <c r="B135" s="11" t="s">
        <v>933</v>
      </c>
      <c r="C135" s="12" t="s">
        <v>934</v>
      </c>
      <c r="D135" s="15" t="s">
        <v>36</v>
      </c>
      <c r="E135" s="242">
        <v>180000</v>
      </c>
      <c r="F135" s="13"/>
    </row>
    <row r="136" customHeight="1" spans="1:6">
      <c r="A136" s="27">
        <v>3</v>
      </c>
      <c r="B136" s="14" t="s">
        <v>302</v>
      </c>
      <c r="C136" s="4" t="s">
        <v>488</v>
      </c>
      <c r="D136" s="16" t="s">
        <v>210</v>
      </c>
      <c r="E136" s="242">
        <v>180000</v>
      </c>
      <c r="F136" s="13"/>
    </row>
    <row r="137" customHeight="1" spans="1:6">
      <c r="A137" s="27">
        <v>4</v>
      </c>
      <c r="B137" s="11" t="s">
        <v>305</v>
      </c>
      <c r="C137" s="12" t="s">
        <v>935</v>
      </c>
      <c r="D137" s="15" t="s">
        <v>47</v>
      </c>
      <c r="E137" s="242">
        <v>90000</v>
      </c>
      <c r="F137" s="13"/>
    </row>
    <row r="138" customHeight="1" spans="1:6">
      <c r="A138" s="27">
        <v>5</v>
      </c>
      <c r="B138" s="11" t="s">
        <v>307</v>
      </c>
      <c r="C138" s="4" t="s">
        <v>311</v>
      </c>
      <c r="D138" s="15" t="s">
        <v>47</v>
      </c>
      <c r="E138" s="242">
        <v>90000</v>
      </c>
      <c r="F138" s="13"/>
    </row>
    <row r="139" customHeight="1" spans="1:6">
      <c r="A139" s="27">
        <v>6</v>
      </c>
      <c r="B139" s="11" t="s">
        <v>229</v>
      </c>
      <c r="C139" s="4" t="s">
        <v>937</v>
      </c>
      <c r="D139" s="15" t="s">
        <v>601</v>
      </c>
      <c r="E139" s="242">
        <v>90000</v>
      </c>
      <c r="F139" s="13"/>
    </row>
    <row r="140" customHeight="1" spans="1:6">
      <c r="A140" s="27">
        <v>7</v>
      </c>
      <c r="B140" s="11" t="s">
        <v>231</v>
      </c>
      <c r="C140" s="12" t="s">
        <v>936</v>
      </c>
      <c r="D140" s="15" t="s">
        <v>70</v>
      </c>
      <c r="E140" s="242">
        <v>54000</v>
      </c>
      <c r="F140" s="13"/>
    </row>
    <row r="141" customHeight="1" spans="1:6">
      <c r="A141" s="27">
        <v>8</v>
      </c>
      <c r="B141" s="11" t="s">
        <v>312</v>
      </c>
      <c r="C141" s="12" t="s">
        <v>936</v>
      </c>
      <c r="D141" s="15" t="s">
        <v>70</v>
      </c>
      <c r="E141" s="242">
        <v>54000</v>
      </c>
      <c r="F141" s="13"/>
    </row>
    <row r="142" customHeight="1" spans="1:6">
      <c r="A142" s="27">
        <v>9</v>
      </c>
      <c r="B142" s="11" t="s">
        <v>313</v>
      </c>
      <c r="C142" s="4" t="s">
        <v>937</v>
      </c>
      <c r="D142" s="15" t="s">
        <v>70</v>
      </c>
      <c r="E142" s="242">
        <v>54000</v>
      </c>
      <c r="F142" s="13"/>
    </row>
    <row r="143" customHeight="1" spans="1:6">
      <c r="A143" s="27">
        <v>10</v>
      </c>
      <c r="B143" s="11" t="s">
        <v>315</v>
      </c>
      <c r="C143" s="12" t="s">
        <v>938</v>
      </c>
      <c r="D143" s="15" t="s">
        <v>131</v>
      </c>
      <c r="E143" s="242">
        <v>54000</v>
      </c>
      <c r="F143" s="13"/>
    </row>
    <row r="144" customHeight="1" spans="1:6">
      <c r="A144" s="27">
        <v>11</v>
      </c>
      <c r="B144" s="11" t="s">
        <v>317</v>
      </c>
      <c r="C144" s="12" t="s">
        <v>1549</v>
      </c>
      <c r="D144" s="15" t="s">
        <v>153</v>
      </c>
      <c r="E144" s="242">
        <v>54000</v>
      </c>
      <c r="F144" s="13"/>
    </row>
    <row r="145" customHeight="1" spans="1:6">
      <c r="A145" s="27">
        <v>12</v>
      </c>
      <c r="B145" s="11" t="s">
        <v>62</v>
      </c>
      <c r="C145" s="12" t="s">
        <v>938</v>
      </c>
      <c r="D145" s="15" t="s">
        <v>70</v>
      </c>
      <c r="E145" s="242">
        <v>54000</v>
      </c>
      <c r="F145" s="13"/>
    </row>
    <row r="146" customHeight="1" spans="1:6">
      <c r="A146" s="27">
        <v>13</v>
      </c>
      <c r="B146" s="18" t="s">
        <v>319</v>
      </c>
      <c r="C146" s="4" t="s">
        <v>328</v>
      </c>
      <c r="D146" s="15" t="s">
        <v>153</v>
      </c>
      <c r="E146" s="242">
        <v>54000</v>
      </c>
      <c r="F146" s="13"/>
    </row>
    <row r="147" customHeight="1" spans="1:6">
      <c r="A147" s="27">
        <v>14</v>
      </c>
      <c r="B147" s="11" t="s">
        <v>321</v>
      </c>
      <c r="C147" s="4" t="s">
        <v>939</v>
      </c>
      <c r="D147" s="15" t="s">
        <v>75</v>
      </c>
      <c r="E147" s="242">
        <v>54000</v>
      </c>
      <c r="F147" s="13"/>
    </row>
    <row r="148" customHeight="1" spans="1:6">
      <c r="A148" s="27">
        <v>15</v>
      </c>
      <c r="B148" s="11" t="s">
        <v>322</v>
      </c>
      <c r="C148" s="4" t="s">
        <v>939</v>
      </c>
      <c r="D148" s="15" t="s">
        <v>78</v>
      </c>
      <c r="E148" s="242">
        <v>54000</v>
      </c>
      <c r="F148" s="13"/>
    </row>
    <row r="149" customHeight="1" spans="1:6">
      <c r="A149" s="27">
        <v>16</v>
      </c>
      <c r="B149" s="11" t="s">
        <v>324</v>
      </c>
      <c r="C149" s="4" t="s">
        <v>939</v>
      </c>
      <c r="D149" s="15" t="s">
        <v>78</v>
      </c>
      <c r="E149" s="242">
        <v>54000</v>
      </c>
      <c r="F149" s="13"/>
    </row>
    <row r="150" customHeight="1" spans="1:6">
      <c r="A150" s="27">
        <v>17</v>
      </c>
      <c r="B150" s="11" t="s">
        <v>325</v>
      </c>
      <c r="C150" s="12" t="s">
        <v>326</v>
      </c>
      <c r="D150" s="15" t="s">
        <v>81</v>
      </c>
      <c r="E150" s="242">
        <v>54000</v>
      </c>
      <c r="F150" s="13"/>
    </row>
    <row r="151" customHeight="1" spans="1:6">
      <c r="A151" s="27">
        <v>18</v>
      </c>
      <c r="B151" s="11" t="s">
        <v>1533</v>
      </c>
      <c r="C151" s="12" t="s">
        <v>328</v>
      </c>
      <c r="D151" s="10" t="s">
        <v>225</v>
      </c>
      <c r="E151" s="242">
        <v>54000</v>
      </c>
      <c r="F151" s="13"/>
    </row>
    <row r="152" customHeight="1" spans="1:6">
      <c r="A152" s="27">
        <v>19</v>
      </c>
      <c r="B152" s="11" t="s">
        <v>329</v>
      </c>
      <c r="C152" s="12" t="s">
        <v>661</v>
      </c>
      <c r="D152" s="15" t="s">
        <v>75</v>
      </c>
      <c r="E152" s="242">
        <v>54000</v>
      </c>
      <c r="F152" s="13"/>
    </row>
    <row r="153" customHeight="1" spans="1:6">
      <c r="A153" s="27">
        <v>20</v>
      </c>
      <c r="B153" s="11" t="s">
        <v>331</v>
      </c>
      <c r="C153" s="12" t="s">
        <v>662</v>
      </c>
      <c r="D153" s="15" t="s">
        <v>99</v>
      </c>
      <c r="E153" s="242">
        <v>54000</v>
      </c>
      <c r="F153" s="13"/>
    </row>
    <row r="154" customHeight="1" spans="1:6">
      <c r="A154" s="27">
        <v>21</v>
      </c>
      <c r="B154" s="11" t="s">
        <v>333</v>
      </c>
      <c r="C154" s="12" t="s">
        <v>663</v>
      </c>
      <c r="D154" s="15" t="s">
        <v>75</v>
      </c>
      <c r="E154" s="242">
        <v>54000</v>
      </c>
      <c r="F154" s="13"/>
    </row>
    <row r="155" customHeight="1" spans="1:6">
      <c r="A155" s="27">
        <v>22</v>
      </c>
      <c r="B155" s="11" t="s">
        <v>334</v>
      </c>
      <c r="C155" s="12" t="s">
        <v>664</v>
      </c>
      <c r="D155" s="15" t="s">
        <v>99</v>
      </c>
      <c r="E155" s="242">
        <v>54000</v>
      </c>
      <c r="F155" s="13"/>
    </row>
    <row r="156" customHeight="1" spans="1:6">
      <c r="A156" s="27">
        <v>23</v>
      </c>
      <c r="B156" s="18" t="s">
        <v>336</v>
      </c>
      <c r="C156" s="12" t="s">
        <v>346</v>
      </c>
      <c r="D156" s="15" t="s">
        <v>105</v>
      </c>
      <c r="E156" s="242">
        <v>54000</v>
      </c>
      <c r="F156" s="13"/>
    </row>
    <row r="157" customHeight="1" spans="1:6">
      <c r="A157" s="27">
        <v>24</v>
      </c>
      <c r="B157" s="18" t="s">
        <v>343</v>
      </c>
      <c r="C157" s="12" t="s">
        <v>344</v>
      </c>
      <c r="D157" s="15" t="s">
        <v>275</v>
      </c>
      <c r="E157" s="242">
        <v>54000</v>
      </c>
      <c r="F157" s="13"/>
    </row>
    <row r="158" customHeight="1" spans="1:6">
      <c r="A158" s="27">
        <v>25</v>
      </c>
      <c r="B158" s="18" t="s">
        <v>345</v>
      </c>
      <c r="C158" s="12" t="s">
        <v>346</v>
      </c>
      <c r="D158" s="15" t="s">
        <v>275</v>
      </c>
      <c r="E158" s="242">
        <v>54000</v>
      </c>
      <c r="F158" s="13"/>
    </row>
    <row r="159" customHeight="1" spans="1:6">
      <c r="A159" s="27">
        <v>26</v>
      </c>
      <c r="B159" s="18" t="s">
        <v>347</v>
      </c>
      <c r="C159" s="12" t="s">
        <v>348</v>
      </c>
      <c r="D159" s="15" t="s">
        <v>111</v>
      </c>
      <c r="E159" s="242">
        <v>54000</v>
      </c>
      <c r="F159" s="13"/>
    </row>
    <row r="160" customHeight="1" spans="1:6">
      <c r="A160" s="27">
        <v>27</v>
      </c>
      <c r="B160" s="18" t="s">
        <v>349</v>
      </c>
      <c r="C160" s="12" t="s">
        <v>665</v>
      </c>
      <c r="D160" s="15" t="s">
        <v>111</v>
      </c>
      <c r="E160" s="242">
        <v>54000</v>
      </c>
      <c r="F160" s="13"/>
    </row>
    <row r="161" customHeight="1" spans="1:6">
      <c r="A161" s="27">
        <v>28</v>
      </c>
      <c r="B161" s="11" t="s">
        <v>359</v>
      </c>
      <c r="C161" s="12" t="s">
        <v>512</v>
      </c>
      <c r="D161" s="15" t="s">
        <v>377</v>
      </c>
      <c r="E161" s="242">
        <v>36000</v>
      </c>
      <c r="F161" s="13"/>
    </row>
    <row r="162" customHeight="1" spans="1:6">
      <c r="A162" s="27">
        <v>29</v>
      </c>
      <c r="B162" s="11" t="s">
        <v>362</v>
      </c>
      <c r="C162" s="12" t="s">
        <v>512</v>
      </c>
      <c r="D162" s="15" t="s">
        <v>377</v>
      </c>
      <c r="E162" s="242">
        <v>36000</v>
      </c>
      <c r="F162" s="13"/>
    </row>
    <row r="163" customHeight="1" spans="1:6">
      <c r="A163" s="27">
        <v>30</v>
      </c>
      <c r="B163" s="11" t="s">
        <v>666</v>
      </c>
      <c r="C163" s="12" t="s">
        <v>512</v>
      </c>
      <c r="D163" s="15" t="s">
        <v>377</v>
      </c>
      <c r="E163" s="242">
        <v>36000</v>
      </c>
      <c r="F163" s="13"/>
    </row>
    <row r="164" customHeight="1" spans="1:6">
      <c r="A164" s="27">
        <v>32</v>
      </c>
      <c r="B164" s="11" t="s">
        <v>363</v>
      </c>
      <c r="C164" s="12" t="s">
        <v>512</v>
      </c>
      <c r="D164" s="15" t="s">
        <v>377</v>
      </c>
      <c r="E164" s="242">
        <v>36000</v>
      </c>
      <c r="F164" s="13"/>
    </row>
    <row r="165" customHeight="1" spans="1:6">
      <c r="A165" s="27">
        <v>33</v>
      </c>
      <c r="B165" s="11" t="s">
        <v>364</v>
      </c>
      <c r="C165" s="12" t="s">
        <v>512</v>
      </c>
      <c r="D165" s="15" t="s">
        <v>377</v>
      </c>
      <c r="E165" s="242">
        <v>36000</v>
      </c>
      <c r="F165" s="13"/>
    </row>
    <row r="166" customHeight="1" spans="1:6">
      <c r="A166" s="27">
        <v>34</v>
      </c>
      <c r="B166" s="11" t="s">
        <v>365</v>
      </c>
      <c r="C166" s="12" t="s">
        <v>512</v>
      </c>
      <c r="D166" s="15" t="s">
        <v>606</v>
      </c>
      <c r="E166" s="242">
        <v>36000</v>
      </c>
      <c r="F166" s="13"/>
    </row>
    <row r="167" customHeight="1" spans="1:6">
      <c r="A167" s="27">
        <v>35</v>
      </c>
      <c r="B167" s="11" t="s">
        <v>367</v>
      </c>
      <c r="C167" s="12" t="s">
        <v>512</v>
      </c>
      <c r="D167" s="15" t="s">
        <v>606</v>
      </c>
      <c r="E167" s="242">
        <v>36000</v>
      </c>
      <c r="F167" s="13"/>
    </row>
    <row r="168" customHeight="1" spans="1:6">
      <c r="A168" s="27">
        <v>36</v>
      </c>
      <c r="B168" s="14" t="s">
        <v>368</v>
      </c>
      <c r="C168" s="12" t="s">
        <v>512</v>
      </c>
      <c r="D168" s="15" t="s">
        <v>606</v>
      </c>
      <c r="E168" s="242">
        <v>36000</v>
      </c>
      <c r="F168" s="13"/>
    </row>
    <row r="169" customHeight="1" spans="1:6">
      <c r="A169" s="27">
        <v>37</v>
      </c>
      <c r="B169" s="11" t="s">
        <v>369</v>
      </c>
      <c r="C169" s="12" t="s">
        <v>512</v>
      </c>
      <c r="D169" s="15" t="s">
        <v>606</v>
      </c>
      <c r="E169" s="242">
        <v>36000</v>
      </c>
      <c r="F169" s="13"/>
    </row>
    <row r="170" customHeight="1" spans="1:6">
      <c r="A170" s="27">
        <v>38</v>
      </c>
      <c r="B170" s="18" t="s">
        <v>370</v>
      </c>
      <c r="C170" s="12" t="s">
        <v>512</v>
      </c>
      <c r="D170" s="15" t="s">
        <v>606</v>
      </c>
      <c r="E170" s="242">
        <v>36000</v>
      </c>
      <c r="F170" s="13"/>
    </row>
    <row r="171" customHeight="1" spans="1:6">
      <c r="A171" s="27">
        <v>39</v>
      </c>
      <c r="B171" s="18" t="s">
        <v>357</v>
      </c>
      <c r="C171" s="12" t="s">
        <v>512</v>
      </c>
      <c r="D171" s="15" t="s">
        <v>606</v>
      </c>
      <c r="E171" s="242">
        <v>36000</v>
      </c>
      <c r="F171" s="13"/>
    </row>
    <row r="172" customHeight="1" spans="1:6">
      <c r="A172" s="27">
        <v>40</v>
      </c>
      <c r="B172" s="11" t="s">
        <v>371</v>
      </c>
      <c r="C172" s="12" t="s">
        <v>387</v>
      </c>
      <c r="D172" s="15" t="s">
        <v>608</v>
      </c>
      <c r="E172" s="242">
        <v>36000</v>
      </c>
      <c r="F172" s="13"/>
    </row>
    <row r="173" customHeight="1" spans="1:6">
      <c r="A173" s="27">
        <v>41</v>
      </c>
      <c r="B173" s="11" t="s">
        <v>373</v>
      </c>
      <c r="C173" s="12" t="s">
        <v>387</v>
      </c>
      <c r="D173" s="15" t="s">
        <v>608</v>
      </c>
      <c r="E173" s="242">
        <v>36000</v>
      </c>
      <c r="F173" s="13"/>
    </row>
    <row r="174" customHeight="1" spans="1:6">
      <c r="A174" s="27">
        <v>42</v>
      </c>
      <c r="B174" s="18" t="s">
        <v>374</v>
      </c>
      <c r="C174" s="12" t="s">
        <v>387</v>
      </c>
      <c r="D174" s="15" t="s">
        <v>388</v>
      </c>
      <c r="E174" s="242">
        <v>36000</v>
      </c>
      <c r="F174" s="13"/>
    </row>
    <row r="175" customHeight="1" spans="1:6">
      <c r="A175" s="27">
        <v>43</v>
      </c>
      <c r="B175" s="11" t="s">
        <v>376</v>
      </c>
      <c r="C175" s="12" t="s">
        <v>387</v>
      </c>
      <c r="D175" s="15" t="s">
        <v>403</v>
      </c>
      <c r="E175" s="242">
        <v>36000</v>
      </c>
      <c r="F175" s="13"/>
    </row>
    <row r="176" customHeight="1" spans="1:6">
      <c r="A176" s="27">
        <v>44</v>
      </c>
      <c r="B176" s="11" t="s">
        <v>378</v>
      </c>
      <c r="C176" s="12" t="s">
        <v>514</v>
      </c>
      <c r="D176" s="15" t="s">
        <v>1534</v>
      </c>
      <c r="E176" s="242">
        <v>36000</v>
      </c>
      <c r="F176" s="13"/>
    </row>
    <row r="177" customHeight="1" spans="1:6">
      <c r="A177" s="27">
        <v>45</v>
      </c>
      <c r="B177" s="11" t="s">
        <v>379</v>
      </c>
      <c r="C177" s="12" t="s">
        <v>514</v>
      </c>
      <c r="D177" s="15" t="s">
        <v>1534</v>
      </c>
      <c r="E177" s="242">
        <v>36000</v>
      </c>
      <c r="F177" s="13"/>
    </row>
    <row r="178" customHeight="1" spans="1:6">
      <c r="A178" s="27">
        <v>46</v>
      </c>
      <c r="B178" s="11" t="s">
        <v>380</v>
      </c>
      <c r="C178" s="12" t="s">
        <v>514</v>
      </c>
      <c r="D178" s="15" t="s">
        <v>1534</v>
      </c>
      <c r="E178" s="242">
        <v>36000</v>
      </c>
      <c r="F178" s="13"/>
    </row>
    <row r="179" customHeight="1" spans="1:6">
      <c r="A179" s="27">
        <v>47</v>
      </c>
      <c r="B179" s="11" t="s">
        <v>381</v>
      </c>
      <c r="C179" s="12" t="s">
        <v>514</v>
      </c>
      <c r="D179" s="15" t="s">
        <v>1534</v>
      </c>
      <c r="E179" s="242">
        <v>36000</v>
      </c>
      <c r="F179" s="13"/>
    </row>
    <row r="180" customHeight="1" spans="1:6">
      <c r="A180" s="27">
        <v>48</v>
      </c>
      <c r="B180" s="11" t="s">
        <v>382</v>
      </c>
      <c r="C180" s="12" t="s">
        <v>514</v>
      </c>
      <c r="D180" s="15" t="s">
        <v>1534</v>
      </c>
      <c r="E180" s="242">
        <v>36000</v>
      </c>
      <c r="F180" s="13"/>
    </row>
    <row r="181" customHeight="1" spans="1:6">
      <c r="A181" s="27">
        <v>49</v>
      </c>
      <c r="B181" s="18" t="s">
        <v>383</v>
      </c>
      <c r="C181" s="12" t="s">
        <v>514</v>
      </c>
      <c r="D181" s="15" t="s">
        <v>1534</v>
      </c>
      <c r="E181" s="242">
        <v>36000</v>
      </c>
      <c r="F181" s="13"/>
    </row>
    <row r="182" customHeight="1" spans="1:6">
      <c r="A182" s="27">
        <v>50</v>
      </c>
      <c r="B182" s="18" t="s">
        <v>385</v>
      </c>
      <c r="C182" s="12" t="s">
        <v>514</v>
      </c>
      <c r="D182" s="15" t="s">
        <v>1534</v>
      </c>
      <c r="E182" s="242">
        <v>36000</v>
      </c>
      <c r="F182" s="13"/>
    </row>
    <row r="183" customHeight="1" spans="1:6">
      <c r="A183" s="27">
        <v>51</v>
      </c>
      <c r="B183" s="11" t="s">
        <v>668</v>
      </c>
      <c r="C183" s="12" t="s">
        <v>387</v>
      </c>
      <c r="D183" s="15" t="s">
        <v>1534</v>
      </c>
      <c r="E183" s="242">
        <v>36000</v>
      </c>
      <c r="F183" s="13"/>
    </row>
    <row r="184" customHeight="1" spans="1:6">
      <c r="A184" s="27">
        <v>52</v>
      </c>
      <c r="B184" s="11" t="s">
        <v>386</v>
      </c>
      <c r="C184" s="12" t="s">
        <v>387</v>
      </c>
      <c r="D184" s="15" t="s">
        <v>1534</v>
      </c>
      <c r="E184" s="242">
        <v>36000</v>
      </c>
      <c r="F184" s="13"/>
    </row>
    <row r="185" customHeight="1" spans="1:6">
      <c r="A185" s="27">
        <v>53</v>
      </c>
      <c r="B185" s="18" t="s">
        <v>358</v>
      </c>
      <c r="C185" s="12" t="s">
        <v>514</v>
      </c>
      <c r="D185" s="15" t="s">
        <v>1550</v>
      </c>
      <c r="E185" s="242">
        <v>36000</v>
      </c>
      <c r="F185" s="13"/>
    </row>
    <row r="186" customHeight="1" spans="1:6">
      <c r="A186" s="27">
        <v>54</v>
      </c>
      <c r="B186" s="18" t="s">
        <v>392</v>
      </c>
      <c r="C186" s="12" t="s">
        <v>514</v>
      </c>
      <c r="D186" s="15" t="s">
        <v>609</v>
      </c>
      <c r="E186" s="242">
        <v>36000</v>
      </c>
      <c r="F186" s="13"/>
    </row>
    <row r="187" customHeight="1" spans="1:6">
      <c r="A187" s="27"/>
      <c r="B187" s="8" t="s">
        <v>120</v>
      </c>
      <c r="C187" s="28" t="s">
        <v>1693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406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1:6">
      <c r="B190" s="33"/>
      <c r="D190" s="34"/>
      <c r="E190" s="34"/>
      <c r="F190" s="35"/>
    </row>
    <row r="191" ht="65.25" customHeight="1" spans="1:6">
      <c r="B191" s="33"/>
      <c r="C191" s="34"/>
      <c r="D191" s="34"/>
      <c r="E191" s="34"/>
      <c r="F191" s="256"/>
    </row>
    <row r="192" customHeight="1" spans="1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9">
      <c r="A1" s="76" t="s">
        <v>0</v>
      </c>
      <c r="B1" s="76"/>
      <c r="C1" s="76"/>
      <c r="D1" s="76"/>
    </row>
    <row r="2" ht="33.75" customHeight="1" spans="1:9">
      <c r="A2" s="76" t="s">
        <v>1695</v>
      </c>
      <c r="B2" s="77"/>
      <c r="C2" s="76"/>
      <c r="D2" s="76"/>
      <c r="E2" s="78"/>
      <c r="F2" s="78"/>
      <c r="G2" s="78"/>
    </row>
    <row r="3" ht="9.75" customHeight="1"/>
    <row r="4" ht="45" customHeight="1" spans="1:9">
      <c r="A4" s="4"/>
      <c r="B4" s="5" t="s">
        <v>2</v>
      </c>
      <c r="C4" s="6" t="s">
        <v>3</v>
      </c>
      <c r="D4" s="7" t="s">
        <v>4</v>
      </c>
      <c r="E4" s="24" t="s">
        <v>1114</v>
      </c>
      <c r="F4" s="24" t="s">
        <v>1050</v>
      </c>
      <c r="G4" s="80" t="s">
        <v>1696</v>
      </c>
    </row>
    <row r="5" customHeight="1" spans="1:9">
      <c r="A5" s="9" t="s">
        <v>22</v>
      </c>
      <c r="B5" s="8" t="s">
        <v>23</v>
      </c>
      <c r="C5" s="8"/>
      <c r="D5" s="8"/>
      <c r="E5" s="82" t="s">
        <v>21</v>
      </c>
      <c r="F5" s="230" t="s">
        <v>21</v>
      </c>
      <c r="G5" s="82" t="s">
        <v>21</v>
      </c>
    </row>
    <row r="6" customHeight="1" spans="1:9">
      <c r="A6" s="10">
        <v>1</v>
      </c>
      <c r="B6" s="11" t="s">
        <v>24</v>
      </c>
      <c r="C6" s="12" t="s">
        <v>25</v>
      </c>
      <c r="D6" s="12" t="s">
        <v>26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1592</v>
      </c>
      <c r="C7" s="4" t="s">
        <v>1675</v>
      </c>
      <c r="D7" s="10" t="s">
        <v>36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1676</v>
      </c>
      <c r="C8" s="4" t="s">
        <v>1677</v>
      </c>
      <c r="D8" s="10" t="s">
        <v>36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27</v>
      </c>
      <c r="C9" s="12" t="s">
        <v>28</v>
      </c>
      <c r="D9" s="10" t="s">
        <v>29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30</v>
      </c>
      <c r="C10" s="4" t="s">
        <v>31</v>
      </c>
      <c r="D10" s="15" t="s">
        <v>210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227</v>
      </c>
      <c r="C11" s="4" t="s">
        <v>1594</v>
      </c>
      <c r="D11" s="16" t="s">
        <v>210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32</v>
      </c>
      <c r="C12" s="17" t="s">
        <v>33</v>
      </c>
      <c r="D12" s="16" t="s">
        <v>210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300</v>
      </c>
      <c r="C13" s="4" t="s">
        <v>907</v>
      </c>
      <c r="D13" s="16" t="s">
        <v>210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34</v>
      </c>
      <c r="C14" s="12" t="s">
        <v>910</v>
      </c>
      <c r="D14" s="15" t="s">
        <v>39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186</v>
      </c>
      <c r="C15" s="12" t="s">
        <v>926</v>
      </c>
      <c r="D15" s="10" t="s">
        <v>925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1678</v>
      </c>
      <c r="C16" s="4" t="s">
        <v>1679</v>
      </c>
      <c r="D16" s="16" t="s">
        <v>47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1595</v>
      </c>
      <c r="C17" s="4" t="s">
        <v>643</v>
      </c>
      <c r="D17" s="10" t="s">
        <v>47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1680</v>
      </c>
      <c r="C18" s="4" t="s">
        <v>1681</v>
      </c>
      <c r="D18" s="10" t="s">
        <v>47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40</v>
      </c>
      <c r="C19" s="4" t="s">
        <v>643</v>
      </c>
      <c r="D19" s="15" t="s">
        <v>47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51</v>
      </c>
      <c r="C20" s="12" t="s">
        <v>61</v>
      </c>
      <c r="D20" s="15" t="s">
        <v>218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54</v>
      </c>
      <c r="C21" s="4" t="s">
        <v>55</v>
      </c>
      <c r="D21" s="15" t="s">
        <v>602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193</v>
      </c>
      <c r="C22" s="12" t="s">
        <v>929</v>
      </c>
      <c r="D22" s="15" t="s">
        <v>70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65</v>
      </c>
      <c r="C23" s="12" t="s">
        <v>178</v>
      </c>
      <c r="D23" s="15" t="s">
        <v>131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259</v>
      </c>
      <c r="C24" s="4" t="s">
        <v>260</v>
      </c>
      <c r="D24" s="15" t="s">
        <v>131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319</v>
      </c>
      <c r="C25" s="4" t="s">
        <v>1697</v>
      </c>
      <c r="D25" s="15" t="s">
        <v>153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1682</v>
      </c>
      <c r="C26" s="12" t="s">
        <v>104</v>
      </c>
      <c r="D26" s="15" t="s">
        <v>78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478</v>
      </c>
      <c r="C27" s="4" t="s">
        <v>94</v>
      </c>
      <c r="D27" s="10" t="s">
        <v>99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79</v>
      </c>
      <c r="C28" s="12" t="s">
        <v>94</v>
      </c>
      <c r="D28" s="15" t="s">
        <v>99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1596</v>
      </c>
      <c r="C29" s="12" t="s">
        <v>1597</v>
      </c>
      <c r="D29" s="15" t="s">
        <v>99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84</v>
      </c>
      <c r="C30" s="12" t="s">
        <v>1544</v>
      </c>
      <c r="D30" s="15" t="s">
        <v>1698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236</v>
      </c>
      <c r="C31" s="17" t="s">
        <v>1699</v>
      </c>
      <c r="D31" s="15" t="s">
        <v>105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87</v>
      </c>
      <c r="C32" s="4" t="s">
        <v>1598</v>
      </c>
      <c r="D32" s="10" t="s">
        <v>105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91</v>
      </c>
      <c r="C33" s="17" t="s">
        <v>646</v>
      </c>
      <c r="D33" s="15" t="s">
        <v>99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95</v>
      </c>
      <c r="C34" s="4" t="s">
        <v>1700</v>
      </c>
      <c r="D34" s="10" t="s">
        <v>111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1525</v>
      </c>
      <c r="C35" s="12" t="s">
        <v>104</v>
      </c>
      <c r="D35" s="15" t="s">
        <v>111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1683</v>
      </c>
      <c r="C36" s="12" t="s">
        <v>104</v>
      </c>
      <c r="D36" s="15" t="s">
        <v>111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120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121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122</v>
      </c>
      <c r="C40" s="4" t="s">
        <v>123</v>
      </c>
      <c r="D40" s="10" t="s">
        <v>124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127</v>
      </c>
      <c r="C41" s="4" t="s">
        <v>1137</v>
      </c>
      <c r="D41" s="10" t="s">
        <v>275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137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912</v>
      </c>
      <c r="C45" s="4" t="s">
        <v>913</v>
      </c>
      <c r="D45" s="10" t="s">
        <v>124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914</v>
      </c>
      <c r="C46" s="4" t="s">
        <v>44</v>
      </c>
      <c r="D46" s="10" t="s">
        <v>39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138</v>
      </c>
      <c r="C47" s="4" t="s">
        <v>145</v>
      </c>
      <c r="D47" s="10" t="s">
        <v>39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141</v>
      </c>
      <c r="C48" s="4" t="s">
        <v>145</v>
      </c>
      <c r="D48" s="10" t="s">
        <v>39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144</v>
      </c>
      <c r="C49" s="4" t="s">
        <v>145</v>
      </c>
      <c r="D49" s="10" t="s">
        <v>50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146</v>
      </c>
      <c r="C50" s="4" t="s">
        <v>46</v>
      </c>
      <c r="D50" s="10" t="s">
        <v>47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147</v>
      </c>
      <c r="C51" s="4" t="s">
        <v>52</v>
      </c>
      <c r="D51" s="16" t="s">
        <v>47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1601</v>
      </c>
      <c r="C52" s="4" t="s">
        <v>52</v>
      </c>
      <c r="D52" s="10" t="s">
        <v>214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45</v>
      </c>
      <c r="C53" s="4" t="s">
        <v>927</v>
      </c>
      <c r="D53" s="10" t="s">
        <v>601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155</v>
      </c>
      <c r="C54" s="4" t="s">
        <v>152</v>
      </c>
      <c r="D54" s="10" t="s">
        <v>225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915</v>
      </c>
      <c r="C55" s="4" t="s">
        <v>152</v>
      </c>
      <c r="D55" s="10" t="s">
        <v>225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157</v>
      </c>
      <c r="C56" s="4" t="s">
        <v>152</v>
      </c>
      <c r="D56" s="10" t="s">
        <v>225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120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56"/>
      <c r="F58" s="233"/>
      <c r="G58" s="156"/>
      <c r="H58" s="13"/>
      <c r="I58" s="13"/>
    </row>
    <row r="59" customHeight="1" spans="1:9">
      <c r="A59" s="10"/>
      <c r="B59" s="20" t="s">
        <v>159</v>
      </c>
      <c r="C59" s="21"/>
      <c r="D59" s="21"/>
      <c r="E59" s="156"/>
      <c r="F59" s="233"/>
      <c r="G59" s="156"/>
      <c r="H59" s="13"/>
      <c r="I59" s="13"/>
    </row>
    <row r="60" customHeight="1" spans="1:9">
      <c r="A60" s="10">
        <v>1</v>
      </c>
      <c r="B60" s="11" t="s">
        <v>916</v>
      </c>
      <c r="C60" s="12" t="s">
        <v>161</v>
      </c>
      <c r="D60" s="15" t="s">
        <v>124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120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56"/>
      <c r="F62" s="233"/>
      <c r="G62" s="156"/>
      <c r="H62" s="13"/>
      <c r="I62" s="13"/>
    </row>
    <row r="63" customHeight="1" spans="1:9">
      <c r="A63" s="10"/>
      <c r="B63" s="20" t="s">
        <v>164</v>
      </c>
      <c r="C63" s="21"/>
      <c r="D63" s="21"/>
      <c r="E63" s="156"/>
      <c r="F63" s="233"/>
      <c r="G63" s="156"/>
      <c r="H63" s="13"/>
      <c r="I63" s="13"/>
    </row>
    <row r="64" customHeight="1" spans="1:9">
      <c r="A64" s="10">
        <v>1</v>
      </c>
      <c r="B64" s="11" t="s">
        <v>917</v>
      </c>
      <c r="C64" s="17" t="s">
        <v>918</v>
      </c>
      <c r="D64" s="10" t="s">
        <v>124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919</v>
      </c>
      <c r="C65" s="17" t="s">
        <v>920</v>
      </c>
      <c r="D65" s="15" t="s">
        <v>1532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167</v>
      </c>
      <c r="C66" s="4" t="s">
        <v>217</v>
      </c>
      <c r="D66" s="10" t="s">
        <v>601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921</v>
      </c>
      <c r="C67" s="17" t="s">
        <v>217</v>
      </c>
      <c r="D67" s="15" t="s">
        <v>218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922</v>
      </c>
      <c r="C68" s="17" t="s">
        <v>52</v>
      </c>
      <c r="D68" s="15" t="s">
        <v>47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171</v>
      </c>
      <c r="C69" s="4" t="s">
        <v>152</v>
      </c>
      <c r="D69" s="10" t="s">
        <v>1701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1609</v>
      </c>
      <c r="C70" s="17" t="s">
        <v>72</v>
      </c>
      <c r="D70" s="15" t="s">
        <v>70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172</v>
      </c>
      <c r="C71" s="17" t="s">
        <v>72</v>
      </c>
      <c r="D71" s="15" t="s">
        <v>180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174</v>
      </c>
      <c r="C72" s="17" t="s">
        <v>72</v>
      </c>
      <c r="D72" s="15" t="s">
        <v>180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175</v>
      </c>
      <c r="C73" s="4" t="s">
        <v>649</v>
      </c>
      <c r="D73" s="10" t="s">
        <v>131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1684</v>
      </c>
      <c r="C74" s="17" t="s">
        <v>152</v>
      </c>
      <c r="D74" s="10" t="s">
        <v>75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82</v>
      </c>
      <c r="C75" s="17" t="s">
        <v>69</v>
      </c>
      <c r="D75" s="10" t="s">
        <v>99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68</v>
      </c>
      <c r="C76" s="17" t="s">
        <v>69</v>
      </c>
      <c r="D76" s="10" t="s">
        <v>111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120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56"/>
      <c r="F78" s="233"/>
      <c r="G78" s="156"/>
      <c r="H78" s="13"/>
      <c r="I78" s="13"/>
    </row>
    <row r="79" customHeight="1" spans="1:9">
      <c r="A79" s="10"/>
      <c r="B79" s="20" t="s">
        <v>183</v>
      </c>
      <c r="C79" s="21"/>
      <c r="D79" s="21"/>
      <c r="E79" s="156"/>
      <c r="F79" s="233"/>
      <c r="G79" s="156"/>
      <c r="H79" s="13"/>
      <c r="I79" s="13"/>
    </row>
    <row r="80" customHeight="1" spans="1:9">
      <c r="A80" s="10">
        <v>1</v>
      </c>
      <c r="B80" s="11" t="s">
        <v>184</v>
      </c>
      <c r="C80" s="4" t="s">
        <v>185</v>
      </c>
      <c r="D80" s="10" t="s">
        <v>124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923</v>
      </c>
      <c r="C81" s="4" t="s">
        <v>924</v>
      </c>
      <c r="D81" s="15" t="s">
        <v>1532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1685</v>
      </c>
      <c r="C82" s="4" t="s">
        <v>1686</v>
      </c>
      <c r="D82" s="15" t="s">
        <v>1532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190</v>
      </c>
      <c r="C83" s="4" t="s">
        <v>1545</v>
      </c>
      <c r="D83" s="15" t="s">
        <v>601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197</v>
      </c>
      <c r="C84" s="4" t="s">
        <v>182</v>
      </c>
      <c r="D84" s="10" t="s">
        <v>75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120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56"/>
      <c r="F86" s="231"/>
      <c r="G86" s="85"/>
      <c r="H86" s="13"/>
      <c r="I86" s="13"/>
    </row>
    <row r="87" customHeight="1" spans="1:9">
      <c r="A87" s="10"/>
      <c r="B87" s="20" t="s">
        <v>205</v>
      </c>
      <c r="C87" s="25"/>
      <c r="D87" s="21"/>
      <c r="E87" s="156"/>
      <c r="F87" s="231"/>
      <c r="G87" s="85"/>
      <c r="H87" s="13"/>
      <c r="I87" s="13"/>
    </row>
    <row r="88" ht="23.25" customHeight="1" spans="1:9">
      <c r="A88" s="10">
        <v>1</v>
      </c>
      <c r="B88" s="11" t="s">
        <v>1702</v>
      </c>
      <c r="C88" s="4" t="s">
        <v>1703</v>
      </c>
      <c r="D88" s="10" t="s">
        <v>36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208</v>
      </c>
      <c r="C89" s="4" t="s">
        <v>145</v>
      </c>
      <c r="D89" s="10" t="s">
        <v>39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206</v>
      </c>
      <c r="C90" s="4" t="s">
        <v>145</v>
      </c>
      <c r="D90" s="10" t="s">
        <v>39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165</v>
      </c>
      <c r="C91" s="4" t="s">
        <v>52</v>
      </c>
      <c r="D91" s="10" t="s">
        <v>192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479</v>
      </c>
      <c r="C92" s="4" t="s">
        <v>46</v>
      </c>
      <c r="D92" s="10" t="s">
        <v>47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211</v>
      </c>
      <c r="C93" s="4" t="s">
        <v>927</v>
      </c>
      <c r="D93" s="15" t="s">
        <v>601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212</v>
      </c>
      <c r="C94" s="12" t="s">
        <v>217</v>
      </c>
      <c r="D94" s="15" t="s">
        <v>218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213</v>
      </c>
      <c r="C95" s="12" t="s">
        <v>217</v>
      </c>
      <c r="D95" s="15" t="s">
        <v>218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215</v>
      </c>
      <c r="C96" s="17" t="s">
        <v>72</v>
      </c>
      <c r="D96" s="15" t="s">
        <v>180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220</v>
      </c>
      <c r="C97" s="4" t="s">
        <v>221</v>
      </c>
      <c r="D97" s="10" t="s">
        <v>81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224</v>
      </c>
      <c r="C98" s="17" t="s">
        <v>505</v>
      </c>
      <c r="D98" s="15" t="s">
        <v>111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120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56"/>
      <c r="F100" s="233"/>
      <c r="G100" s="156"/>
      <c r="H100" s="13"/>
      <c r="I100" s="13"/>
    </row>
    <row r="101" customHeight="1" spans="1:9">
      <c r="A101" s="10"/>
      <c r="B101" s="20" t="s">
        <v>226</v>
      </c>
      <c r="C101" s="21"/>
      <c r="D101" s="21"/>
      <c r="E101" s="156"/>
      <c r="F101" s="233"/>
      <c r="G101" s="156"/>
      <c r="H101" s="13"/>
      <c r="I101" s="13"/>
    </row>
    <row r="102" customHeight="1" spans="1:9">
      <c r="A102" s="10">
        <v>1</v>
      </c>
      <c r="B102" s="18" t="s">
        <v>908</v>
      </c>
      <c r="C102" s="10" t="s">
        <v>909</v>
      </c>
      <c r="D102" s="15" t="s">
        <v>210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37</v>
      </c>
      <c r="C103" s="4" t="s">
        <v>230</v>
      </c>
      <c r="D103" s="10" t="s">
        <v>47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1704</v>
      </c>
      <c r="C104" s="4" t="s">
        <v>1705</v>
      </c>
      <c r="D104" s="15" t="s">
        <v>218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235</v>
      </c>
      <c r="C105" s="4" t="s">
        <v>651</v>
      </c>
      <c r="D105" s="15" t="s">
        <v>131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120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56"/>
      <c r="F107" s="233"/>
      <c r="G107" s="156"/>
      <c r="H107" s="13"/>
      <c r="I107" s="13"/>
    </row>
    <row r="108" customHeight="1" spans="1:9">
      <c r="A108" s="4"/>
      <c r="B108" s="20" t="s">
        <v>239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652</v>
      </c>
      <c r="C109" s="12" t="s">
        <v>241</v>
      </c>
      <c r="D109" s="15" t="s">
        <v>124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242</v>
      </c>
      <c r="C110" s="4" t="s">
        <v>243</v>
      </c>
      <c r="D110" s="16" t="s">
        <v>210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244</v>
      </c>
      <c r="C111" s="4" t="s">
        <v>653</v>
      </c>
      <c r="D111" s="10" t="s">
        <v>56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246</v>
      </c>
      <c r="C112" s="4" t="s">
        <v>653</v>
      </c>
      <c r="D112" s="10" t="s">
        <v>56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249</v>
      </c>
      <c r="C113" s="4" t="s">
        <v>250</v>
      </c>
      <c r="D113" s="15" t="s">
        <v>506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252</v>
      </c>
      <c r="C114" s="4" t="s">
        <v>250</v>
      </c>
      <c r="D114" s="10" t="s">
        <v>105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253</v>
      </c>
      <c r="C115" s="4" t="s">
        <v>250</v>
      </c>
      <c r="D115" s="15" t="s">
        <v>111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120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278</v>
      </c>
      <c r="C118" s="21"/>
      <c r="D118" s="21"/>
      <c r="E118" s="156"/>
      <c r="F118" s="231"/>
      <c r="G118" s="85"/>
      <c r="H118" s="13"/>
      <c r="I118" s="13"/>
    </row>
    <row r="119" customHeight="1" spans="1:9">
      <c r="A119" s="4">
        <v>1</v>
      </c>
      <c r="B119" s="11" t="s">
        <v>279</v>
      </c>
      <c r="C119" s="12" t="s">
        <v>280</v>
      </c>
      <c r="D119" s="15" t="s">
        <v>124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1706</v>
      </c>
      <c r="B120" s="11" t="s">
        <v>1707</v>
      </c>
      <c r="C120" s="12" t="s">
        <v>1708</v>
      </c>
      <c r="D120" s="15" t="s">
        <v>36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281</v>
      </c>
      <c r="C121" s="12" t="s">
        <v>655</v>
      </c>
      <c r="D121" s="15" t="s">
        <v>39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283</v>
      </c>
      <c r="C122" s="12" t="s">
        <v>655</v>
      </c>
      <c r="D122" s="15" t="s">
        <v>39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930</v>
      </c>
      <c r="C123" s="12" t="s">
        <v>655</v>
      </c>
      <c r="D123" s="15" t="s">
        <v>42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286</v>
      </c>
      <c r="C124" s="12" t="s">
        <v>288</v>
      </c>
      <c r="D124" s="15" t="s">
        <v>214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287</v>
      </c>
      <c r="C125" s="12" t="s">
        <v>656</v>
      </c>
      <c r="D125" s="15" t="s">
        <v>601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289</v>
      </c>
      <c r="C126" s="12" t="s">
        <v>1547</v>
      </c>
      <c r="D126" s="15" t="s">
        <v>601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1709</v>
      </c>
      <c r="C127" s="12" t="s">
        <v>1710</v>
      </c>
      <c r="D127" s="15" t="s">
        <v>59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292</v>
      </c>
      <c r="C128" s="12" t="s">
        <v>657</v>
      </c>
      <c r="D128" s="10" t="s">
        <v>99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294</v>
      </c>
      <c r="C129" s="12" t="s">
        <v>295</v>
      </c>
      <c r="D129" s="15" t="s">
        <v>111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120</v>
      </c>
      <c r="C130" s="26" t="s">
        <v>901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56"/>
      <c r="F131" s="233"/>
      <c r="G131" s="156"/>
      <c r="H131" s="13"/>
      <c r="I131" s="13"/>
    </row>
    <row r="132" customHeight="1" spans="1:9">
      <c r="A132" s="4"/>
      <c r="B132" s="20" t="s">
        <v>299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931</v>
      </c>
      <c r="C133" s="12" t="s">
        <v>932</v>
      </c>
      <c r="D133" s="15" t="s">
        <v>124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933</v>
      </c>
      <c r="C134" s="12" t="s">
        <v>934</v>
      </c>
      <c r="D134" s="15" t="s">
        <v>36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302</v>
      </c>
      <c r="C135" s="4" t="s">
        <v>488</v>
      </c>
      <c r="D135" s="16" t="s">
        <v>210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305</v>
      </c>
      <c r="C136" s="12" t="s">
        <v>935</v>
      </c>
      <c r="D136" s="15" t="s">
        <v>47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307</v>
      </c>
      <c r="C137" s="4" t="s">
        <v>311</v>
      </c>
      <c r="D137" s="15" t="s">
        <v>47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229</v>
      </c>
      <c r="C138" s="4" t="s">
        <v>937</v>
      </c>
      <c r="D138" s="15" t="s">
        <v>601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231</v>
      </c>
      <c r="C139" s="12" t="s">
        <v>936</v>
      </c>
      <c r="D139" s="15" t="s">
        <v>70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312</v>
      </c>
      <c r="C140" s="12" t="s">
        <v>936</v>
      </c>
      <c r="D140" s="15" t="s">
        <v>70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313</v>
      </c>
      <c r="C141" s="4" t="s">
        <v>937</v>
      </c>
      <c r="D141" s="15" t="s">
        <v>70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315</v>
      </c>
      <c r="C142" s="12" t="s">
        <v>938</v>
      </c>
      <c r="D142" s="15" t="s">
        <v>131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317</v>
      </c>
      <c r="C143" s="12" t="s">
        <v>1549</v>
      </c>
      <c r="D143" s="15" t="s">
        <v>153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62</v>
      </c>
      <c r="C144" s="12" t="s">
        <v>938</v>
      </c>
      <c r="D144" s="15" t="s">
        <v>70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321</v>
      </c>
      <c r="C145" s="4" t="s">
        <v>939</v>
      </c>
      <c r="D145" s="15" t="s">
        <v>75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322</v>
      </c>
      <c r="C146" s="4" t="s">
        <v>939</v>
      </c>
      <c r="D146" s="15" t="s">
        <v>78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324</v>
      </c>
      <c r="C147" s="4" t="s">
        <v>939</v>
      </c>
      <c r="D147" s="15" t="s">
        <v>78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325</v>
      </c>
      <c r="C148" s="12" t="s">
        <v>326</v>
      </c>
      <c r="D148" s="15" t="s">
        <v>81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1533</v>
      </c>
      <c r="C149" s="12" t="s">
        <v>328</v>
      </c>
      <c r="D149" s="10" t="s">
        <v>225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329</v>
      </c>
      <c r="C150" s="12" t="s">
        <v>661</v>
      </c>
      <c r="D150" s="15" t="s">
        <v>75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331</v>
      </c>
      <c r="C151" s="12" t="s">
        <v>662</v>
      </c>
      <c r="D151" s="15" t="s">
        <v>99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333</v>
      </c>
      <c r="C152" s="12" t="s">
        <v>663</v>
      </c>
      <c r="D152" s="15" t="s">
        <v>75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334</v>
      </c>
      <c r="C153" s="12" t="s">
        <v>664</v>
      </c>
      <c r="D153" s="15" t="s">
        <v>99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336</v>
      </c>
      <c r="C154" s="12" t="s">
        <v>346</v>
      </c>
      <c r="D154" s="15" t="s">
        <v>1698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1711</v>
      </c>
      <c r="C155" s="12" t="s">
        <v>344</v>
      </c>
      <c r="D155" s="15" t="s">
        <v>111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343</v>
      </c>
      <c r="C156" s="12" t="s">
        <v>344</v>
      </c>
      <c r="D156" s="15" t="s">
        <v>275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345</v>
      </c>
      <c r="C157" s="12" t="s">
        <v>346</v>
      </c>
      <c r="D157" s="15" t="s">
        <v>275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347</v>
      </c>
      <c r="C158" s="12" t="s">
        <v>348</v>
      </c>
      <c r="D158" s="15" t="s">
        <v>111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349</v>
      </c>
      <c r="C159" s="12" t="s">
        <v>665</v>
      </c>
      <c r="D159" s="15" t="s">
        <v>111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359</v>
      </c>
      <c r="C160" s="12" t="s">
        <v>512</v>
      </c>
      <c r="D160" s="15" t="s">
        <v>377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362</v>
      </c>
      <c r="C161" s="12" t="s">
        <v>512</v>
      </c>
      <c r="D161" s="15" t="s">
        <v>377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666</v>
      </c>
      <c r="C162" s="12" t="s">
        <v>512</v>
      </c>
      <c r="D162" s="15" t="s">
        <v>377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1257</v>
      </c>
      <c r="C163" s="12" t="s">
        <v>512</v>
      </c>
      <c r="D163" s="15" t="s">
        <v>377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363</v>
      </c>
      <c r="C164" s="12" t="s">
        <v>512</v>
      </c>
      <c r="D164" s="15" t="s">
        <v>377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364</v>
      </c>
      <c r="C165" s="12" t="s">
        <v>512</v>
      </c>
      <c r="D165" s="15" t="s">
        <v>377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365</v>
      </c>
      <c r="C166" s="12" t="s">
        <v>512</v>
      </c>
      <c r="D166" s="15" t="s">
        <v>606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367</v>
      </c>
      <c r="C167" s="12" t="s">
        <v>512</v>
      </c>
      <c r="D167" s="15" t="s">
        <v>606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1690</v>
      </c>
      <c r="C168" s="12" t="s">
        <v>512</v>
      </c>
      <c r="D168" s="15" t="s">
        <v>606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368</v>
      </c>
      <c r="C169" s="12" t="s">
        <v>512</v>
      </c>
      <c r="D169" s="15" t="s">
        <v>606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369</v>
      </c>
      <c r="C170" s="12" t="s">
        <v>512</v>
      </c>
      <c r="D170" s="15" t="s">
        <v>606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370</v>
      </c>
      <c r="C171" s="12" t="s">
        <v>512</v>
      </c>
      <c r="D171" s="15" t="s">
        <v>606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357</v>
      </c>
      <c r="C172" s="12" t="s">
        <v>512</v>
      </c>
      <c r="D172" s="15" t="s">
        <v>606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371</v>
      </c>
      <c r="C173" s="12" t="s">
        <v>387</v>
      </c>
      <c r="D173" s="15" t="s">
        <v>608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373</v>
      </c>
      <c r="C174" s="12" t="s">
        <v>387</v>
      </c>
      <c r="D174" s="15" t="s">
        <v>608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374</v>
      </c>
      <c r="C175" s="12" t="s">
        <v>387</v>
      </c>
      <c r="D175" s="15" t="s">
        <v>388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376</v>
      </c>
      <c r="C176" s="12" t="s">
        <v>387</v>
      </c>
      <c r="D176" s="15" t="s">
        <v>403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378</v>
      </c>
      <c r="C177" s="12" t="s">
        <v>514</v>
      </c>
      <c r="D177" s="15" t="s">
        <v>1534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379</v>
      </c>
      <c r="C178" s="12" t="s">
        <v>514</v>
      </c>
      <c r="D178" s="15" t="s">
        <v>1534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380</v>
      </c>
      <c r="C179" s="12" t="s">
        <v>514</v>
      </c>
      <c r="D179" s="15" t="s">
        <v>1534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381</v>
      </c>
      <c r="C180" s="12" t="s">
        <v>514</v>
      </c>
      <c r="D180" s="15" t="s">
        <v>1534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382</v>
      </c>
      <c r="C181" s="12" t="s">
        <v>514</v>
      </c>
      <c r="D181" s="15" t="s">
        <v>1534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383</v>
      </c>
      <c r="C182" s="12" t="s">
        <v>514</v>
      </c>
      <c r="D182" s="15" t="s">
        <v>1534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385</v>
      </c>
      <c r="C183" s="12" t="s">
        <v>514</v>
      </c>
      <c r="D183" s="15" t="s">
        <v>1534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668</v>
      </c>
      <c r="C184" s="12" t="s">
        <v>387</v>
      </c>
      <c r="D184" s="15" t="s">
        <v>1534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386</v>
      </c>
      <c r="C185" s="12" t="s">
        <v>387</v>
      </c>
      <c r="D185" s="15" t="s">
        <v>1534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358</v>
      </c>
      <c r="C186" s="12" t="s">
        <v>514</v>
      </c>
      <c r="D186" s="15" t="s">
        <v>1550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392</v>
      </c>
      <c r="C187" s="12" t="s">
        <v>514</v>
      </c>
      <c r="D187" s="15" t="s">
        <v>609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120</v>
      </c>
      <c r="C188" s="28" t="s">
        <v>1691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406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1:9">
      <c r="B190" s="33"/>
      <c r="D190" s="34"/>
      <c r="E190" s="229"/>
      <c r="F190" s="229"/>
      <c r="G190" s="229"/>
      <c r="I190" s="35"/>
    </row>
    <row r="191" ht="65.25" customHeight="1" spans="1:9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</row>
    <row r="2" ht="33.75" customHeight="1" spans="1:9">
      <c r="A2" s="76" t="s">
        <v>1695</v>
      </c>
      <c r="B2" s="77"/>
      <c r="C2" s="76"/>
      <c r="D2" s="76"/>
      <c r="E2" s="216"/>
      <c r="F2" s="78"/>
      <c r="G2" s="78"/>
      <c r="H2" s="78"/>
    </row>
    <row r="3" ht="9.75" customHeight="1" spans="1:9">
      <c r="E3" s="217" t="e">
        <f>'[1]FEB 08'!E11/'[1]FEB 08'!M11</f>
        <v>#REF!</v>
      </c>
    </row>
    <row r="4" ht="45" customHeight="1" spans="1: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1712</v>
      </c>
      <c r="G4" s="218" t="s">
        <v>597</v>
      </c>
      <c r="H4" s="24" t="s">
        <v>1116</v>
      </c>
    </row>
    <row r="5" customHeight="1" spans="1:9">
      <c r="A5" s="9" t="s">
        <v>22</v>
      </c>
      <c r="B5" s="8" t="s">
        <v>23</v>
      </c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</row>
    <row r="6" customHeight="1" spans="1:9">
      <c r="A6" s="10">
        <v>1</v>
      </c>
      <c r="B6" s="11" t="s">
        <v>24</v>
      </c>
      <c r="C6" s="12" t="s">
        <v>25</v>
      </c>
      <c r="D6" s="12" t="s">
        <v>26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1592</v>
      </c>
      <c r="C7" s="4" t="s">
        <v>1675</v>
      </c>
      <c r="D7" s="10" t="s">
        <v>36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1676</v>
      </c>
      <c r="C8" s="4" t="s">
        <v>1677</v>
      </c>
      <c r="D8" s="10" t="s">
        <v>36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27</v>
      </c>
      <c r="C9" s="12" t="s">
        <v>28</v>
      </c>
      <c r="D9" s="10" t="s">
        <v>29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30</v>
      </c>
      <c r="C10" s="4" t="s">
        <v>31</v>
      </c>
      <c r="D10" s="15" t="s">
        <v>210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227</v>
      </c>
      <c r="C11" s="4" t="s">
        <v>1594</v>
      </c>
      <c r="D11" s="16" t="s">
        <v>210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32</v>
      </c>
      <c r="C12" s="17" t="s">
        <v>33</v>
      </c>
      <c r="D12" s="16" t="s">
        <v>210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300</v>
      </c>
      <c r="C13" s="4" t="s">
        <v>907</v>
      </c>
      <c r="D13" s="16" t="s">
        <v>210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34</v>
      </c>
      <c r="C14" s="12" t="s">
        <v>910</v>
      </c>
      <c r="D14" s="15" t="s">
        <v>39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186</v>
      </c>
      <c r="C15" s="12" t="s">
        <v>926</v>
      </c>
      <c r="D15" s="10" t="s">
        <v>925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1678</v>
      </c>
      <c r="C16" s="4" t="s">
        <v>1679</v>
      </c>
      <c r="D16" s="16" t="s">
        <v>47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1595</v>
      </c>
      <c r="C17" s="4" t="s">
        <v>643</v>
      </c>
      <c r="D17" s="10" t="s">
        <v>47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1680</v>
      </c>
      <c r="C18" s="4" t="s">
        <v>1681</v>
      </c>
      <c r="D18" s="10" t="s">
        <v>47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40</v>
      </c>
      <c r="C19" s="4" t="s">
        <v>643</v>
      </c>
      <c r="D19" s="15" t="s">
        <v>47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51</v>
      </c>
      <c r="C20" s="12" t="s">
        <v>61</v>
      </c>
      <c r="D20" s="15" t="s">
        <v>218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54</v>
      </c>
      <c r="C21" s="4" t="s">
        <v>55</v>
      </c>
      <c r="D21" s="15" t="s">
        <v>602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193</v>
      </c>
      <c r="C22" s="12" t="s">
        <v>929</v>
      </c>
      <c r="D22" s="15" t="s">
        <v>70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65</v>
      </c>
      <c r="C23" s="12" t="s">
        <v>178</v>
      </c>
      <c r="D23" s="15" t="s">
        <v>131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259</v>
      </c>
      <c r="C24" s="4" t="s">
        <v>260</v>
      </c>
      <c r="D24" s="15" t="s">
        <v>131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319</v>
      </c>
      <c r="C25" s="4" t="s">
        <v>1697</v>
      </c>
      <c r="D25" s="15" t="s">
        <v>153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1682</v>
      </c>
      <c r="C26" s="12" t="s">
        <v>104</v>
      </c>
      <c r="D26" s="15" t="s">
        <v>78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478</v>
      </c>
      <c r="C27" s="4" t="s">
        <v>94</v>
      </c>
      <c r="D27" s="10" t="s">
        <v>99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79</v>
      </c>
      <c r="C28" s="12" t="s">
        <v>94</v>
      </c>
      <c r="D28" s="15" t="s">
        <v>99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1596</v>
      </c>
      <c r="C29" s="12" t="s">
        <v>1597</v>
      </c>
      <c r="D29" s="15" t="s">
        <v>99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84</v>
      </c>
      <c r="C30" s="12" t="s">
        <v>1544</v>
      </c>
      <c r="D30" s="15" t="s">
        <v>1698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236</v>
      </c>
      <c r="C31" s="17" t="s">
        <v>1699</v>
      </c>
      <c r="D31" s="15" t="s">
        <v>105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87</v>
      </c>
      <c r="C32" s="4" t="s">
        <v>1598</v>
      </c>
      <c r="D32" s="10" t="s">
        <v>105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91</v>
      </c>
      <c r="C33" s="17" t="s">
        <v>646</v>
      </c>
      <c r="D33" s="15" t="s">
        <v>99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95</v>
      </c>
      <c r="C34" s="4" t="s">
        <v>1700</v>
      </c>
      <c r="D34" s="10" t="s">
        <v>111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1525</v>
      </c>
      <c r="C35" s="12" t="s">
        <v>104</v>
      </c>
      <c r="D35" s="15" t="s">
        <v>111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1683</v>
      </c>
      <c r="C36" s="12" t="s">
        <v>104</v>
      </c>
      <c r="D36" s="15" t="s">
        <v>111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120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5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121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122</v>
      </c>
      <c r="C40" s="4" t="s">
        <v>123</v>
      </c>
      <c r="D40" s="10" t="s">
        <v>124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127</v>
      </c>
      <c r="C41" s="4" t="s">
        <v>1137</v>
      </c>
      <c r="D41" s="10" t="s">
        <v>275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137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912</v>
      </c>
      <c r="C45" s="4" t="s">
        <v>913</v>
      </c>
      <c r="D45" s="10" t="s">
        <v>124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914</v>
      </c>
      <c r="C46" s="4" t="s">
        <v>44</v>
      </c>
      <c r="D46" s="10" t="s">
        <v>39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138</v>
      </c>
      <c r="C47" s="4" t="s">
        <v>145</v>
      </c>
      <c r="D47" s="10" t="s">
        <v>39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141</v>
      </c>
      <c r="C48" s="4" t="s">
        <v>145</v>
      </c>
      <c r="D48" s="10" t="s">
        <v>39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144</v>
      </c>
      <c r="C49" s="4" t="s">
        <v>145</v>
      </c>
      <c r="D49" s="10" t="s">
        <v>50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146</v>
      </c>
      <c r="C50" s="4" t="s">
        <v>46</v>
      </c>
      <c r="D50" s="10" t="s">
        <v>47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147</v>
      </c>
      <c r="C51" s="4" t="s">
        <v>52</v>
      </c>
      <c r="D51" s="16" t="s">
        <v>47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1601</v>
      </c>
      <c r="C52" s="4" t="s">
        <v>52</v>
      </c>
      <c r="D52" s="10" t="s">
        <v>214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45</v>
      </c>
      <c r="C53" s="4" t="s">
        <v>927</v>
      </c>
      <c r="D53" s="10" t="s">
        <v>601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155</v>
      </c>
      <c r="C54" s="4" t="s">
        <v>152</v>
      </c>
      <c r="D54" s="10" t="s">
        <v>225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915</v>
      </c>
      <c r="C55" s="4" t="s">
        <v>152</v>
      </c>
      <c r="D55" s="10" t="s">
        <v>225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157</v>
      </c>
      <c r="C56" s="4" t="s">
        <v>152</v>
      </c>
      <c r="D56" s="10" t="s">
        <v>225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120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56"/>
      <c r="F58" s="156"/>
      <c r="G58" s="156"/>
      <c r="H58" s="85">
        <f t="shared" si="0"/>
        <v>0</v>
      </c>
      <c r="I58" s="13"/>
    </row>
    <row r="59" customHeight="1" spans="1:9">
      <c r="A59" s="10"/>
      <c r="B59" s="20" t="s">
        <v>159</v>
      </c>
      <c r="C59" s="21"/>
      <c r="D59" s="21"/>
      <c r="E59" s="156"/>
      <c r="F59" s="156"/>
      <c r="G59" s="156"/>
      <c r="H59" s="85">
        <f t="shared" si="0"/>
        <v>0</v>
      </c>
      <c r="I59" s="13"/>
    </row>
    <row r="60" customHeight="1" spans="1:9">
      <c r="A60" s="10">
        <v>1</v>
      </c>
      <c r="B60" s="11" t="s">
        <v>916</v>
      </c>
      <c r="C60" s="12" t="s">
        <v>161</v>
      </c>
      <c r="D60" s="15" t="s">
        <v>124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120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56"/>
      <c r="F62" s="156"/>
      <c r="G62" s="156"/>
      <c r="H62" s="85">
        <f t="shared" si="0"/>
        <v>0</v>
      </c>
      <c r="I62" s="13"/>
    </row>
    <row r="63" customHeight="1" spans="1:9">
      <c r="A63" s="10"/>
      <c r="B63" s="20" t="s">
        <v>164</v>
      </c>
      <c r="C63" s="21"/>
      <c r="D63" s="21"/>
      <c r="E63" s="156"/>
      <c r="F63" s="156"/>
      <c r="G63" s="156"/>
      <c r="H63" s="85">
        <f t="shared" si="0"/>
        <v>0</v>
      </c>
      <c r="I63" s="13"/>
    </row>
    <row r="64" customHeight="1" spans="1:9">
      <c r="A64" s="10">
        <v>1</v>
      </c>
      <c r="B64" s="11" t="s">
        <v>917</v>
      </c>
      <c r="C64" s="17" t="s">
        <v>918</v>
      </c>
      <c r="D64" s="10" t="s">
        <v>124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919</v>
      </c>
      <c r="C65" s="17" t="s">
        <v>920</v>
      </c>
      <c r="D65" s="15" t="s">
        <v>1532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167</v>
      </c>
      <c r="C66" s="4" t="s">
        <v>217</v>
      </c>
      <c r="D66" s="10" t="s">
        <v>601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921</v>
      </c>
      <c r="C67" s="17" t="s">
        <v>217</v>
      </c>
      <c r="D67" s="15" t="s">
        <v>218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922</v>
      </c>
      <c r="C68" s="17" t="s">
        <v>52</v>
      </c>
      <c r="D68" s="15" t="s">
        <v>47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171</v>
      </c>
      <c r="C69" s="4" t="s">
        <v>152</v>
      </c>
      <c r="D69" s="10" t="s">
        <v>1701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1609</v>
      </c>
      <c r="C70" s="17" t="s">
        <v>72</v>
      </c>
      <c r="D70" s="15" t="s">
        <v>70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172</v>
      </c>
      <c r="C71" s="17" t="s">
        <v>72</v>
      </c>
      <c r="D71" s="15" t="s">
        <v>180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174</v>
      </c>
      <c r="C72" s="17" t="s">
        <v>72</v>
      </c>
      <c r="D72" s="15" t="s">
        <v>180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175</v>
      </c>
      <c r="C73" s="4" t="s">
        <v>649</v>
      </c>
      <c r="D73" s="10" t="s">
        <v>131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1684</v>
      </c>
      <c r="C74" s="17" t="s">
        <v>152</v>
      </c>
      <c r="D74" s="10" t="s">
        <v>75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82</v>
      </c>
      <c r="C75" s="17" t="s">
        <v>69</v>
      </c>
      <c r="D75" s="10" t="s">
        <v>99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68</v>
      </c>
      <c r="C76" s="17" t="s">
        <v>69</v>
      </c>
      <c r="D76" s="10" t="s">
        <v>111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120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56"/>
      <c r="F78" s="156"/>
      <c r="G78" s="156"/>
      <c r="H78" s="85">
        <f t="shared" si="6"/>
        <v>0</v>
      </c>
      <c r="I78" s="13"/>
    </row>
    <row r="79" customHeight="1" spans="1:9">
      <c r="A79" s="10"/>
      <c r="B79" s="20" t="s">
        <v>183</v>
      </c>
      <c r="C79" s="21"/>
      <c r="D79" s="21"/>
      <c r="E79" s="156"/>
      <c r="F79" s="156"/>
      <c r="G79" s="156"/>
      <c r="H79" s="85">
        <f t="shared" si="6"/>
        <v>0</v>
      </c>
      <c r="I79" s="13"/>
    </row>
    <row r="80" customHeight="1" spans="1:9">
      <c r="A80" s="10">
        <v>1</v>
      </c>
      <c r="B80" s="11" t="s">
        <v>184</v>
      </c>
      <c r="C80" s="4" t="s">
        <v>185</v>
      </c>
      <c r="D80" s="10" t="s">
        <v>124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923</v>
      </c>
      <c r="C81" s="4" t="s">
        <v>924</v>
      </c>
      <c r="D81" s="15" t="s">
        <v>1532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1685</v>
      </c>
      <c r="C82" s="4" t="s">
        <v>1686</v>
      </c>
      <c r="D82" s="15" t="s">
        <v>1532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190</v>
      </c>
      <c r="C83" s="4" t="s">
        <v>1545</v>
      </c>
      <c r="D83" s="15" t="s">
        <v>601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197</v>
      </c>
      <c r="C84" s="4" t="s">
        <v>182</v>
      </c>
      <c r="D84" s="10" t="s">
        <v>75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120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56"/>
      <c r="F86" s="156"/>
      <c r="G86" s="156"/>
      <c r="H86" s="85">
        <f t="shared" si="6"/>
        <v>0</v>
      </c>
      <c r="I86" s="13"/>
    </row>
    <row r="87" customHeight="1" spans="1:9">
      <c r="A87" s="10"/>
      <c r="B87" s="20" t="s">
        <v>205</v>
      </c>
      <c r="C87" s="25"/>
      <c r="D87" s="21"/>
      <c r="E87" s="156"/>
      <c r="F87" s="156"/>
      <c r="G87" s="156"/>
      <c r="H87" s="85">
        <f t="shared" si="6"/>
        <v>0</v>
      </c>
      <c r="I87" s="13"/>
    </row>
    <row r="88" ht="23.25" customHeight="1" spans="1:9">
      <c r="A88" s="10">
        <v>1</v>
      </c>
      <c r="B88" s="11" t="s">
        <v>1702</v>
      </c>
      <c r="C88" s="4" t="s">
        <v>1703</v>
      </c>
      <c r="D88" s="10" t="s">
        <v>36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208</v>
      </c>
      <c r="C89" s="4" t="s">
        <v>145</v>
      </c>
      <c r="D89" s="10" t="s">
        <v>39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206</v>
      </c>
      <c r="C90" s="4" t="s">
        <v>145</v>
      </c>
      <c r="D90" s="10" t="s">
        <v>39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165</v>
      </c>
      <c r="C91" s="4" t="s">
        <v>52</v>
      </c>
      <c r="D91" s="10" t="s">
        <v>192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479</v>
      </c>
      <c r="C92" s="4" t="s">
        <v>46</v>
      </c>
      <c r="D92" s="10" t="s">
        <v>47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211</v>
      </c>
      <c r="C93" s="4" t="s">
        <v>927</v>
      </c>
      <c r="D93" s="15" t="s">
        <v>601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212</v>
      </c>
      <c r="C94" s="12" t="s">
        <v>217</v>
      </c>
      <c r="D94" s="15" t="s">
        <v>218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213</v>
      </c>
      <c r="C95" s="12" t="s">
        <v>217</v>
      </c>
      <c r="D95" s="15" t="s">
        <v>218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215</v>
      </c>
      <c r="C96" s="17" t="s">
        <v>72</v>
      </c>
      <c r="D96" s="15" t="s">
        <v>180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220</v>
      </c>
      <c r="C97" s="4" t="s">
        <v>221</v>
      </c>
      <c r="D97" s="10" t="s">
        <v>81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224</v>
      </c>
      <c r="C98" s="17" t="s">
        <v>505</v>
      </c>
      <c r="D98" s="15" t="s">
        <v>111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120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56"/>
      <c r="F100" s="156"/>
      <c r="G100" s="156"/>
      <c r="H100" s="85">
        <f t="shared" si="6"/>
        <v>0</v>
      </c>
      <c r="I100" s="13"/>
    </row>
    <row r="101" customHeight="1" spans="1:9">
      <c r="A101" s="10"/>
      <c r="B101" s="20" t="s">
        <v>226</v>
      </c>
      <c r="C101" s="21"/>
      <c r="D101" s="21"/>
      <c r="E101" s="156"/>
      <c r="F101" s="156"/>
      <c r="G101" s="156"/>
      <c r="H101" s="85">
        <f t="shared" si="6"/>
        <v>0</v>
      </c>
      <c r="I101" s="13"/>
    </row>
    <row r="102" customHeight="1" spans="1:9">
      <c r="A102" s="10">
        <v>1</v>
      </c>
      <c r="B102" s="18" t="s">
        <v>908</v>
      </c>
      <c r="C102" s="10" t="s">
        <v>909</v>
      </c>
      <c r="D102" s="15" t="s">
        <v>210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37</v>
      </c>
      <c r="C103" s="4" t="s">
        <v>230</v>
      </c>
      <c r="D103" s="10" t="s">
        <v>47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1704</v>
      </c>
      <c r="C104" s="4" t="s">
        <v>1705</v>
      </c>
      <c r="D104" s="15" t="s">
        <v>218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235</v>
      </c>
      <c r="C105" s="4" t="s">
        <v>651</v>
      </c>
      <c r="D105" s="15" t="s">
        <v>131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120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56"/>
      <c r="F107" s="156"/>
      <c r="G107" s="156"/>
      <c r="H107" s="85">
        <f t="shared" si="6"/>
        <v>0</v>
      </c>
      <c r="I107" s="13"/>
    </row>
    <row r="108" customHeight="1" spans="1:9">
      <c r="A108" s="4"/>
      <c r="B108" s="20" t="s">
        <v>239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652</v>
      </c>
      <c r="C109" s="12" t="s">
        <v>241</v>
      </c>
      <c r="D109" s="15" t="s">
        <v>124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242</v>
      </c>
      <c r="C110" s="4" t="s">
        <v>243</v>
      </c>
      <c r="D110" s="16" t="s">
        <v>210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244</v>
      </c>
      <c r="C111" s="4" t="s">
        <v>653</v>
      </c>
      <c r="D111" s="10" t="s">
        <v>56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246</v>
      </c>
      <c r="C112" s="4" t="s">
        <v>653</v>
      </c>
      <c r="D112" s="10" t="s">
        <v>56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249</v>
      </c>
      <c r="C113" s="4" t="s">
        <v>250</v>
      </c>
      <c r="D113" s="15" t="s">
        <v>506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252</v>
      </c>
      <c r="C114" s="4" t="s">
        <v>250</v>
      </c>
      <c r="D114" s="10" t="s">
        <v>105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253</v>
      </c>
      <c r="C115" s="4" t="s">
        <v>250</v>
      </c>
      <c r="D115" s="15" t="s">
        <v>111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120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278</v>
      </c>
      <c r="C118" s="21"/>
      <c r="D118" s="21"/>
      <c r="E118" s="156"/>
      <c r="F118" s="156"/>
      <c r="G118" s="156"/>
      <c r="H118" s="85">
        <f t="shared" si="6"/>
        <v>0</v>
      </c>
      <c r="I118" s="13"/>
    </row>
    <row r="119" customHeight="1" spans="1:9">
      <c r="A119" s="4">
        <v>1</v>
      </c>
      <c r="B119" s="11" t="s">
        <v>279</v>
      </c>
      <c r="C119" s="12" t="s">
        <v>280</v>
      </c>
      <c r="D119" s="15" t="s">
        <v>124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1706</v>
      </c>
      <c r="B120" s="11" t="s">
        <v>1707</v>
      </c>
      <c r="C120" s="12" t="s">
        <v>1708</v>
      </c>
      <c r="D120" s="15" t="s">
        <v>36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281</v>
      </c>
      <c r="C121" s="12" t="s">
        <v>655</v>
      </c>
      <c r="D121" s="15" t="s">
        <v>39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283</v>
      </c>
      <c r="C122" s="12" t="s">
        <v>655</v>
      </c>
      <c r="D122" s="15" t="s">
        <v>39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930</v>
      </c>
      <c r="C123" s="12" t="s">
        <v>655</v>
      </c>
      <c r="D123" s="15" t="s">
        <v>42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286</v>
      </c>
      <c r="C124" s="12" t="s">
        <v>288</v>
      </c>
      <c r="D124" s="15" t="s">
        <v>214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287</v>
      </c>
      <c r="C125" s="12" t="s">
        <v>656</v>
      </c>
      <c r="D125" s="15" t="s">
        <v>601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289</v>
      </c>
      <c r="C126" s="12" t="s">
        <v>1547</v>
      </c>
      <c r="D126" s="15" t="s">
        <v>601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1709</v>
      </c>
      <c r="C127" s="12" t="s">
        <v>1710</v>
      </c>
      <c r="D127" s="15" t="s">
        <v>59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292</v>
      </c>
      <c r="C128" s="12" t="s">
        <v>657</v>
      </c>
      <c r="D128" s="10" t="s">
        <v>99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294</v>
      </c>
      <c r="C129" s="12" t="s">
        <v>295</v>
      </c>
      <c r="D129" s="15" t="s">
        <v>111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120</v>
      </c>
      <c r="C130" s="26" t="s">
        <v>901</v>
      </c>
      <c r="D130" s="15"/>
      <c r="E130" s="15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5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56"/>
      <c r="F131" s="156"/>
      <c r="G131" s="156"/>
      <c r="H131" s="85">
        <f t="shared" si="6"/>
        <v>0</v>
      </c>
      <c r="I131" s="13"/>
    </row>
    <row r="132" customHeight="1" spans="1:9">
      <c r="A132" s="4"/>
      <c r="B132" s="20" t="s">
        <v>299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931</v>
      </c>
      <c r="C133" s="12" t="s">
        <v>932</v>
      </c>
      <c r="D133" s="15" t="s">
        <v>124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933</v>
      </c>
      <c r="C134" s="12" t="s">
        <v>934</v>
      </c>
      <c r="D134" s="15" t="s">
        <v>36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302</v>
      </c>
      <c r="C135" s="4" t="s">
        <v>488</v>
      </c>
      <c r="D135" s="16" t="s">
        <v>210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305</v>
      </c>
      <c r="C136" s="12" t="s">
        <v>935</v>
      </c>
      <c r="D136" s="15" t="s">
        <v>47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307</v>
      </c>
      <c r="C137" s="4" t="s">
        <v>311</v>
      </c>
      <c r="D137" s="15" t="s">
        <v>47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229</v>
      </c>
      <c r="C138" s="4" t="s">
        <v>937</v>
      </c>
      <c r="D138" s="15" t="s">
        <v>601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231</v>
      </c>
      <c r="C139" s="12" t="s">
        <v>936</v>
      </c>
      <c r="D139" s="15" t="s">
        <v>70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312</v>
      </c>
      <c r="C140" s="12" t="s">
        <v>936</v>
      </c>
      <c r="D140" s="15" t="s">
        <v>70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313</v>
      </c>
      <c r="C141" s="4" t="s">
        <v>937</v>
      </c>
      <c r="D141" s="15" t="s">
        <v>70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315</v>
      </c>
      <c r="C142" s="12" t="s">
        <v>938</v>
      </c>
      <c r="D142" s="15" t="s">
        <v>131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317</v>
      </c>
      <c r="C143" s="12" t="s">
        <v>1549</v>
      </c>
      <c r="D143" s="15" t="s">
        <v>153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62</v>
      </c>
      <c r="C144" s="12" t="s">
        <v>938</v>
      </c>
      <c r="D144" s="15" t="s">
        <v>70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321</v>
      </c>
      <c r="C145" s="4" t="s">
        <v>939</v>
      </c>
      <c r="D145" s="15" t="s">
        <v>75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322</v>
      </c>
      <c r="C146" s="4" t="s">
        <v>939</v>
      </c>
      <c r="D146" s="15" t="s">
        <v>78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324</v>
      </c>
      <c r="C147" s="4" t="s">
        <v>939</v>
      </c>
      <c r="D147" s="15" t="s">
        <v>78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325</v>
      </c>
      <c r="C148" s="12" t="s">
        <v>326</v>
      </c>
      <c r="D148" s="15" t="s">
        <v>81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1533</v>
      </c>
      <c r="C149" s="12" t="s">
        <v>328</v>
      </c>
      <c r="D149" s="10" t="s">
        <v>225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329</v>
      </c>
      <c r="C150" s="12" t="s">
        <v>661</v>
      </c>
      <c r="D150" s="15" t="s">
        <v>75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331</v>
      </c>
      <c r="C151" s="12" t="s">
        <v>662</v>
      </c>
      <c r="D151" s="15" t="s">
        <v>99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333</v>
      </c>
      <c r="C152" s="12" t="s">
        <v>663</v>
      </c>
      <c r="D152" s="15" t="s">
        <v>75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334</v>
      </c>
      <c r="C153" s="12" t="s">
        <v>664</v>
      </c>
      <c r="D153" s="15" t="s">
        <v>99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336</v>
      </c>
      <c r="C154" s="12" t="s">
        <v>346</v>
      </c>
      <c r="D154" s="15" t="s">
        <v>1698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1711</v>
      </c>
      <c r="C155" s="12" t="s">
        <v>344</v>
      </c>
      <c r="D155" s="15" t="s">
        <v>111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343</v>
      </c>
      <c r="C156" s="12" t="s">
        <v>344</v>
      </c>
      <c r="D156" s="15" t="s">
        <v>275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345</v>
      </c>
      <c r="C157" s="12" t="s">
        <v>346</v>
      </c>
      <c r="D157" s="15" t="s">
        <v>275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347</v>
      </c>
      <c r="C158" s="12" t="s">
        <v>348</v>
      </c>
      <c r="D158" s="15" t="s">
        <v>111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349</v>
      </c>
      <c r="C159" s="12" t="s">
        <v>665</v>
      </c>
      <c r="D159" s="15" t="s">
        <v>111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359</v>
      </c>
      <c r="C160" s="12" t="s">
        <v>512</v>
      </c>
      <c r="D160" s="15" t="s">
        <v>377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362</v>
      </c>
      <c r="C161" s="12" t="s">
        <v>512</v>
      </c>
      <c r="D161" s="15" t="s">
        <v>377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666</v>
      </c>
      <c r="C162" s="12" t="s">
        <v>512</v>
      </c>
      <c r="D162" s="15" t="s">
        <v>377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1257</v>
      </c>
      <c r="C163" s="12" t="s">
        <v>512</v>
      </c>
      <c r="D163" s="15" t="s">
        <v>377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363</v>
      </c>
      <c r="C164" s="12" t="s">
        <v>512</v>
      </c>
      <c r="D164" s="15" t="s">
        <v>377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364</v>
      </c>
      <c r="C165" s="12" t="s">
        <v>512</v>
      </c>
      <c r="D165" s="15" t="s">
        <v>377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365</v>
      </c>
      <c r="C166" s="12" t="s">
        <v>512</v>
      </c>
      <c r="D166" s="15" t="s">
        <v>606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367</v>
      </c>
      <c r="C167" s="12" t="s">
        <v>512</v>
      </c>
      <c r="D167" s="15" t="s">
        <v>606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1690</v>
      </c>
      <c r="C168" s="12" t="s">
        <v>512</v>
      </c>
      <c r="D168" s="15" t="s">
        <v>606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368</v>
      </c>
      <c r="C169" s="12" t="s">
        <v>512</v>
      </c>
      <c r="D169" s="15" t="s">
        <v>606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369</v>
      </c>
      <c r="C170" s="12" t="s">
        <v>512</v>
      </c>
      <c r="D170" s="15" t="s">
        <v>606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370</v>
      </c>
      <c r="C171" s="12" t="s">
        <v>512</v>
      </c>
      <c r="D171" s="15" t="s">
        <v>606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357</v>
      </c>
      <c r="C172" s="12" t="s">
        <v>512</v>
      </c>
      <c r="D172" s="15" t="s">
        <v>606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371</v>
      </c>
      <c r="C173" s="12" t="s">
        <v>387</v>
      </c>
      <c r="D173" s="15" t="s">
        <v>608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373</v>
      </c>
      <c r="C174" s="12" t="s">
        <v>387</v>
      </c>
      <c r="D174" s="15" t="s">
        <v>608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374</v>
      </c>
      <c r="C175" s="12" t="s">
        <v>387</v>
      </c>
      <c r="D175" s="15" t="s">
        <v>388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376</v>
      </c>
      <c r="C176" s="12" t="s">
        <v>387</v>
      </c>
      <c r="D176" s="15" t="s">
        <v>403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378</v>
      </c>
      <c r="C177" s="12" t="s">
        <v>514</v>
      </c>
      <c r="D177" s="15" t="s">
        <v>1534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379</v>
      </c>
      <c r="C178" s="12" t="s">
        <v>514</v>
      </c>
      <c r="D178" s="15" t="s">
        <v>1534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380</v>
      </c>
      <c r="C179" s="12" t="s">
        <v>514</v>
      </c>
      <c r="D179" s="15" t="s">
        <v>1534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381</v>
      </c>
      <c r="C180" s="12" t="s">
        <v>514</v>
      </c>
      <c r="D180" s="15" t="s">
        <v>1534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382</v>
      </c>
      <c r="C181" s="12" t="s">
        <v>514</v>
      </c>
      <c r="D181" s="15" t="s">
        <v>1534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383</v>
      </c>
      <c r="C182" s="12" t="s">
        <v>514</v>
      </c>
      <c r="D182" s="15" t="s">
        <v>1534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385</v>
      </c>
      <c r="C183" s="12" t="s">
        <v>514</v>
      </c>
      <c r="D183" s="15" t="s">
        <v>1534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668</v>
      </c>
      <c r="C184" s="12" t="s">
        <v>387</v>
      </c>
      <c r="D184" s="15" t="s">
        <v>1534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386</v>
      </c>
      <c r="C185" s="12" t="s">
        <v>387</v>
      </c>
      <c r="D185" s="15" t="s">
        <v>1534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358</v>
      </c>
      <c r="C186" s="12" t="s">
        <v>514</v>
      </c>
      <c r="D186" s="15" t="s">
        <v>1550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392</v>
      </c>
      <c r="C187" s="12" t="s">
        <v>514</v>
      </c>
      <c r="D187" s="15" t="s">
        <v>609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120</v>
      </c>
      <c r="C188" s="28" t="s">
        <v>1691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56">
        <f t="shared" si="14"/>
        <v>220.9675</v>
      </c>
      <c r="I188" s="13"/>
    </row>
    <row r="189" customHeight="1" spans="1:9">
      <c r="A189" s="4"/>
      <c r="B189" s="30" t="s">
        <v>406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56">
        <f t="shared" si="14"/>
        <v>457.61175</v>
      </c>
      <c r="I189" s="13"/>
    </row>
    <row r="190" customHeight="1" spans="1:9">
      <c r="B190" s="33"/>
      <c r="D190" s="34"/>
      <c r="E190" s="34"/>
      <c r="F190" s="228"/>
      <c r="G190" s="228"/>
      <c r="H190" s="229"/>
      <c r="I190" s="35"/>
    </row>
    <row r="191" ht="65.25" customHeight="1" spans="1:9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28">
      <c r="A1" s="214" t="s">
        <v>0</v>
      </c>
    </row>
    <row r="2" ht="13" spans="1:28">
      <c r="A2" s="214" t="s">
        <v>462</v>
      </c>
    </row>
    <row r="3" ht="13" spans="1:28">
      <c r="A3" s="214" t="s">
        <v>1713</v>
      </c>
    </row>
    <row r="4" ht="90" customHeight="1" spans="1:28">
      <c r="A4" s="215" t="s">
        <v>464</v>
      </c>
      <c r="B4" s="215" t="s">
        <v>465</v>
      </c>
      <c r="C4" s="215" t="s">
        <v>684</v>
      </c>
      <c r="D4" s="215" t="s">
        <v>466</v>
      </c>
      <c r="E4" s="215" t="s">
        <v>467</v>
      </c>
      <c r="F4" s="215" t="s">
        <v>469</v>
      </c>
      <c r="G4" s="215" t="s">
        <v>470</v>
      </c>
      <c r="H4" s="215" t="s">
        <v>471</v>
      </c>
      <c r="I4" s="215" t="s">
        <v>685</v>
      </c>
      <c r="J4" s="215"/>
      <c r="K4" s="215"/>
      <c r="L4" s="215"/>
      <c r="M4" s="215" t="s">
        <v>686</v>
      </c>
      <c r="N4" s="215" t="s">
        <v>472</v>
      </c>
      <c r="O4" s="215" t="s">
        <v>473</v>
      </c>
      <c r="P4" s="215" t="s">
        <v>687</v>
      </c>
      <c r="Q4" s="215" t="s">
        <v>688</v>
      </c>
      <c r="R4" s="215" t="s">
        <v>689</v>
      </c>
      <c r="S4" s="215" t="s">
        <v>690</v>
      </c>
      <c r="T4" s="215" t="s">
        <v>691</v>
      </c>
      <c r="U4" s="215" t="s">
        <v>692</v>
      </c>
      <c r="V4" s="215" t="s">
        <v>474</v>
      </c>
      <c r="W4" s="215"/>
      <c r="X4" s="215" t="s">
        <v>475</v>
      </c>
      <c r="Y4" s="215" t="s">
        <v>693</v>
      </c>
      <c r="Z4" s="215" t="s">
        <v>694</v>
      </c>
      <c r="AA4" s="215" t="s">
        <v>1714</v>
      </c>
      <c r="AB4" s="215" t="s">
        <v>883</v>
      </c>
    </row>
    <row r="5" spans="1:28">
      <c r="A5">
        <v>1</v>
      </c>
      <c r="B5" s="213" t="s">
        <v>24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1592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1676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27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30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227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32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300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34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186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1678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1595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1680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40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51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54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193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65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259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319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1682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478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79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1596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84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236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87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91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95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1525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1683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28">
      <c r="A37"/>
    </row>
    <row r="38" spans="1:28">
      <c r="A38">
        <v>33</v>
      </c>
      <c r="B38" s="213" t="s">
        <v>122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127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28">
      <c r="A40"/>
    </row>
    <row r="41" spans="1:28">
      <c r="A41"/>
    </row>
    <row r="42" spans="1:28">
      <c r="A42">
        <v>35</v>
      </c>
      <c r="B42" s="213" t="s">
        <v>912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914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138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141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144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146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147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1601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45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155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915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157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28">
      <c r="A54"/>
    </row>
    <row r="55" spans="1:28">
      <c r="A55"/>
    </row>
    <row r="56" spans="1:28">
      <c r="A56">
        <v>47</v>
      </c>
      <c r="B56" s="213" t="s">
        <v>916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8">
      <c r="A57">
        <v>48</v>
      </c>
      <c r="B57" s="213" t="s">
        <v>162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28">
      <c r="A58"/>
    </row>
    <row r="59" spans="1:28">
      <c r="A59"/>
    </row>
    <row r="60" spans="1:28">
      <c r="A60">
        <v>49</v>
      </c>
      <c r="B60" s="213" t="s">
        <v>917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919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167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921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922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171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1609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172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174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175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1684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82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68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28">
      <c r="A73"/>
    </row>
    <row r="74" spans="1:28">
      <c r="A74"/>
    </row>
    <row r="75" spans="1:28">
      <c r="A75">
        <v>62</v>
      </c>
      <c r="B75" s="213" t="s">
        <v>184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923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1685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190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197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28">
      <c r="A80"/>
    </row>
    <row r="81" spans="1:28">
      <c r="A81"/>
    </row>
    <row r="82" spans="1:28">
      <c r="A82">
        <v>66</v>
      </c>
      <c r="B82" s="213" t="s">
        <v>1702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208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206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165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479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211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212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213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215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220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224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213" t="s">
        <v>908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37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1704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235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28">
      <c r="A100"/>
    </row>
    <row r="101" spans="1:28">
      <c r="A101"/>
    </row>
    <row r="102" spans="1:28">
      <c r="A102">
        <v>83</v>
      </c>
      <c r="B102" s="213" t="s">
        <v>652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242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244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246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249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252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253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8">
      <c r="A109"/>
      <c r="O109" s="213">
        <v>0</v>
      </c>
      <c r="P109" s="213">
        <v>0</v>
      </c>
      <c r="T109" s="213">
        <v>0</v>
      </c>
    </row>
    <row r="110" spans="1:28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279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1707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281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283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930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286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287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289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1709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292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294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28">
      <c r="A122"/>
    </row>
    <row r="123" spans="1:28">
      <c r="A123"/>
    </row>
    <row r="124" spans="1:28">
      <c r="A124">
        <v>101</v>
      </c>
      <c r="B124" s="213" t="s">
        <v>931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933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302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305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307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229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231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312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313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315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317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62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321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322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324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325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1533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329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331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333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334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336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1711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343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345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347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349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359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362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666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1257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363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364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365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367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1690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368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369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370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357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371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373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374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376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378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379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380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381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382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383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385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668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386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358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392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8">
      <c r="A179"/>
      <c r="Z179" s="213">
        <v>8914137.54022931</v>
      </c>
    </row>
    <row r="180" spans="1:28">
      <c r="Z180" s="213">
        <v>1553125.57022931</v>
      </c>
    </row>
  </sheetData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1:12">
      <c r="B1" s="106"/>
      <c r="C1" s="106"/>
      <c r="D1" s="106"/>
      <c r="E1" s="106"/>
      <c r="L1" s="46" t="s">
        <v>1715</v>
      </c>
    </row>
    <row r="2" ht="5.25" customHeight="1" spans="1:12">
      <c r="F2" s="107"/>
      <c r="G2" s="107"/>
    </row>
    <row r="3" customHeight="1" spans="1:12">
      <c r="B3" s="108" t="s">
        <v>1716</v>
      </c>
      <c r="C3" s="108"/>
      <c r="D3" s="108"/>
      <c r="E3" s="108"/>
      <c r="F3" s="110"/>
      <c r="G3" s="110"/>
    </row>
    <row r="4" ht="2.25" customHeight="1"/>
    <row r="5" customHeight="1" spans="1:12">
      <c r="B5" s="108" t="s">
        <v>2</v>
      </c>
      <c r="C5" s="112"/>
      <c r="D5" s="112"/>
      <c r="E5" s="112"/>
      <c r="F5" s="112"/>
      <c r="G5" s="112"/>
    </row>
    <row r="6" ht="26.45" customHeight="1" spans="1:12">
      <c r="A6" s="43"/>
      <c r="B6" s="55"/>
      <c r="C6" s="55" t="s">
        <v>3</v>
      </c>
      <c r="D6" s="55" t="s">
        <v>1717</v>
      </c>
      <c r="E6" s="55"/>
      <c r="F6" s="58"/>
      <c r="G6" s="58"/>
    </row>
    <row r="7" ht="37.15" customHeight="1" spans="1:12">
      <c r="A7" s="43"/>
      <c r="B7" s="42"/>
      <c r="C7" s="55"/>
      <c r="D7" s="55" t="s">
        <v>1718</v>
      </c>
      <c r="E7" s="115" t="s">
        <v>1719</v>
      </c>
      <c r="F7" s="115" t="s">
        <v>1720</v>
      </c>
      <c r="G7" s="57" t="s">
        <v>1116</v>
      </c>
    </row>
    <row r="8" customHeight="1" spans="1:12">
      <c r="A8" s="42" t="s">
        <v>22</v>
      </c>
      <c r="B8" s="182" t="s">
        <v>23</v>
      </c>
      <c r="C8" s="117"/>
      <c r="D8" s="117"/>
      <c r="E8" s="118" t="s">
        <v>21</v>
      </c>
      <c r="F8" s="118" t="s">
        <v>21</v>
      </c>
      <c r="G8" s="118" t="s">
        <v>21</v>
      </c>
    </row>
    <row r="9" customHeight="1" spans="1:12">
      <c r="A9" s="49">
        <v>1</v>
      </c>
      <c r="B9" s="183" t="s">
        <v>24</v>
      </c>
      <c r="C9" s="121" t="s">
        <v>25</v>
      </c>
      <c r="D9" s="121" t="s">
        <v>26</v>
      </c>
      <c r="E9" s="184">
        <v>113176.97</v>
      </c>
      <c r="F9" s="122">
        <f>201165.84</f>
        <v>201165.84</v>
      </c>
      <c r="G9" s="122">
        <f>F9-E9</f>
        <v>87988.87</v>
      </c>
      <c r="H9" s="123"/>
    </row>
    <row r="10" customHeight="1" spans="1:12">
      <c r="A10" s="49">
        <v>2</v>
      </c>
      <c r="B10" s="183" t="s">
        <v>1721</v>
      </c>
      <c r="C10" s="121" t="s">
        <v>1722</v>
      </c>
      <c r="D10" s="124" t="s">
        <v>124</v>
      </c>
      <c r="E10" s="185">
        <v>52776.63</v>
      </c>
      <c r="F10" s="122">
        <f>0</f>
        <v>0</v>
      </c>
      <c r="G10" s="122">
        <f t="shared" ref="G10:G75" si="0">F10-E10</f>
        <v>-52776.63</v>
      </c>
      <c r="H10" s="123"/>
    </row>
    <row r="11" customHeight="1" spans="1:12">
      <c r="A11" s="49">
        <v>3</v>
      </c>
      <c r="B11" s="183" t="s">
        <v>1592</v>
      </c>
      <c r="C11" s="43" t="s">
        <v>1723</v>
      </c>
      <c r="D11" s="49" t="s">
        <v>210</v>
      </c>
      <c r="E11" s="185">
        <v>21618.09</v>
      </c>
      <c r="F11" s="122">
        <f>125875.96</f>
        <v>125875.96</v>
      </c>
      <c r="G11" s="122">
        <f t="shared" si="0"/>
        <v>104257.87</v>
      </c>
      <c r="H11" s="123"/>
    </row>
    <row r="12" customHeight="1" spans="1:12">
      <c r="A12" s="49">
        <v>4</v>
      </c>
      <c r="B12" s="186" t="s">
        <v>1676</v>
      </c>
      <c r="C12" s="125" t="s">
        <v>1677</v>
      </c>
      <c r="D12" s="126" t="s">
        <v>210</v>
      </c>
      <c r="E12" s="187">
        <v>21618.09</v>
      </c>
      <c r="F12" s="122">
        <f>116473.51</f>
        <v>116473.51</v>
      </c>
      <c r="G12" s="122">
        <f t="shared" si="0"/>
        <v>94855.42</v>
      </c>
      <c r="H12" s="123"/>
    </row>
    <row r="13" customHeight="1" spans="1:12">
      <c r="A13" s="49">
        <v>5</v>
      </c>
      <c r="B13" s="183" t="s">
        <v>27</v>
      </c>
      <c r="C13" s="121" t="s">
        <v>28</v>
      </c>
      <c r="D13" s="49" t="s">
        <v>1724</v>
      </c>
      <c r="E13" s="185">
        <v>21618.09</v>
      </c>
      <c r="F13" s="122">
        <f>79993.51</f>
        <v>79993.51</v>
      </c>
      <c r="G13" s="122">
        <f t="shared" si="0"/>
        <v>58375.42</v>
      </c>
      <c r="H13" s="123"/>
    </row>
    <row r="14" customHeight="1" spans="1:12">
      <c r="A14" s="49">
        <v>6</v>
      </c>
      <c r="B14" s="186" t="s">
        <v>30</v>
      </c>
      <c r="C14" s="43" t="s">
        <v>31</v>
      </c>
      <c r="D14" s="124" t="s">
        <v>1532</v>
      </c>
      <c r="E14" s="185">
        <v>21618.09</v>
      </c>
      <c r="F14" s="122">
        <f>107095.69</f>
        <v>107095.69</v>
      </c>
      <c r="G14" s="122">
        <f t="shared" si="0"/>
        <v>85477.6</v>
      </c>
      <c r="H14" s="123"/>
    </row>
    <row r="15" customHeight="1" spans="1:12">
      <c r="A15" s="49">
        <v>7</v>
      </c>
      <c r="B15" s="186" t="s">
        <v>227</v>
      </c>
      <c r="C15" s="43" t="s">
        <v>1725</v>
      </c>
      <c r="D15" s="130" t="s">
        <v>39</v>
      </c>
      <c r="E15" s="185">
        <v>15548.33</v>
      </c>
      <c r="F15" s="122">
        <f>83636.1</f>
        <v>83636.1</v>
      </c>
      <c r="G15" s="122">
        <f t="shared" si="0"/>
        <v>68087.77</v>
      </c>
      <c r="H15" s="123"/>
    </row>
    <row r="16" customHeight="1" spans="1:12">
      <c r="A16" s="49">
        <v>8</v>
      </c>
      <c r="B16" s="188" t="s">
        <v>32</v>
      </c>
      <c r="C16" s="17" t="s">
        <v>920</v>
      </c>
      <c r="D16" s="10" t="s">
        <v>39</v>
      </c>
      <c r="E16" s="189">
        <v>15548.33</v>
      </c>
      <c r="F16" s="85">
        <f>64436.1</f>
        <v>64436.1</v>
      </c>
      <c r="G16" s="122">
        <f t="shared" si="0"/>
        <v>48887.77</v>
      </c>
      <c r="H16" s="123"/>
    </row>
    <row r="17" customHeight="1" spans="1:8">
      <c r="A17" s="49">
        <v>9</v>
      </c>
      <c r="B17" s="186" t="s">
        <v>300</v>
      </c>
      <c r="C17" s="43" t="s">
        <v>1726</v>
      </c>
      <c r="D17" s="49" t="s">
        <v>39</v>
      </c>
      <c r="E17" s="185">
        <v>15548.33</v>
      </c>
      <c r="F17" s="122">
        <f>64436.1</f>
        <v>64436.1</v>
      </c>
      <c r="G17" s="122">
        <f t="shared" si="0"/>
        <v>48887.77</v>
      </c>
      <c r="H17" s="123"/>
    </row>
    <row r="18" customHeight="1" spans="1:8">
      <c r="A18" s="49">
        <v>10</v>
      </c>
      <c r="B18" s="190" t="s">
        <v>34</v>
      </c>
      <c r="C18" s="121" t="s">
        <v>1727</v>
      </c>
      <c r="D18" s="124" t="s">
        <v>39</v>
      </c>
      <c r="E18" s="185">
        <v>15548.33</v>
      </c>
      <c r="F18" s="122">
        <f>64436.1</f>
        <v>64436.1</v>
      </c>
      <c r="G18" s="122">
        <f t="shared" si="0"/>
        <v>48887.77</v>
      </c>
      <c r="H18" s="123"/>
    </row>
    <row r="19" customHeight="1" spans="1:8">
      <c r="A19" s="49">
        <v>11</v>
      </c>
      <c r="B19" s="191" t="s">
        <v>186</v>
      </c>
      <c r="C19" s="121" t="s">
        <v>926</v>
      </c>
      <c r="D19" s="50" t="s">
        <v>1532</v>
      </c>
      <c r="E19" s="192">
        <v>15548.33</v>
      </c>
      <c r="F19" s="122">
        <f>60212.92</f>
        <v>60212.92</v>
      </c>
      <c r="G19" s="122">
        <f t="shared" si="0"/>
        <v>44664.59</v>
      </c>
      <c r="H19" s="123"/>
    </row>
    <row r="20" customHeight="1" spans="1:8">
      <c r="A20" s="49">
        <v>12</v>
      </c>
      <c r="B20" s="193" t="s">
        <v>1678</v>
      </c>
      <c r="C20" s="125" t="s">
        <v>1679</v>
      </c>
      <c r="D20" s="134" t="s">
        <v>214</v>
      </c>
      <c r="E20" s="187">
        <v>7709.76</v>
      </c>
      <c r="F20" s="127">
        <f>52638.9</f>
        <v>52638.9</v>
      </c>
      <c r="G20" s="122">
        <f t="shared" si="0"/>
        <v>44929.14</v>
      </c>
      <c r="H20" s="123"/>
    </row>
    <row r="21" ht="19.5" customHeight="1" spans="1:8">
      <c r="A21" s="49">
        <v>13</v>
      </c>
      <c r="B21" s="186" t="s">
        <v>1595</v>
      </c>
      <c r="C21" s="125" t="s">
        <v>643</v>
      </c>
      <c r="D21" s="49" t="s">
        <v>214</v>
      </c>
      <c r="E21" s="185">
        <v>7709.76</v>
      </c>
      <c r="F21" s="122">
        <f>43380</f>
        <v>43380</v>
      </c>
      <c r="G21" s="122">
        <f t="shared" si="0"/>
        <v>35670.24</v>
      </c>
      <c r="H21" s="123"/>
    </row>
    <row r="22" ht="19.5" customHeight="1" spans="1:8">
      <c r="A22" s="49">
        <v>14</v>
      </c>
      <c r="B22" s="186" t="s">
        <v>1680</v>
      </c>
      <c r="C22" s="43" t="s">
        <v>1681</v>
      </c>
      <c r="D22" s="49" t="s">
        <v>214</v>
      </c>
      <c r="E22" s="185">
        <v>7709.76</v>
      </c>
      <c r="F22" s="122">
        <f>85278.9</f>
        <v>85278.9</v>
      </c>
      <c r="G22" s="122">
        <f t="shared" si="0"/>
        <v>77569.14</v>
      </c>
      <c r="H22" s="123"/>
    </row>
    <row r="23" customHeight="1" spans="1:8">
      <c r="A23" s="49">
        <v>15</v>
      </c>
      <c r="B23" s="183" t="s">
        <v>40</v>
      </c>
      <c r="C23" s="125" t="s">
        <v>1728</v>
      </c>
      <c r="D23" s="124" t="s">
        <v>56</v>
      </c>
      <c r="E23" s="185">
        <v>7709.76</v>
      </c>
      <c r="F23" s="122">
        <f>42046.06</f>
        <v>42046.06</v>
      </c>
      <c r="G23" s="122">
        <f t="shared" si="0"/>
        <v>34336.3</v>
      </c>
      <c r="H23" s="123"/>
    </row>
    <row r="24" customHeight="1" spans="1:8">
      <c r="A24" s="49">
        <v>16</v>
      </c>
      <c r="B24" s="190" t="s">
        <v>190</v>
      </c>
      <c r="C24" s="43" t="s">
        <v>1545</v>
      </c>
      <c r="D24" s="124" t="s">
        <v>218</v>
      </c>
      <c r="E24" s="185">
        <v>7709.76</v>
      </c>
      <c r="F24" s="122">
        <f>39478.93</f>
        <v>39478.93</v>
      </c>
      <c r="G24" s="122">
        <f t="shared" si="0"/>
        <v>31769.17</v>
      </c>
      <c r="H24" s="123"/>
    </row>
    <row r="25" customHeight="1" spans="1:8">
      <c r="A25" s="49">
        <v>17</v>
      </c>
      <c r="B25" s="183" t="s">
        <v>51</v>
      </c>
      <c r="C25" s="121" t="s">
        <v>61</v>
      </c>
      <c r="D25" s="124" t="s">
        <v>64</v>
      </c>
      <c r="E25" s="185">
        <v>7709.76</v>
      </c>
      <c r="F25" s="122">
        <f>46673.26</f>
        <v>46673.26</v>
      </c>
      <c r="G25" s="122">
        <f t="shared" si="0"/>
        <v>38963.5</v>
      </c>
      <c r="H25" s="123"/>
    </row>
    <row r="26" customHeight="1" spans="1:8">
      <c r="A26" s="49">
        <v>18</v>
      </c>
      <c r="B26" s="191" t="s">
        <v>54</v>
      </c>
      <c r="C26" s="43" t="s">
        <v>55</v>
      </c>
      <c r="D26" s="124" t="s">
        <v>1001</v>
      </c>
      <c r="E26" s="185">
        <v>7709.76</v>
      </c>
      <c r="F26" s="122">
        <f>63364.81</f>
        <v>63364.81</v>
      </c>
      <c r="G26" s="122">
        <f t="shared" si="0"/>
        <v>55655.05</v>
      </c>
      <c r="H26" s="123"/>
    </row>
    <row r="27" customHeight="1" spans="1:8">
      <c r="A27" s="49">
        <v>19</v>
      </c>
      <c r="B27" s="183" t="s">
        <v>193</v>
      </c>
      <c r="C27" s="121" t="s">
        <v>929</v>
      </c>
      <c r="D27" s="124" t="s">
        <v>131</v>
      </c>
      <c r="E27" s="185">
        <v>3369.51</v>
      </c>
      <c r="F27" s="122">
        <f>31848.56</f>
        <v>31848.56</v>
      </c>
      <c r="G27" s="122">
        <f t="shared" si="0"/>
        <v>28479.05</v>
      </c>
      <c r="H27" s="123"/>
    </row>
    <row r="28" ht="18.75" customHeight="1" spans="1:8">
      <c r="A28" s="49">
        <v>20</v>
      </c>
      <c r="B28" s="183" t="s">
        <v>65</v>
      </c>
      <c r="C28" s="121" t="s">
        <v>107</v>
      </c>
      <c r="D28" s="124" t="s">
        <v>153</v>
      </c>
      <c r="E28" s="185">
        <v>3369.51</v>
      </c>
      <c r="F28" s="122">
        <f>27873.08</f>
        <v>27873.08</v>
      </c>
      <c r="G28" s="122">
        <f t="shared" si="0"/>
        <v>24503.57</v>
      </c>
      <c r="H28" s="123"/>
    </row>
    <row r="29" ht="18.75" customHeight="1" spans="1:8">
      <c r="A29" s="49">
        <v>21</v>
      </c>
      <c r="B29" s="183" t="s">
        <v>259</v>
      </c>
      <c r="C29" s="43" t="s">
        <v>1729</v>
      </c>
      <c r="D29" s="124" t="s">
        <v>153</v>
      </c>
      <c r="E29" s="185">
        <v>3369.51</v>
      </c>
      <c r="F29" s="122">
        <f>27873.08</f>
        <v>27873.08</v>
      </c>
      <c r="G29" s="122">
        <f t="shared" si="0"/>
        <v>24503.57</v>
      </c>
      <c r="H29" s="123"/>
    </row>
    <row r="30" ht="18.75" customHeight="1" spans="1:8">
      <c r="A30" s="49">
        <v>22</v>
      </c>
      <c r="B30" s="191" t="s">
        <v>319</v>
      </c>
      <c r="C30" s="43" t="s">
        <v>1697</v>
      </c>
      <c r="D30" s="124" t="s">
        <v>78</v>
      </c>
      <c r="E30" s="185">
        <v>3369.51</v>
      </c>
      <c r="F30" s="122">
        <f>27105.99</f>
        <v>27105.99</v>
      </c>
      <c r="G30" s="122">
        <f t="shared" si="0"/>
        <v>23736.48</v>
      </c>
      <c r="H30" s="123"/>
    </row>
    <row r="31" ht="18.75" customHeight="1" spans="1:8">
      <c r="A31" s="49">
        <v>23</v>
      </c>
      <c r="B31" s="191" t="s">
        <v>1682</v>
      </c>
      <c r="C31" s="121" t="s">
        <v>104</v>
      </c>
      <c r="D31" s="124" t="s">
        <v>75</v>
      </c>
      <c r="E31" s="185">
        <v>1484.37</v>
      </c>
      <c r="F31" s="44">
        <f>26339.08</f>
        <v>26339.08</v>
      </c>
      <c r="G31" s="122">
        <f t="shared" si="0"/>
        <v>24854.71</v>
      </c>
      <c r="H31" s="123"/>
    </row>
    <row r="32" ht="18.75" customHeight="1" spans="1:8">
      <c r="A32" s="49">
        <v>24</v>
      </c>
      <c r="B32" s="46" t="s">
        <v>478</v>
      </c>
      <c r="C32" s="46" t="s">
        <v>94</v>
      </c>
      <c r="D32" s="49" t="s">
        <v>225</v>
      </c>
      <c r="E32" s="185">
        <v>3369.51</v>
      </c>
      <c r="F32" s="122">
        <f>21640.95</f>
        <v>21640.95</v>
      </c>
      <c r="G32" s="122">
        <f t="shared" si="0"/>
        <v>18271.44</v>
      </c>
      <c r="H32" s="123"/>
    </row>
    <row r="33" ht="18.75" customHeight="1" spans="1:8">
      <c r="A33" s="49">
        <v>25</v>
      </c>
      <c r="B33" s="191" t="s">
        <v>79</v>
      </c>
      <c r="C33" s="121" t="s">
        <v>94</v>
      </c>
      <c r="D33" s="124" t="s">
        <v>1698</v>
      </c>
      <c r="E33" s="185">
        <v>1484.37</v>
      </c>
      <c r="F33" s="122">
        <f>18102.9</f>
        <v>18102.9</v>
      </c>
      <c r="G33" s="122">
        <f t="shared" si="0"/>
        <v>16618.53</v>
      </c>
      <c r="H33" s="123"/>
    </row>
    <row r="34" ht="18.75" customHeight="1" spans="1:8">
      <c r="A34" s="49">
        <v>26</v>
      </c>
      <c r="B34" s="183" t="s">
        <v>1596</v>
      </c>
      <c r="C34" s="121" t="s">
        <v>1544</v>
      </c>
      <c r="D34" s="124" t="s">
        <v>105</v>
      </c>
      <c r="E34" s="185">
        <v>1484.37</v>
      </c>
      <c r="F34" s="122">
        <f>18102.9</f>
        <v>18102.9</v>
      </c>
      <c r="G34" s="122">
        <f t="shared" si="0"/>
        <v>16618.53</v>
      </c>
      <c r="H34" s="123"/>
    </row>
    <row r="35" ht="18.75" customHeight="1" spans="1:8">
      <c r="A35" s="49">
        <v>27</v>
      </c>
      <c r="B35" s="191" t="s">
        <v>84</v>
      </c>
      <c r="C35" s="121" t="s">
        <v>1544</v>
      </c>
      <c r="D35" s="124" t="s">
        <v>1730</v>
      </c>
      <c r="E35" s="185">
        <v>1484.37</v>
      </c>
      <c r="F35" s="122">
        <f>17572.89</f>
        <v>17572.89</v>
      </c>
      <c r="G35" s="122">
        <f t="shared" si="0"/>
        <v>16088.52</v>
      </c>
      <c r="H35" s="123"/>
    </row>
    <row r="36" ht="18.75" customHeight="1" spans="1:8">
      <c r="A36" s="49">
        <v>28</v>
      </c>
      <c r="B36" s="188" t="s">
        <v>236</v>
      </c>
      <c r="C36" s="17" t="s">
        <v>1699</v>
      </c>
      <c r="D36" s="124" t="s">
        <v>108</v>
      </c>
      <c r="E36" s="185">
        <v>1484.37</v>
      </c>
      <c r="F36" s="44">
        <f>17572.89</f>
        <v>17572.89</v>
      </c>
      <c r="G36" s="122">
        <f t="shared" si="0"/>
        <v>16088.52</v>
      </c>
      <c r="H36" s="123"/>
    </row>
    <row r="37" ht="18.75" customHeight="1" spans="1:8">
      <c r="A37" s="49">
        <v>29</v>
      </c>
      <c r="B37" s="191" t="s">
        <v>87</v>
      </c>
      <c r="C37" s="43" t="s">
        <v>1598</v>
      </c>
      <c r="D37" s="49" t="s">
        <v>108</v>
      </c>
      <c r="E37" s="185">
        <v>1484.37</v>
      </c>
      <c r="F37" s="122">
        <f>17572.89</f>
        <v>17572.89</v>
      </c>
      <c r="G37" s="122">
        <f t="shared" si="0"/>
        <v>16088.52</v>
      </c>
      <c r="H37" s="123"/>
    </row>
    <row r="38" ht="18.75" customHeight="1" spans="1:8">
      <c r="A38" s="49">
        <v>30</v>
      </c>
      <c r="B38" s="194" t="s">
        <v>91</v>
      </c>
      <c r="C38" s="17" t="s">
        <v>646</v>
      </c>
      <c r="D38" s="124" t="s">
        <v>275</v>
      </c>
      <c r="E38" s="185">
        <v>1484.37</v>
      </c>
      <c r="F38" s="44">
        <f>16512.68</f>
        <v>16512.68</v>
      </c>
      <c r="G38" s="122">
        <f t="shared" si="0"/>
        <v>15028.31</v>
      </c>
      <c r="H38" s="123"/>
    </row>
    <row r="39" ht="18.75" customHeight="1" spans="1:8">
      <c r="A39" s="49">
        <v>31</v>
      </c>
      <c r="B39" s="194" t="s">
        <v>1731</v>
      </c>
      <c r="C39" s="17" t="s">
        <v>646</v>
      </c>
      <c r="D39" s="124" t="s">
        <v>275</v>
      </c>
      <c r="E39" s="185">
        <v>1484.37</v>
      </c>
      <c r="F39" s="44">
        <f>16512.68</f>
        <v>16512.68</v>
      </c>
      <c r="G39" s="122">
        <f t="shared" si="0"/>
        <v>15028.31</v>
      </c>
      <c r="H39" s="123"/>
    </row>
    <row r="40" ht="18.75" customHeight="1" spans="1:8">
      <c r="A40" s="49">
        <v>32</v>
      </c>
      <c r="B40" s="191" t="s">
        <v>95</v>
      </c>
      <c r="C40" s="43" t="s">
        <v>1700</v>
      </c>
      <c r="D40" s="49" t="s">
        <v>275</v>
      </c>
      <c r="E40" s="185">
        <v>1484.37</v>
      </c>
      <c r="F40" s="122">
        <f>16512.68</f>
        <v>16512.68</v>
      </c>
      <c r="G40" s="122">
        <f t="shared" si="0"/>
        <v>15028.31</v>
      </c>
      <c r="H40" s="123"/>
    </row>
    <row r="41" ht="18.75" customHeight="1" spans="1:8">
      <c r="A41" s="49">
        <v>33</v>
      </c>
      <c r="B41" s="191" t="s">
        <v>1525</v>
      </c>
      <c r="C41" s="121" t="s">
        <v>104</v>
      </c>
      <c r="D41" s="124" t="s">
        <v>275</v>
      </c>
      <c r="E41" s="185">
        <v>1484.37</v>
      </c>
      <c r="F41" s="44">
        <f>16512.68</f>
        <v>16512.68</v>
      </c>
      <c r="G41" s="122">
        <f t="shared" si="0"/>
        <v>15028.31</v>
      </c>
      <c r="H41" s="123"/>
    </row>
    <row r="42" ht="18.75" customHeight="1" spans="1:8">
      <c r="A42" s="49">
        <v>34</v>
      </c>
      <c r="B42" s="191" t="s">
        <v>1683</v>
      </c>
      <c r="C42" s="121" t="s">
        <v>104</v>
      </c>
      <c r="D42" s="124" t="s">
        <v>275</v>
      </c>
      <c r="E42" s="185">
        <v>0</v>
      </c>
      <c r="F42" s="44">
        <f>16512.68</f>
        <v>16512.68</v>
      </c>
      <c r="G42" s="122">
        <f t="shared" ref="G42" si="1">F42-E42</f>
        <v>16512.68</v>
      </c>
      <c r="H42" s="123"/>
    </row>
    <row r="43" ht="26.25" customHeight="1" spans="1:8">
      <c r="A43" s="49"/>
      <c r="B43" s="195" t="s">
        <v>120</v>
      </c>
      <c r="C43" s="58">
        <v>33</v>
      </c>
      <c r="D43" s="124"/>
      <c r="E43" s="196">
        <f>SUM(E9:E42)</f>
        <v>415827.18</v>
      </c>
      <c r="F43" s="137">
        <f>SUM(F9:F41)</f>
        <v>1658278.62</v>
      </c>
      <c r="G43" s="133">
        <f t="shared" si="0"/>
        <v>1242451.44</v>
      </c>
      <c r="H43" s="123"/>
    </row>
    <row r="44" ht="18.75" customHeight="1" spans="1:8">
      <c r="A44" s="49"/>
      <c r="B44" s="197"/>
      <c r="C44" s="43"/>
      <c r="D44" s="124"/>
      <c r="E44" s="185"/>
      <c r="F44" s="137"/>
      <c r="G44" s="122">
        <f t="shared" si="0"/>
        <v>0</v>
      </c>
    </row>
    <row r="45" ht="18.75" customHeight="1" spans="1:8">
      <c r="A45" s="49"/>
      <c r="B45" s="195" t="s">
        <v>121</v>
      </c>
      <c r="C45" s="43"/>
      <c r="D45" s="124"/>
      <c r="E45" s="185"/>
      <c r="F45" s="122"/>
      <c r="G45" s="122">
        <f t="shared" si="0"/>
        <v>0</v>
      </c>
    </row>
    <row r="46" ht="18.75" customHeight="1" spans="1:8">
      <c r="A46" s="49">
        <v>1</v>
      </c>
      <c r="B46" s="191" t="s">
        <v>122</v>
      </c>
      <c r="C46" s="43" t="s">
        <v>123</v>
      </c>
      <c r="D46" s="49" t="s">
        <v>140</v>
      </c>
      <c r="E46" s="185">
        <v>52776.63</v>
      </c>
      <c r="F46" s="122">
        <f>156349.82</f>
        <v>156349.82</v>
      </c>
      <c r="G46" s="122">
        <f t="shared" si="0"/>
        <v>103573.19</v>
      </c>
    </row>
    <row r="47" ht="18.75" customHeight="1" spans="1:8">
      <c r="A47" s="49">
        <v>2</v>
      </c>
      <c r="B47" s="191" t="s">
        <v>127</v>
      </c>
      <c r="C47" s="43" t="s">
        <v>1137</v>
      </c>
      <c r="D47" s="49" t="s">
        <v>275</v>
      </c>
      <c r="E47" s="185">
        <v>1484.37</v>
      </c>
      <c r="F47" s="122">
        <f>16512.68</f>
        <v>16512.68</v>
      </c>
      <c r="G47" s="122">
        <f t="shared" si="0"/>
        <v>15028.31</v>
      </c>
    </row>
    <row r="48" ht="19.5" customHeight="1" spans="1:8">
      <c r="A48" s="49"/>
      <c r="B48" s="198"/>
      <c r="C48" s="58">
        <v>2</v>
      </c>
      <c r="D48" s="49"/>
      <c r="E48" s="196">
        <v>54261</v>
      </c>
      <c r="F48" s="137">
        <f>SUM(F46:F47)</f>
        <v>172862.5</v>
      </c>
      <c r="G48" s="133">
        <f t="shared" si="0"/>
        <v>118601.5</v>
      </c>
      <c r="H48" s="199"/>
    </row>
    <row r="49" customHeight="1" spans="1:8">
      <c r="A49" s="49"/>
      <c r="B49" s="186"/>
      <c r="C49" s="43"/>
      <c r="D49" s="49"/>
      <c r="E49" s="185"/>
      <c r="F49" s="137"/>
      <c r="G49" s="122">
        <f t="shared" si="0"/>
        <v>0</v>
      </c>
    </row>
    <row r="50" customHeight="1" spans="1:8">
      <c r="A50" s="49"/>
      <c r="B50" s="200" t="s">
        <v>137</v>
      </c>
      <c r="C50" s="144"/>
      <c r="D50" s="57"/>
      <c r="E50" s="201"/>
      <c r="F50" s="122"/>
      <c r="G50" s="122">
        <f t="shared" si="0"/>
        <v>0</v>
      </c>
    </row>
    <row r="51" customHeight="1" spans="1:8">
      <c r="A51" s="49">
        <v>1</v>
      </c>
      <c r="B51" s="183" t="s">
        <v>912</v>
      </c>
      <c r="C51" s="43" t="s">
        <v>913</v>
      </c>
      <c r="D51" s="49" t="s">
        <v>124</v>
      </c>
      <c r="E51" s="185">
        <v>52776.63</v>
      </c>
      <c r="F51" s="122">
        <f>180306.81</f>
        <v>180306.81</v>
      </c>
      <c r="G51" s="122">
        <f t="shared" si="0"/>
        <v>127530.18</v>
      </c>
    </row>
    <row r="52" customHeight="1" spans="1:8">
      <c r="A52" s="49">
        <v>2</v>
      </c>
      <c r="B52" s="183" t="s">
        <v>914</v>
      </c>
      <c r="C52" s="43" t="s">
        <v>44</v>
      </c>
      <c r="D52" s="49" t="s">
        <v>39</v>
      </c>
      <c r="E52" s="185">
        <v>15548.33</v>
      </c>
      <c r="F52" s="122">
        <f>79956.94</f>
        <v>79956.94</v>
      </c>
      <c r="G52" s="122">
        <f t="shared" si="0"/>
        <v>64408.61</v>
      </c>
    </row>
    <row r="53" customHeight="1" spans="1:8">
      <c r="A53" s="49">
        <v>3</v>
      </c>
      <c r="B53" s="183" t="s">
        <v>138</v>
      </c>
      <c r="C53" s="43" t="s">
        <v>145</v>
      </c>
      <c r="D53" s="49" t="s">
        <v>39</v>
      </c>
      <c r="E53" s="185">
        <v>15548.33</v>
      </c>
      <c r="F53" s="122">
        <f>79956.94</f>
        <v>79956.94</v>
      </c>
      <c r="G53" s="122">
        <f t="shared" si="0"/>
        <v>64408.61</v>
      </c>
    </row>
    <row r="54" customHeight="1" spans="1:8">
      <c r="A54" s="49">
        <v>4</v>
      </c>
      <c r="B54" s="183" t="s">
        <v>141</v>
      </c>
      <c r="C54" s="43" t="s">
        <v>145</v>
      </c>
      <c r="D54" s="49" t="s">
        <v>50</v>
      </c>
      <c r="E54" s="185">
        <v>15548.33</v>
      </c>
      <c r="F54" s="122">
        <f>77764.98</f>
        <v>77764.98</v>
      </c>
      <c r="G54" s="122">
        <f t="shared" si="0"/>
        <v>62216.65</v>
      </c>
    </row>
    <row r="55" customHeight="1" spans="1:8">
      <c r="A55" s="49">
        <v>5</v>
      </c>
      <c r="B55" s="183" t="s">
        <v>144</v>
      </c>
      <c r="C55" s="43" t="s">
        <v>46</v>
      </c>
      <c r="D55" s="49" t="s">
        <v>192</v>
      </c>
      <c r="E55" s="185">
        <v>7709.76</v>
      </c>
      <c r="F55" s="122">
        <f>59437.57</f>
        <v>59437.57</v>
      </c>
      <c r="G55" s="122">
        <f t="shared" si="0"/>
        <v>51727.81</v>
      </c>
    </row>
    <row r="56" customHeight="1" spans="1:8">
      <c r="A56" s="49">
        <v>6</v>
      </c>
      <c r="B56" s="183" t="s">
        <v>146</v>
      </c>
      <c r="C56" s="43" t="s">
        <v>46</v>
      </c>
      <c r="D56" s="49" t="s">
        <v>214</v>
      </c>
      <c r="E56" s="185">
        <v>7709.76</v>
      </c>
      <c r="F56" s="122">
        <f>56478.9</f>
        <v>56478.9</v>
      </c>
      <c r="G56" s="122">
        <f t="shared" si="0"/>
        <v>48769.14</v>
      </c>
    </row>
    <row r="57" customHeight="1" spans="1:8">
      <c r="A57" s="49">
        <v>7</v>
      </c>
      <c r="B57" s="202" t="s">
        <v>147</v>
      </c>
      <c r="C57" s="43" t="s">
        <v>52</v>
      </c>
      <c r="D57" s="16" t="s">
        <v>214</v>
      </c>
      <c r="E57" s="189">
        <v>7709.76</v>
      </c>
      <c r="F57" s="85">
        <f>56478.9</f>
        <v>56478.9</v>
      </c>
      <c r="G57" s="122">
        <f t="shared" si="0"/>
        <v>48769.14</v>
      </c>
    </row>
    <row r="58" customHeight="1" spans="1:8">
      <c r="A58" s="49">
        <v>8</v>
      </c>
      <c r="B58" s="183" t="s">
        <v>1601</v>
      </c>
      <c r="C58" s="43" t="s">
        <v>217</v>
      </c>
      <c r="D58" s="49" t="s">
        <v>601</v>
      </c>
      <c r="E58" s="185">
        <v>7709.76</v>
      </c>
      <c r="F58" s="122">
        <f>49548.78</f>
        <v>49548.78</v>
      </c>
      <c r="G58" s="122">
        <f t="shared" si="0"/>
        <v>41839.02</v>
      </c>
    </row>
    <row r="59" customHeight="1" spans="1:8">
      <c r="A59" s="49">
        <v>9</v>
      </c>
      <c r="B59" s="188" t="s">
        <v>45</v>
      </c>
      <c r="C59" s="43" t="s">
        <v>927</v>
      </c>
      <c r="D59" s="10" t="s">
        <v>218</v>
      </c>
      <c r="E59" s="189">
        <v>7709.76</v>
      </c>
      <c r="F59" s="85">
        <f>48052.11</f>
        <v>48052.11</v>
      </c>
      <c r="G59" s="122">
        <f t="shared" si="0"/>
        <v>40342.35</v>
      </c>
    </row>
    <row r="60" customHeight="1" spans="1:8">
      <c r="A60" s="49">
        <v>10</v>
      </c>
      <c r="B60" s="188" t="s">
        <v>155</v>
      </c>
      <c r="C60" s="43" t="s">
        <v>152</v>
      </c>
      <c r="D60" s="49" t="s">
        <v>225</v>
      </c>
      <c r="E60" s="185">
        <v>3369.51</v>
      </c>
      <c r="F60" s="122">
        <f>28360.95</f>
        <v>28360.95</v>
      </c>
      <c r="G60" s="122">
        <f t="shared" si="0"/>
        <v>24991.44</v>
      </c>
    </row>
    <row r="61" customHeight="1" spans="1:8">
      <c r="A61" s="49">
        <v>11</v>
      </c>
      <c r="B61" s="188" t="s">
        <v>915</v>
      </c>
      <c r="C61" s="43" t="s">
        <v>152</v>
      </c>
      <c r="D61" s="49" t="s">
        <v>225</v>
      </c>
      <c r="E61" s="185">
        <v>3369.51</v>
      </c>
      <c r="F61" s="122">
        <f>28360.95</f>
        <v>28360.95</v>
      </c>
      <c r="G61" s="122">
        <f t="shared" si="0"/>
        <v>24991.44</v>
      </c>
    </row>
    <row r="62" customHeight="1" spans="1:8">
      <c r="A62" s="49">
        <v>12</v>
      </c>
      <c r="B62" s="188" t="s">
        <v>157</v>
      </c>
      <c r="C62" s="43" t="s">
        <v>152</v>
      </c>
      <c r="D62" s="49" t="s">
        <v>225</v>
      </c>
      <c r="E62" s="185">
        <v>0</v>
      </c>
      <c r="F62" s="122">
        <f>28360.95*23/31</f>
        <v>21041.9951612903</v>
      </c>
      <c r="G62" s="122">
        <f t="shared" ref="G62" si="2">F62-E62</f>
        <v>21041.9951612903</v>
      </c>
    </row>
    <row r="63" ht="25.5" customHeight="1" spans="1:8">
      <c r="A63" s="49"/>
      <c r="B63" s="203" t="s">
        <v>120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8">
      <c r="A64" s="49"/>
      <c r="B64" s="22"/>
      <c r="C64" s="21"/>
      <c r="D64" s="21"/>
      <c r="E64" s="204"/>
      <c r="F64" s="156"/>
      <c r="G64" s="122">
        <f t="shared" si="0"/>
        <v>0</v>
      </c>
    </row>
    <row r="65" customHeight="1" spans="1:8">
      <c r="A65" s="49"/>
      <c r="B65" s="203" t="s">
        <v>159</v>
      </c>
      <c r="C65" s="21"/>
      <c r="D65" s="21"/>
      <c r="E65" s="204"/>
      <c r="F65" s="156"/>
      <c r="G65" s="122">
        <f t="shared" si="0"/>
        <v>0</v>
      </c>
    </row>
    <row r="66" customHeight="1" spans="1:8">
      <c r="A66" s="49">
        <v>1</v>
      </c>
      <c r="B66" s="183" t="s">
        <v>916</v>
      </c>
      <c r="C66" s="121" t="s">
        <v>161</v>
      </c>
      <c r="D66" s="124" t="s">
        <v>124</v>
      </c>
      <c r="E66" s="185">
        <v>52776.63</v>
      </c>
      <c r="F66" s="122">
        <f>180306.81</f>
        <v>180306.81</v>
      </c>
      <c r="G66" s="122">
        <f t="shared" si="0"/>
        <v>127530.18</v>
      </c>
    </row>
    <row r="67" customHeight="1" spans="1:8">
      <c r="A67" s="49">
        <v>2</v>
      </c>
      <c r="B67" s="191" t="s">
        <v>162</v>
      </c>
      <c r="C67" s="121" t="s">
        <v>485</v>
      </c>
      <c r="D67" s="124" t="s">
        <v>925</v>
      </c>
      <c r="E67" s="185">
        <v>15548.33</v>
      </c>
      <c r="F67" s="122">
        <f>62404.98</f>
        <v>62404.98</v>
      </c>
      <c r="G67" s="122">
        <f t="shared" si="0"/>
        <v>46856.65</v>
      </c>
    </row>
    <row r="68" customHeight="1" spans="1:8">
      <c r="A68" s="49"/>
      <c r="B68" s="203" t="s">
        <v>120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22">
        <f t="shared" si="0"/>
        <v>174386.83</v>
      </c>
      <c r="H68" s="199"/>
    </row>
    <row r="69" customHeight="1" spans="1:8">
      <c r="A69" s="49"/>
      <c r="B69" s="203"/>
      <c r="C69" s="21"/>
      <c r="D69" s="21"/>
      <c r="E69" s="204"/>
      <c r="F69" s="156"/>
      <c r="G69" s="122">
        <f t="shared" si="0"/>
        <v>0</v>
      </c>
    </row>
    <row r="70" customHeight="1" spans="1:8">
      <c r="A70" s="49"/>
      <c r="B70" s="203" t="s">
        <v>1732</v>
      </c>
      <c r="C70" s="21"/>
      <c r="D70" s="21"/>
      <c r="E70" s="204"/>
      <c r="F70" s="156"/>
      <c r="G70" s="122">
        <f t="shared" si="0"/>
        <v>0</v>
      </c>
    </row>
    <row r="71" customHeight="1" spans="1:8">
      <c r="A71" s="49">
        <v>1</v>
      </c>
      <c r="B71" s="188" t="s">
        <v>917</v>
      </c>
      <c r="C71" s="17" t="s">
        <v>918</v>
      </c>
      <c r="D71" s="10" t="s">
        <v>124</v>
      </c>
      <c r="E71" s="189">
        <v>52776.63</v>
      </c>
      <c r="F71" s="85">
        <f>180306.81</f>
        <v>180306.81</v>
      </c>
      <c r="G71" s="122">
        <f t="shared" si="0"/>
        <v>127530.18</v>
      </c>
    </row>
    <row r="72" customHeight="1" spans="1:8">
      <c r="A72" s="49">
        <v>2</v>
      </c>
      <c r="B72" s="194" t="s">
        <v>919</v>
      </c>
      <c r="C72" s="17" t="s">
        <v>920</v>
      </c>
      <c r="D72" s="124" t="s">
        <v>1532</v>
      </c>
      <c r="E72" s="185">
        <v>15548.33</v>
      </c>
      <c r="F72" s="122">
        <v>75572.92</v>
      </c>
      <c r="G72" s="122">
        <f t="shared" si="0"/>
        <v>60024.59</v>
      </c>
    </row>
    <row r="73" customHeight="1" spans="1:8">
      <c r="A73" s="49">
        <v>3</v>
      </c>
      <c r="B73" s="188" t="s">
        <v>167</v>
      </c>
      <c r="C73" s="43" t="s">
        <v>217</v>
      </c>
      <c r="D73" s="10" t="s">
        <v>218</v>
      </c>
      <c r="E73" s="189">
        <v>7709.76</v>
      </c>
      <c r="F73" s="85">
        <f>48170.87</f>
        <v>48170.87</v>
      </c>
      <c r="G73" s="122">
        <f t="shared" si="0"/>
        <v>40461.11</v>
      </c>
    </row>
    <row r="74" customHeight="1" spans="1:8">
      <c r="A74" s="49">
        <v>4</v>
      </c>
      <c r="B74" s="194" t="s">
        <v>921</v>
      </c>
      <c r="C74" s="17" t="s">
        <v>217</v>
      </c>
      <c r="D74" s="124" t="s">
        <v>64</v>
      </c>
      <c r="E74" s="185">
        <v>7709.76</v>
      </c>
      <c r="F74" s="122">
        <f>46673.26</f>
        <v>46673.26</v>
      </c>
      <c r="G74" s="122">
        <f t="shared" si="0"/>
        <v>38963.5</v>
      </c>
    </row>
    <row r="75" customHeight="1" spans="1:8">
      <c r="A75" s="49">
        <v>5</v>
      </c>
      <c r="B75" s="186" t="s">
        <v>922</v>
      </c>
      <c r="C75" s="17" t="s">
        <v>52</v>
      </c>
      <c r="D75" s="124" t="s">
        <v>214</v>
      </c>
      <c r="E75" s="185">
        <v>7709.76</v>
      </c>
      <c r="F75" s="122">
        <v>56478.9</v>
      </c>
      <c r="G75" s="122">
        <f t="shared" si="0"/>
        <v>48769.14</v>
      </c>
    </row>
    <row r="76" customHeight="1" spans="1:8">
      <c r="A76" s="49">
        <v>6</v>
      </c>
      <c r="B76" s="188" t="s">
        <v>171</v>
      </c>
      <c r="C76" s="4" t="s">
        <v>152</v>
      </c>
      <c r="D76" s="10" t="s">
        <v>1733</v>
      </c>
      <c r="E76" s="189">
        <v>3369.51</v>
      </c>
      <c r="F76" s="85">
        <v>36127.27</v>
      </c>
      <c r="G76" s="122">
        <f t="shared" ref="G76:G139" si="5">F76-E76</f>
        <v>32757.76</v>
      </c>
    </row>
    <row r="77" customHeight="1" spans="1:8">
      <c r="A77" s="49">
        <v>7</v>
      </c>
      <c r="B77" s="190" t="s">
        <v>1609</v>
      </c>
      <c r="C77" s="17" t="s">
        <v>72</v>
      </c>
      <c r="D77" s="124" t="s">
        <v>131</v>
      </c>
      <c r="E77" s="185">
        <v>3369.51</v>
      </c>
      <c r="F77" s="122">
        <v>41248.56</v>
      </c>
      <c r="G77" s="122">
        <f t="shared" si="5"/>
        <v>37879.05</v>
      </c>
    </row>
    <row r="78" customHeight="1" spans="1:8">
      <c r="A78" s="49">
        <v>8</v>
      </c>
      <c r="B78" s="183" t="s">
        <v>172</v>
      </c>
      <c r="C78" s="17" t="s">
        <v>72</v>
      </c>
      <c r="D78" s="124" t="s">
        <v>180</v>
      </c>
      <c r="E78" s="185">
        <v>3369.51</v>
      </c>
      <c r="F78" s="122">
        <f>40149.18</f>
        <v>40149.18</v>
      </c>
      <c r="G78" s="122">
        <f t="shared" si="5"/>
        <v>36779.67</v>
      </c>
    </row>
    <row r="79" customHeight="1" spans="1:8">
      <c r="A79" s="49">
        <v>9</v>
      </c>
      <c r="B79" s="183" t="s">
        <v>174</v>
      </c>
      <c r="C79" s="17" t="s">
        <v>72</v>
      </c>
      <c r="D79" s="124" t="s">
        <v>180</v>
      </c>
      <c r="E79" s="185">
        <v>3369.51</v>
      </c>
      <c r="F79" s="122">
        <f>40149.18</f>
        <v>40149.18</v>
      </c>
      <c r="G79" s="122">
        <f t="shared" si="5"/>
        <v>36779.67</v>
      </c>
    </row>
    <row r="80" customHeight="1" spans="1:8">
      <c r="A80" s="49">
        <v>10</v>
      </c>
      <c r="B80" s="183" t="s">
        <v>175</v>
      </c>
      <c r="C80" s="43" t="s">
        <v>182</v>
      </c>
      <c r="D80" s="49" t="s">
        <v>153</v>
      </c>
      <c r="E80" s="185">
        <v>3369.51</v>
      </c>
      <c r="F80" s="122">
        <f>34593.08</f>
        <v>34593.08</v>
      </c>
      <c r="G80" s="122">
        <f t="shared" si="5"/>
        <v>31223.57</v>
      </c>
    </row>
    <row r="81" customHeight="1" spans="1:8">
      <c r="A81" s="49">
        <v>11</v>
      </c>
      <c r="B81" s="188" t="s">
        <v>1684</v>
      </c>
      <c r="C81" s="17" t="s">
        <v>152</v>
      </c>
      <c r="D81" s="49" t="s">
        <v>81</v>
      </c>
      <c r="E81" s="185">
        <v>3369.51</v>
      </c>
      <c r="F81" s="122">
        <f>32291.82</f>
        <v>32291.82</v>
      </c>
      <c r="G81" s="122">
        <f t="shared" si="5"/>
        <v>28922.31</v>
      </c>
    </row>
    <row r="82" customHeight="1" spans="1:8">
      <c r="A82" s="49">
        <v>12</v>
      </c>
      <c r="B82" s="188" t="s">
        <v>82</v>
      </c>
      <c r="C82" s="17" t="s">
        <v>69</v>
      </c>
      <c r="D82" s="49" t="s">
        <v>225</v>
      </c>
      <c r="E82" s="185">
        <v>1484.37</v>
      </c>
      <c r="F82" s="122">
        <f>24685.95</f>
        <v>24685.95</v>
      </c>
      <c r="G82" s="122">
        <f t="shared" si="5"/>
        <v>23201.58</v>
      </c>
    </row>
    <row r="83" customHeight="1" spans="1:8">
      <c r="A83" s="49">
        <v>13</v>
      </c>
      <c r="B83" s="186" t="s">
        <v>68</v>
      </c>
      <c r="C83" s="17" t="s">
        <v>69</v>
      </c>
      <c r="D83" s="49" t="s">
        <v>275</v>
      </c>
      <c r="E83" s="185">
        <v>1484.37</v>
      </c>
      <c r="F83" s="122">
        <f>24685.95</f>
        <v>24685.95</v>
      </c>
      <c r="G83" s="122">
        <f t="shared" si="5"/>
        <v>23201.58</v>
      </c>
    </row>
    <row r="84" customHeight="1" spans="1:8">
      <c r="A84" s="49"/>
      <c r="B84" s="203" t="s">
        <v>120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33">
        <f t="shared" si="5"/>
        <v>566493.71</v>
      </c>
      <c r="H84" s="199"/>
    </row>
    <row r="85" customHeight="1" spans="1:8">
      <c r="A85" s="49"/>
      <c r="B85" s="205"/>
      <c r="C85" s="21"/>
      <c r="D85" s="21"/>
      <c r="E85" s="204"/>
      <c r="F85" s="156"/>
      <c r="G85" s="122">
        <f t="shared" si="5"/>
        <v>0</v>
      </c>
    </row>
    <row r="86" customHeight="1" spans="1:8">
      <c r="A86" s="49"/>
      <c r="B86" s="203" t="s">
        <v>1734</v>
      </c>
      <c r="C86" s="21"/>
      <c r="D86" s="21"/>
      <c r="E86" s="204"/>
      <c r="F86" s="156"/>
      <c r="G86" s="122">
        <f t="shared" si="5"/>
        <v>0</v>
      </c>
    </row>
    <row r="87" customHeight="1" spans="1:8">
      <c r="A87" s="49">
        <v>1</v>
      </c>
      <c r="B87" s="183" t="s">
        <v>184</v>
      </c>
      <c r="C87" s="43" t="s">
        <v>185</v>
      </c>
      <c r="D87" s="49" t="s">
        <v>124</v>
      </c>
      <c r="E87" s="185">
        <v>52776.63</v>
      </c>
      <c r="F87" s="122">
        <f>180306.81</f>
        <v>180306.81</v>
      </c>
      <c r="G87" s="122">
        <f t="shared" si="5"/>
        <v>127530.18</v>
      </c>
    </row>
    <row r="88" customHeight="1" spans="1:8">
      <c r="A88" s="49">
        <v>2</v>
      </c>
      <c r="B88" s="206" t="s">
        <v>923</v>
      </c>
      <c r="C88" s="46" t="s">
        <v>924</v>
      </c>
      <c r="D88" s="124" t="s">
        <v>1532</v>
      </c>
      <c r="E88" s="185">
        <v>15548.33</v>
      </c>
      <c r="F88" s="122">
        <f>75572.92</f>
        <v>75572.92</v>
      </c>
      <c r="G88" s="122">
        <f t="shared" si="5"/>
        <v>60024.59</v>
      </c>
    </row>
    <row r="89" customHeight="1" spans="1:8">
      <c r="A89" s="49">
        <v>3</v>
      </c>
      <c r="B89" s="206" t="s">
        <v>1685</v>
      </c>
      <c r="C89" s="46" t="s">
        <v>1686</v>
      </c>
      <c r="D89" s="124" t="s">
        <v>1532</v>
      </c>
      <c r="E89" s="185">
        <v>15548.33</v>
      </c>
      <c r="F89" s="122">
        <f>75572.92</f>
        <v>75572.92</v>
      </c>
      <c r="G89" s="122">
        <f t="shared" si="5"/>
        <v>60024.59</v>
      </c>
    </row>
    <row r="90" customHeight="1" spans="1:8">
      <c r="A90" s="49">
        <v>4</v>
      </c>
      <c r="B90" s="183" t="s">
        <v>197</v>
      </c>
      <c r="C90" s="43" t="s">
        <v>182</v>
      </c>
      <c r="D90" s="49" t="s">
        <v>81</v>
      </c>
      <c r="E90" s="185">
        <v>3369.51</v>
      </c>
      <c r="F90" s="122">
        <f>32291.82</f>
        <v>32291.82</v>
      </c>
      <c r="G90" s="122">
        <f t="shared" si="5"/>
        <v>28922.31</v>
      </c>
    </row>
    <row r="91" customHeight="1" spans="1:8">
      <c r="A91" s="49"/>
      <c r="B91" s="203" t="s">
        <v>120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33">
        <f t="shared" si="5"/>
        <v>276501.67</v>
      </c>
      <c r="H91" s="199"/>
    </row>
    <row r="92" customHeight="1" spans="1:8">
      <c r="A92" s="49"/>
      <c r="B92" s="207"/>
      <c r="C92" s="58"/>
      <c r="D92" s="58"/>
      <c r="E92" s="196"/>
      <c r="F92" s="133"/>
      <c r="G92" s="122">
        <f t="shared" si="5"/>
        <v>0</v>
      </c>
    </row>
    <row r="93" customHeight="1" spans="1:8">
      <c r="A93" s="49"/>
      <c r="B93" s="207" t="s">
        <v>1735</v>
      </c>
      <c r="C93" s="161"/>
      <c r="D93" s="58"/>
      <c r="E93" s="196"/>
      <c r="F93" s="133"/>
      <c r="G93" s="122">
        <f t="shared" si="5"/>
        <v>0</v>
      </c>
    </row>
    <row r="94" customHeight="1" spans="1:8">
      <c r="A94" s="49">
        <v>1</v>
      </c>
      <c r="B94" s="183" t="s">
        <v>1736</v>
      </c>
      <c r="C94" s="43" t="s">
        <v>1703</v>
      </c>
      <c r="D94" s="49" t="s">
        <v>210</v>
      </c>
      <c r="E94" s="185">
        <v>21618.09</v>
      </c>
      <c r="F94" s="122">
        <f>97273.51</f>
        <v>97273.51</v>
      </c>
      <c r="G94" s="122">
        <f t="shared" si="5"/>
        <v>75655.42</v>
      </c>
    </row>
    <row r="95" customHeight="1" spans="1:8">
      <c r="A95" s="49">
        <v>2</v>
      </c>
      <c r="B95" s="183" t="s">
        <v>208</v>
      </c>
      <c r="C95" s="43" t="s">
        <v>145</v>
      </c>
      <c r="D95" s="49" t="s">
        <v>39</v>
      </c>
      <c r="E95" s="185">
        <v>15548.33</v>
      </c>
      <c r="F95" s="122">
        <f>79956.94</f>
        <v>79956.94</v>
      </c>
      <c r="G95" s="122">
        <f t="shared" si="5"/>
        <v>64408.61</v>
      </c>
    </row>
    <row r="96" customHeight="1" spans="1:8">
      <c r="A96" s="49">
        <v>3</v>
      </c>
      <c r="B96" s="183" t="s">
        <v>206</v>
      </c>
      <c r="C96" s="43" t="s">
        <v>145</v>
      </c>
      <c r="D96" s="49" t="s">
        <v>39</v>
      </c>
      <c r="E96" s="185">
        <v>15548.33</v>
      </c>
      <c r="F96" s="122">
        <f>79796.1</f>
        <v>79796.1</v>
      </c>
      <c r="G96" s="122">
        <f t="shared" si="5"/>
        <v>64247.77</v>
      </c>
    </row>
    <row r="97" customHeight="1" spans="1:8">
      <c r="A97" s="49">
        <v>4</v>
      </c>
      <c r="B97" s="186" t="s">
        <v>165</v>
      </c>
      <c r="C97" s="43" t="s">
        <v>52</v>
      </c>
      <c r="D97" s="49" t="s">
        <v>47</v>
      </c>
      <c r="E97" s="185">
        <v>7709.76</v>
      </c>
      <c r="F97" s="122">
        <f>57894.08</f>
        <v>57894.08</v>
      </c>
      <c r="G97" s="122">
        <f t="shared" si="5"/>
        <v>50184.32</v>
      </c>
    </row>
    <row r="98" customHeight="1" spans="1:8">
      <c r="A98" s="49">
        <v>5</v>
      </c>
      <c r="B98" s="188" t="s">
        <v>479</v>
      </c>
      <c r="C98" s="43" t="s">
        <v>46</v>
      </c>
      <c r="D98" s="49" t="s">
        <v>214</v>
      </c>
      <c r="E98" s="185">
        <v>7709.76</v>
      </c>
      <c r="F98" s="122">
        <f>56478.9</f>
        <v>56478.9</v>
      </c>
      <c r="G98" s="122">
        <f t="shared" si="5"/>
        <v>48769.14</v>
      </c>
    </row>
    <row r="99" customHeight="1" spans="1:8">
      <c r="A99" s="49">
        <v>6</v>
      </c>
      <c r="B99" s="188" t="s">
        <v>1737</v>
      </c>
      <c r="C99" s="43" t="s">
        <v>46</v>
      </c>
      <c r="D99" s="49" t="s">
        <v>600</v>
      </c>
      <c r="E99" s="185">
        <v>7709.76</v>
      </c>
      <c r="F99" s="122">
        <f>53384.05</f>
        <v>53384.05</v>
      </c>
      <c r="G99" s="122">
        <f t="shared" si="5"/>
        <v>45674.29</v>
      </c>
    </row>
    <row r="100" ht="21.6" customHeight="1" spans="1:8">
      <c r="A100" s="49">
        <v>7</v>
      </c>
      <c r="B100" s="190" t="s">
        <v>211</v>
      </c>
      <c r="C100" s="43" t="s">
        <v>927</v>
      </c>
      <c r="D100" s="124" t="s">
        <v>218</v>
      </c>
      <c r="E100" s="185">
        <v>7709.76</v>
      </c>
      <c r="F100" s="122">
        <f>48170.87</f>
        <v>48170.87</v>
      </c>
      <c r="G100" s="122">
        <f t="shared" si="5"/>
        <v>40461.11</v>
      </c>
    </row>
    <row r="101" ht="21.6" customHeight="1" spans="1:8">
      <c r="A101" s="49">
        <v>8</v>
      </c>
      <c r="B101" s="183" t="s">
        <v>212</v>
      </c>
      <c r="C101" s="121" t="s">
        <v>217</v>
      </c>
      <c r="D101" s="124" t="s">
        <v>64</v>
      </c>
      <c r="E101" s="185">
        <v>7709.76</v>
      </c>
      <c r="F101" s="122">
        <f>46673.26</f>
        <v>46673.26</v>
      </c>
      <c r="G101" s="122">
        <f t="shared" si="5"/>
        <v>38963.5</v>
      </c>
    </row>
    <row r="102" ht="21.6" customHeight="1" spans="1:8">
      <c r="A102" s="49">
        <v>9</v>
      </c>
      <c r="B102" s="183" t="s">
        <v>213</v>
      </c>
      <c r="C102" s="121" t="s">
        <v>217</v>
      </c>
      <c r="D102" s="124" t="s">
        <v>64</v>
      </c>
      <c r="E102" s="185">
        <v>7709.76</v>
      </c>
      <c r="F102" s="122">
        <f>46673.26</f>
        <v>46673.26</v>
      </c>
      <c r="G102" s="122">
        <f t="shared" si="5"/>
        <v>38963.5</v>
      </c>
    </row>
    <row r="103" ht="21.6" customHeight="1" spans="1:8">
      <c r="A103" s="49">
        <v>10</v>
      </c>
      <c r="B103" s="183" t="s">
        <v>215</v>
      </c>
      <c r="C103" s="17" t="s">
        <v>72</v>
      </c>
      <c r="D103" s="124" t="s">
        <v>180</v>
      </c>
      <c r="E103" s="185">
        <v>3369.51</v>
      </c>
      <c r="F103" s="122">
        <f>40149.18</f>
        <v>40149.18</v>
      </c>
      <c r="G103" s="122">
        <f t="shared" si="5"/>
        <v>36779.67</v>
      </c>
    </row>
    <row r="104" ht="21.6" customHeight="1" spans="1:8">
      <c r="A104" s="49">
        <v>11</v>
      </c>
      <c r="B104" s="183" t="s">
        <v>220</v>
      </c>
      <c r="C104" s="43" t="s">
        <v>152</v>
      </c>
      <c r="D104" s="49" t="s">
        <v>225</v>
      </c>
      <c r="E104" s="185">
        <v>3369.51</v>
      </c>
      <c r="F104" s="122">
        <f>28360.95</f>
        <v>28360.95</v>
      </c>
      <c r="G104" s="122">
        <f t="shared" si="5"/>
        <v>24991.44</v>
      </c>
    </row>
    <row r="105" ht="21.6" customHeight="1" spans="1:8">
      <c r="A105" s="49">
        <v>12</v>
      </c>
      <c r="B105" s="183" t="s">
        <v>224</v>
      </c>
      <c r="C105" s="17" t="s">
        <v>505</v>
      </c>
      <c r="D105" s="124" t="s">
        <v>275</v>
      </c>
      <c r="E105" s="185">
        <v>1484.37</v>
      </c>
      <c r="F105" s="122">
        <f>24685.95</f>
        <v>24685.95</v>
      </c>
      <c r="G105" s="122">
        <f t="shared" si="5"/>
        <v>23201.58</v>
      </c>
    </row>
    <row r="106" customHeight="1" spans="1:8">
      <c r="A106" s="49"/>
      <c r="B106" s="195" t="s">
        <v>120</v>
      </c>
      <c r="C106" s="58">
        <v>12</v>
      </c>
      <c r="D106" s="58"/>
      <c r="E106" s="196">
        <v>107196.7</v>
      </c>
      <c r="F106" s="139">
        <f t="shared" ref="F106" si="8">SUM(F94:F105)</f>
        <v>659497.05</v>
      </c>
      <c r="G106" s="139">
        <f t="shared" si="5"/>
        <v>552300.35</v>
      </c>
      <c r="H106" s="199"/>
    </row>
    <row r="107" customHeight="1" spans="1:8">
      <c r="A107" s="49"/>
      <c r="B107" s="197"/>
      <c r="C107" s="58"/>
      <c r="D107" s="58"/>
      <c r="E107" s="196"/>
      <c r="F107" s="133"/>
      <c r="G107" s="122">
        <f t="shared" si="5"/>
        <v>0</v>
      </c>
    </row>
    <row r="108" customHeight="1" spans="1:8">
      <c r="A108" s="49"/>
      <c r="B108" s="195" t="s">
        <v>1738</v>
      </c>
      <c r="C108" s="58"/>
      <c r="D108" s="58"/>
      <c r="E108" s="196"/>
      <c r="F108" s="133"/>
      <c r="G108" s="122">
        <f t="shared" si="5"/>
        <v>0</v>
      </c>
    </row>
    <row r="109" customHeight="1" spans="1:8">
      <c r="A109" s="49">
        <v>1</v>
      </c>
      <c r="B109" s="191" t="s">
        <v>908</v>
      </c>
      <c r="C109" s="49" t="s">
        <v>909</v>
      </c>
      <c r="D109" s="124" t="s">
        <v>210</v>
      </c>
      <c r="E109" s="185">
        <v>21618.09</v>
      </c>
      <c r="F109" s="122">
        <f>79993.51</f>
        <v>79993.51</v>
      </c>
      <c r="G109" s="122">
        <f t="shared" si="5"/>
        <v>58375.42</v>
      </c>
    </row>
    <row r="110" customHeight="1" spans="1:8">
      <c r="A110" s="49">
        <v>2</v>
      </c>
      <c r="B110" s="188" t="s">
        <v>37</v>
      </c>
      <c r="C110" s="4" t="s">
        <v>230</v>
      </c>
      <c r="D110" s="10" t="s">
        <v>214</v>
      </c>
      <c r="E110" s="189">
        <v>7709.76</v>
      </c>
      <c r="F110" s="122">
        <f>43380.1</f>
        <v>43380.1</v>
      </c>
      <c r="G110" s="122">
        <f t="shared" si="5"/>
        <v>35670.34</v>
      </c>
      <c r="H110" s="123"/>
    </row>
    <row r="111" customHeight="1" spans="1:8">
      <c r="A111" s="49">
        <v>3</v>
      </c>
      <c r="B111" s="194" t="s">
        <v>1704</v>
      </c>
      <c r="C111" s="4" t="s">
        <v>1705</v>
      </c>
      <c r="D111" s="124" t="s">
        <v>64</v>
      </c>
      <c r="E111" s="185">
        <v>7709.76</v>
      </c>
      <c r="F111" s="122">
        <f>38272.44</f>
        <v>38272.44</v>
      </c>
      <c r="G111" s="122">
        <f t="shared" si="5"/>
        <v>30562.68</v>
      </c>
      <c r="H111" s="123"/>
    </row>
    <row r="112" customHeight="1" spans="1:8">
      <c r="A112" s="49">
        <v>4</v>
      </c>
      <c r="B112" s="183" t="s">
        <v>235</v>
      </c>
      <c r="C112" s="43" t="s">
        <v>1739</v>
      </c>
      <c r="D112" s="124" t="s">
        <v>1740</v>
      </c>
      <c r="E112" s="185">
        <v>3369.51</v>
      </c>
      <c r="F112" s="122">
        <f>28640.16</f>
        <v>28640.16</v>
      </c>
      <c r="G112" s="122">
        <f t="shared" si="5"/>
        <v>25270.65</v>
      </c>
      <c r="H112" s="123"/>
    </row>
    <row r="113" customHeight="1" spans="1:8">
      <c r="A113" s="43"/>
      <c r="B113" s="195" t="s">
        <v>120</v>
      </c>
      <c r="C113" s="58">
        <v>4</v>
      </c>
      <c r="D113" s="162"/>
      <c r="E113" s="196">
        <v>40407.12</v>
      </c>
      <c r="F113" s="93">
        <f t="shared" ref="F113" si="9">SUM(F109:F112)</f>
        <v>190286.21</v>
      </c>
      <c r="G113" s="139">
        <f t="shared" si="5"/>
        <v>149879.09</v>
      </c>
      <c r="H113" s="123"/>
    </row>
    <row r="114" customHeight="1" spans="1:8">
      <c r="A114" s="43"/>
      <c r="B114" s="197"/>
      <c r="C114" s="58"/>
      <c r="D114" s="162"/>
      <c r="E114" s="196"/>
      <c r="F114" s="156"/>
      <c r="G114" s="122">
        <f t="shared" si="5"/>
        <v>0</v>
      </c>
    </row>
    <row r="115" customHeight="1" spans="1:8">
      <c r="A115" s="43"/>
      <c r="B115" s="195" t="s">
        <v>1741</v>
      </c>
      <c r="C115" s="43"/>
      <c r="D115" s="43"/>
      <c r="E115" s="135"/>
      <c r="F115" s="43"/>
      <c r="G115" s="122">
        <f t="shared" si="5"/>
        <v>0</v>
      </c>
    </row>
    <row r="116" customHeight="1" spans="1:8">
      <c r="A116" s="43">
        <v>1</v>
      </c>
      <c r="B116" s="183" t="s">
        <v>652</v>
      </c>
      <c r="C116" s="121" t="s">
        <v>241</v>
      </c>
      <c r="D116" s="124" t="s">
        <v>124</v>
      </c>
      <c r="E116" s="185">
        <v>52776.63</v>
      </c>
      <c r="F116" s="122">
        <f>180306.81</f>
        <v>180306.81</v>
      </c>
      <c r="G116" s="122">
        <f t="shared" si="5"/>
        <v>127530.18</v>
      </c>
    </row>
    <row r="117" customHeight="1" spans="1:8">
      <c r="A117" s="43">
        <v>2</v>
      </c>
      <c r="B117" s="183" t="s">
        <v>242</v>
      </c>
      <c r="C117" s="43" t="s">
        <v>243</v>
      </c>
      <c r="D117" s="49" t="s">
        <v>39</v>
      </c>
      <c r="E117" s="185">
        <v>15548.33</v>
      </c>
      <c r="F117" s="122">
        <f>79796.1</f>
        <v>79796.1</v>
      </c>
      <c r="G117" s="122">
        <f t="shared" si="5"/>
        <v>64247.77</v>
      </c>
    </row>
    <row r="118" customHeight="1" spans="1:8">
      <c r="A118" s="43">
        <v>3</v>
      </c>
      <c r="B118" s="183" t="s">
        <v>244</v>
      </c>
      <c r="C118" s="43" t="s">
        <v>653</v>
      </c>
      <c r="D118" s="49" t="s">
        <v>56</v>
      </c>
      <c r="E118" s="185">
        <v>7709.76</v>
      </c>
      <c r="F118" s="122">
        <f>58814.67</f>
        <v>58814.67</v>
      </c>
      <c r="G118" s="122">
        <f t="shared" si="5"/>
        <v>51104.91</v>
      </c>
    </row>
    <row r="119" customHeight="1" spans="1:8">
      <c r="A119" s="43">
        <v>4</v>
      </c>
      <c r="B119" s="188" t="s">
        <v>246</v>
      </c>
      <c r="C119" s="43" t="s">
        <v>653</v>
      </c>
      <c r="D119" s="10" t="s">
        <v>601</v>
      </c>
      <c r="E119" s="189">
        <v>7709.76</v>
      </c>
      <c r="F119" s="85">
        <f>57194.24</f>
        <v>57194.24</v>
      </c>
      <c r="G119" s="122">
        <f t="shared" si="5"/>
        <v>49484.48</v>
      </c>
    </row>
    <row r="120" customHeight="1" spans="1:8">
      <c r="A120" s="43">
        <v>5</v>
      </c>
      <c r="B120" s="183" t="s">
        <v>249</v>
      </c>
      <c r="C120" s="46" t="s">
        <v>250</v>
      </c>
      <c r="D120" s="124" t="s">
        <v>105</v>
      </c>
      <c r="E120" s="185">
        <v>1484.37</v>
      </c>
      <c r="F120" s="122">
        <f>30699.58</f>
        <v>30699.58</v>
      </c>
      <c r="G120" s="122">
        <f t="shared" si="5"/>
        <v>29215.21</v>
      </c>
    </row>
    <row r="121" customHeight="1" spans="1:8">
      <c r="A121" s="43">
        <v>6</v>
      </c>
      <c r="B121" s="194" t="s">
        <v>252</v>
      </c>
      <c r="C121" s="46" t="s">
        <v>250</v>
      </c>
      <c r="D121" s="49" t="s">
        <v>108</v>
      </c>
      <c r="E121" s="185">
        <v>1484.37</v>
      </c>
      <c r="F121" s="122">
        <f>30049.31</f>
        <v>30049.31</v>
      </c>
      <c r="G121" s="122">
        <f t="shared" si="5"/>
        <v>28564.94</v>
      </c>
    </row>
    <row r="122" customHeight="1" spans="1:8">
      <c r="A122" s="43">
        <v>7</v>
      </c>
      <c r="B122" s="191" t="s">
        <v>253</v>
      </c>
      <c r="C122" s="46" t="s">
        <v>250</v>
      </c>
      <c r="D122" s="124" t="s">
        <v>275</v>
      </c>
      <c r="E122" s="185">
        <v>1484.37</v>
      </c>
      <c r="F122" s="122">
        <f>28813.07</f>
        <v>28813.07</v>
      </c>
      <c r="G122" s="122">
        <f t="shared" si="5"/>
        <v>27328.7</v>
      </c>
    </row>
    <row r="123" customHeight="1" spans="1:8">
      <c r="A123" s="43"/>
      <c r="B123" s="195" t="s">
        <v>120</v>
      </c>
      <c r="C123" s="58">
        <v>7</v>
      </c>
      <c r="D123" s="43"/>
      <c r="E123" s="208">
        <v>88197.59</v>
      </c>
      <c r="F123" s="165">
        <f t="shared" ref="F123" si="10">SUM(F116:F122)</f>
        <v>465673.78</v>
      </c>
      <c r="G123" s="139">
        <f t="shared" si="5"/>
        <v>377476.19</v>
      </c>
      <c r="H123" s="199"/>
    </row>
    <row r="124" customHeight="1" spans="1:8">
      <c r="A124" s="43"/>
      <c r="B124" s="197"/>
      <c r="C124" s="49"/>
      <c r="D124" s="43"/>
      <c r="E124" s="135"/>
      <c r="F124" s="56"/>
      <c r="G124" s="122">
        <f t="shared" si="5"/>
        <v>0</v>
      </c>
    </row>
    <row r="125" customHeight="1" spans="1:8">
      <c r="A125" s="43"/>
      <c r="B125" s="195" t="s">
        <v>1742</v>
      </c>
      <c r="C125" s="58"/>
      <c r="D125" s="58"/>
      <c r="E125" s="196"/>
      <c r="F125" s="133"/>
      <c r="G125" s="122">
        <f t="shared" si="5"/>
        <v>0</v>
      </c>
    </row>
    <row r="126" customHeight="1" spans="1:8">
      <c r="A126" s="43">
        <v>1</v>
      </c>
      <c r="B126" s="190" t="s">
        <v>279</v>
      </c>
      <c r="C126" s="121" t="s">
        <v>280</v>
      </c>
      <c r="D126" s="124" t="s">
        <v>124</v>
      </c>
      <c r="E126" s="185">
        <v>52776.63</v>
      </c>
      <c r="F126" s="122">
        <f>179914.45</f>
        <v>179914.45</v>
      </c>
      <c r="G126" s="122">
        <f t="shared" si="5"/>
        <v>127137.82</v>
      </c>
    </row>
    <row r="127" customHeight="1" spans="1:8">
      <c r="A127" s="43">
        <v>2</v>
      </c>
      <c r="B127" s="190" t="s">
        <v>1707</v>
      </c>
      <c r="C127" s="121" t="s">
        <v>1708</v>
      </c>
      <c r="D127" s="124" t="s">
        <v>36</v>
      </c>
      <c r="E127" s="185">
        <v>21618.09</v>
      </c>
      <c r="F127" s="122">
        <f>101827.95</f>
        <v>101827.95</v>
      </c>
      <c r="G127" s="122">
        <f t="shared" si="5"/>
        <v>80209.86</v>
      </c>
    </row>
    <row r="128" customHeight="1" spans="1:8">
      <c r="A128" s="43">
        <v>3</v>
      </c>
      <c r="B128" s="190" t="s">
        <v>281</v>
      </c>
      <c r="C128" s="121" t="s">
        <v>655</v>
      </c>
      <c r="D128" s="124" t="s">
        <v>39</v>
      </c>
      <c r="E128" s="185">
        <v>15548.33</v>
      </c>
      <c r="F128" s="122">
        <f>64436.1</f>
        <v>64436.1</v>
      </c>
      <c r="G128" s="122">
        <f t="shared" si="5"/>
        <v>48887.77</v>
      </c>
    </row>
    <row r="129" customHeight="1" spans="1:8">
      <c r="A129" s="43">
        <v>4</v>
      </c>
      <c r="B129" s="198" t="s">
        <v>283</v>
      </c>
      <c r="C129" s="121" t="s">
        <v>655</v>
      </c>
      <c r="D129" s="124" t="s">
        <v>39</v>
      </c>
      <c r="E129" s="185">
        <v>15548.33</v>
      </c>
      <c r="F129" s="122">
        <f>83636.1</f>
        <v>83636.1</v>
      </c>
      <c r="G129" s="122">
        <f t="shared" si="5"/>
        <v>68087.77</v>
      </c>
    </row>
    <row r="130" customHeight="1" spans="1:8">
      <c r="A130" s="43">
        <v>5</v>
      </c>
      <c r="B130" s="206" t="s">
        <v>930</v>
      </c>
      <c r="C130" s="121" t="s">
        <v>655</v>
      </c>
      <c r="D130" s="124" t="s">
        <v>42</v>
      </c>
      <c r="E130" s="185">
        <v>15548.33</v>
      </c>
      <c r="F130" s="122">
        <f>60212.92</f>
        <v>60212.92</v>
      </c>
      <c r="G130" s="122">
        <f t="shared" si="5"/>
        <v>44664.59</v>
      </c>
    </row>
    <row r="131" customHeight="1" spans="1:8">
      <c r="A131" s="43">
        <v>6</v>
      </c>
      <c r="B131" s="190" t="s">
        <v>286</v>
      </c>
      <c r="C131" s="121" t="s">
        <v>1710</v>
      </c>
      <c r="D131" s="124" t="s">
        <v>601</v>
      </c>
      <c r="E131" s="185">
        <v>7709.76</v>
      </c>
      <c r="F131" s="122">
        <f>40788.51</f>
        <v>40788.51</v>
      </c>
      <c r="G131" s="122">
        <f t="shared" si="5"/>
        <v>33078.75</v>
      </c>
    </row>
    <row r="132" customHeight="1" spans="1:8">
      <c r="A132" s="43">
        <v>7</v>
      </c>
      <c r="B132" s="190" t="s">
        <v>287</v>
      </c>
      <c r="C132" s="121" t="s">
        <v>656</v>
      </c>
      <c r="D132" s="124" t="s">
        <v>218</v>
      </c>
      <c r="E132" s="185">
        <v>7709.76</v>
      </c>
      <c r="F132" s="122">
        <f>44518.93</f>
        <v>44518.93</v>
      </c>
      <c r="G132" s="122">
        <f t="shared" si="5"/>
        <v>36809.17</v>
      </c>
    </row>
    <row r="133" customHeight="1" spans="1:8">
      <c r="A133" s="43">
        <v>8</v>
      </c>
      <c r="B133" s="190" t="s">
        <v>289</v>
      </c>
      <c r="C133" s="121" t="s">
        <v>1547</v>
      </c>
      <c r="D133" s="124" t="s">
        <v>218</v>
      </c>
      <c r="E133" s="185">
        <v>7709.76</v>
      </c>
      <c r="F133" s="122">
        <f>39478.93</f>
        <v>39478.93</v>
      </c>
      <c r="G133" s="122">
        <f t="shared" si="5"/>
        <v>31769.17</v>
      </c>
    </row>
    <row r="134" customHeight="1" spans="1:8">
      <c r="A134" s="43">
        <v>9</v>
      </c>
      <c r="B134" s="191" t="s">
        <v>1709</v>
      </c>
      <c r="C134" s="121" t="s">
        <v>1710</v>
      </c>
      <c r="D134" s="124" t="s">
        <v>602</v>
      </c>
      <c r="E134" s="185">
        <v>7709.76</v>
      </c>
      <c r="F134" s="122">
        <f>38272.44</f>
        <v>38272.44</v>
      </c>
      <c r="G134" s="122">
        <f t="shared" si="5"/>
        <v>30562.68</v>
      </c>
    </row>
    <row r="135" customHeight="1" spans="1:8">
      <c r="A135" s="43">
        <v>10</v>
      </c>
      <c r="B135" s="183" t="s">
        <v>292</v>
      </c>
      <c r="C135" s="121" t="s">
        <v>657</v>
      </c>
      <c r="D135" s="49" t="s">
        <v>225</v>
      </c>
      <c r="E135" s="185">
        <v>3369.51</v>
      </c>
      <c r="F135" s="122">
        <f>21640.95</f>
        <v>21640.95</v>
      </c>
      <c r="G135" s="122">
        <f t="shared" si="5"/>
        <v>18271.44</v>
      </c>
    </row>
    <row r="136" customHeight="1" spans="1:8">
      <c r="A136" s="43">
        <v>11</v>
      </c>
      <c r="B136" s="191" t="s">
        <v>294</v>
      </c>
      <c r="C136" s="121" t="s">
        <v>295</v>
      </c>
      <c r="D136" s="124" t="s">
        <v>275</v>
      </c>
      <c r="E136" s="185">
        <v>1484.37</v>
      </c>
      <c r="F136" s="122">
        <f>25245.23</f>
        <v>25245.23</v>
      </c>
      <c r="G136" s="122">
        <f t="shared" si="5"/>
        <v>23760.86</v>
      </c>
    </row>
    <row r="137" customHeight="1" spans="1:8">
      <c r="A137" s="43"/>
      <c r="B137" s="195" t="s">
        <v>120</v>
      </c>
      <c r="C137" s="162" t="s">
        <v>901</v>
      </c>
      <c r="D137" s="124"/>
      <c r="E137" s="209">
        <v>156732.63</v>
      </c>
      <c r="F137" s="139">
        <f t="shared" ref="F137" si="11">SUM(F126:F136)</f>
        <v>699972.51</v>
      </c>
      <c r="G137" s="139">
        <f t="shared" si="5"/>
        <v>543239.88</v>
      </c>
      <c r="H137" s="199"/>
    </row>
    <row r="138" customHeight="1" spans="1:8">
      <c r="A138" s="43"/>
      <c r="B138" s="197"/>
      <c r="C138" s="162"/>
      <c r="D138" s="124"/>
      <c r="E138" s="185"/>
      <c r="F138" s="133"/>
      <c r="G138" s="122">
        <f t="shared" si="5"/>
        <v>0</v>
      </c>
    </row>
    <row r="139" customHeight="1" spans="1:8">
      <c r="A139" s="43"/>
      <c r="B139" s="195" t="s">
        <v>1743</v>
      </c>
      <c r="C139" s="121"/>
      <c r="D139" s="124"/>
      <c r="E139" s="185"/>
      <c r="F139" s="122"/>
      <c r="G139" s="122">
        <f t="shared" si="5"/>
        <v>0</v>
      </c>
    </row>
    <row r="140" customHeight="1" spans="1:8">
      <c r="A140" s="210">
        <v>1</v>
      </c>
      <c r="B140" s="190" t="s">
        <v>1744</v>
      </c>
      <c r="C140" s="121" t="s">
        <v>1745</v>
      </c>
      <c r="D140" s="124" t="s">
        <v>124</v>
      </c>
      <c r="E140" s="185">
        <v>52776.63</v>
      </c>
      <c r="F140" s="122"/>
      <c r="G140" s="122">
        <f t="shared" ref="G140:G199" si="12">F140-E140</f>
        <v>-52776.63</v>
      </c>
    </row>
    <row r="141" customHeight="1" spans="1:8">
      <c r="A141" s="210">
        <v>2</v>
      </c>
      <c r="B141" s="190" t="s">
        <v>931</v>
      </c>
      <c r="C141" s="121" t="s">
        <v>932</v>
      </c>
      <c r="D141" s="124" t="s">
        <v>124</v>
      </c>
      <c r="E141" s="185">
        <v>52776.63</v>
      </c>
      <c r="F141" s="122">
        <f>161106.81</f>
        <v>161106.81</v>
      </c>
      <c r="G141" s="122">
        <f t="shared" si="12"/>
        <v>108330.18</v>
      </c>
    </row>
    <row r="142" customHeight="1" spans="1:8">
      <c r="A142" s="210">
        <v>3</v>
      </c>
      <c r="B142" s="190" t="s">
        <v>933</v>
      </c>
      <c r="C142" s="121" t="s">
        <v>934</v>
      </c>
      <c r="D142" s="124" t="s">
        <v>36</v>
      </c>
      <c r="E142" s="185">
        <v>21618.09</v>
      </c>
      <c r="F142" s="122">
        <f>82627.95</f>
        <v>82627.95</v>
      </c>
      <c r="G142" s="122">
        <f t="shared" si="12"/>
        <v>61009.86</v>
      </c>
    </row>
    <row r="143" customHeight="1" spans="1:8">
      <c r="A143" s="210">
        <v>4</v>
      </c>
      <c r="B143" s="202" t="s">
        <v>302</v>
      </c>
      <c r="C143" s="4" t="s">
        <v>1746</v>
      </c>
      <c r="D143" s="16" t="s">
        <v>39</v>
      </c>
      <c r="E143" s="189">
        <v>15548.33</v>
      </c>
      <c r="F143" s="85">
        <f>74036.1</f>
        <v>74036.1</v>
      </c>
      <c r="G143" s="122">
        <f t="shared" si="12"/>
        <v>58487.77</v>
      </c>
    </row>
    <row r="144" customHeight="1" spans="1:8">
      <c r="A144" s="210">
        <v>5</v>
      </c>
      <c r="B144" s="202" t="s">
        <v>1747</v>
      </c>
      <c r="C144" s="4" t="s">
        <v>1748</v>
      </c>
      <c r="D144" s="16" t="s">
        <v>39</v>
      </c>
      <c r="E144" s="189">
        <v>15548.33</v>
      </c>
      <c r="F144" s="85"/>
      <c r="G144" s="122">
        <f t="shared" si="12"/>
        <v>-15548.33</v>
      </c>
    </row>
    <row r="145" customHeight="1" spans="1:7">
      <c r="A145" s="210">
        <v>6</v>
      </c>
      <c r="B145" s="190" t="s">
        <v>305</v>
      </c>
      <c r="C145" s="121" t="s">
        <v>935</v>
      </c>
      <c r="D145" s="124" t="s">
        <v>214</v>
      </c>
      <c r="E145" s="185">
        <v>7709.76</v>
      </c>
      <c r="F145" s="122">
        <f>43380.1</f>
        <v>43380.1</v>
      </c>
      <c r="G145" s="122">
        <f t="shared" si="12"/>
        <v>35670.34</v>
      </c>
    </row>
    <row r="146" customHeight="1" spans="1:7">
      <c r="A146" s="210">
        <v>7</v>
      </c>
      <c r="B146" s="190" t="s">
        <v>307</v>
      </c>
      <c r="C146" s="43" t="s">
        <v>311</v>
      </c>
      <c r="D146" s="124" t="s">
        <v>214</v>
      </c>
      <c r="E146" s="185">
        <v>7709.76</v>
      </c>
      <c r="F146" s="122">
        <f>43380.1</f>
        <v>43380.1</v>
      </c>
      <c r="G146" s="122">
        <f t="shared" si="12"/>
        <v>35670.34</v>
      </c>
    </row>
    <row r="147" customHeight="1" spans="1:7">
      <c r="A147" s="210">
        <v>8</v>
      </c>
      <c r="B147" s="190" t="s">
        <v>229</v>
      </c>
      <c r="C147" s="43" t="s">
        <v>937</v>
      </c>
      <c r="D147" s="124" t="s">
        <v>218</v>
      </c>
      <c r="E147" s="185">
        <v>7709.76</v>
      </c>
      <c r="F147" s="122">
        <f>39582.84</f>
        <v>39582.84</v>
      </c>
      <c r="G147" s="122">
        <f t="shared" si="12"/>
        <v>31873.08</v>
      </c>
    </row>
    <row r="148" customHeight="1" spans="1:7">
      <c r="A148" s="210">
        <v>9</v>
      </c>
      <c r="B148" s="183" t="s">
        <v>231</v>
      </c>
      <c r="C148" s="121" t="s">
        <v>936</v>
      </c>
      <c r="D148" s="124" t="s">
        <v>131</v>
      </c>
      <c r="E148" s="185">
        <v>3369.51</v>
      </c>
      <c r="F148" s="122">
        <f>32848.56</f>
        <v>32848.56</v>
      </c>
      <c r="G148" s="122">
        <f t="shared" si="12"/>
        <v>29479.05</v>
      </c>
    </row>
    <row r="149" customHeight="1" spans="1:7">
      <c r="A149" s="210">
        <v>10</v>
      </c>
      <c r="B149" s="190" t="s">
        <v>312</v>
      </c>
      <c r="C149" s="121" t="s">
        <v>936</v>
      </c>
      <c r="D149" s="124" t="s">
        <v>131</v>
      </c>
      <c r="E149" s="185">
        <v>3369.51</v>
      </c>
      <c r="F149" s="122">
        <f>32938.95</f>
        <v>32938.95</v>
      </c>
      <c r="G149" s="122">
        <f t="shared" si="12"/>
        <v>29569.44</v>
      </c>
    </row>
    <row r="150" customHeight="1" spans="1:7">
      <c r="A150" s="210">
        <v>11</v>
      </c>
      <c r="B150" s="183" t="s">
        <v>313</v>
      </c>
      <c r="C150" s="43" t="s">
        <v>937</v>
      </c>
      <c r="D150" s="124" t="s">
        <v>131</v>
      </c>
      <c r="E150" s="185">
        <v>3369.51</v>
      </c>
      <c r="F150" s="122">
        <f>32938.95</f>
        <v>32938.95</v>
      </c>
      <c r="G150" s="122">
        <f t="shared" si="12"/>
        <v>29569.44</v>
      </c>
    </row>
    <row r="151" customHeight="1" spans="1:7">
      <c r="A151" s="210">
        <v>12</v>
      </c>
      <c r="B151" s="183" t="s">
        <v>315</v>
      </c>
      <c r="C151" s="43" t="s">
        <v>939</v>
      </c>
      <c r="D151" s="124" t="s">
        <v>153</v>
      </c>
      <c r="E151" s="185">
        <v>3369.51</v>
      </c>
      <c r="F151" s="122">
        <f>27873.08</f>
        <v>27873.08</v>
      </c>
      <c r="G151" s="122">
        <f t="shared" si="12"/>
        <v>24503.57</v>
      </c>
    </row>
    <row r="152" customHeight="1" spans="1:7">
      <c r="A152" s="210">
        <v>13</v>
      </c>
      <c r="B152" s="183" t="s">
        <v>317</v>
      </c>
      <c r="C152" s="121" t="s">
        <v>1549</v>
      </c>
      <c r="D152" s="124" t="s">
        <v>78</v>
      </c>
      <c r="E152" s="185">
        <v>3369.51</v>
      </c>
      <c r="F152" s="122">
        <f>27029.2</f>
        <v>27029.2</v>
      </c>
      <c r="G152" s="122">
        <f t="shared" si="12"/>
        <v>23659.69</v>
      </c>
    </row>
    <row r="153" customHeight="1" spans="1:7">
      <c r="A153" s="210">
        <v>14</v>
      </c>
      <c r="B153" s="183" t="s">
        <v>62</v>
      </c>
      <c r="C153" s="121" t="s">
        <v>344</v>
      </c>
      <c r="D153" s="124" t="s">
        <v>153</v>
      </c>
      <c r="E153" s="185">
        <v>3369.51</v>
      </c>
      <c r="F153" s="122">
        <f>27794.21</f>
        <v>27794.21</v>
      </c>
      <c r="G153" s="122">
        <f t="shared" si="12"/>
        <v>24424.7</v>
      </c>
    </row>
    <row r="154" customHeight="1" spans="1:7">
      <c r="A154" s="210">
        <v>15</v>
      </c>
      <c r="B154" s="183" t="s">
        <v>1749</v>
      </c>
      <c r="C154" s="43" t="s">
        <v>939</v>
      </c>
      <c r="D154" s="124" t="s">
        <v>75</v>
      </c>
      <c r="E154" s="185">
        <v>1484.37</v>
      </c>
      <c r="F154" s="122">
        <f>26339.08</f>
        <v>26339.08</v>
      </c>
      <c r="G154" s="122">
        <f t="shared" si="12"/>
        <v>24854.71</v>
      </c>
    </row>
    <row r="155" customHeight="1" spans="1:7">
      <c r="A155" s="210">
        <v>16</v>
      </c>
      <c r="B155" s="183" t="s">
        <v>994</v>
      </c>
      <c r="C155" s="43" t="s">
        <v>939</v>
      </c>
      <c r="D155" s="124" t="s">
        <v>75</v>
      </c>
      <c r="E155" s="185">
        <v>1484.37</v>
      </c>
      <c r="F155" s="122">
        <f>26264.39</f>
        <v>26264.39</v>
      </c>
      <c r="G155" s="122">
        <f t="shared" si="12"/>
        <v>24780.02</v>
      </c>
    </row>
    <row r="156" customHeight="1" spans="1:7">
      <c r="A156" s="210">
        <v>17</v>
      </c>
      <c r="B156" s="183" t="s">
        <v>324</v>
      </c>
      <c r="C156" s="43" t="s">
        <v>939</v>
      </c>
      <c r="D156" s="124" t="s">
        <v>75</v>
      </c>
      <c r="E156" s="185">
        <v>1484.37</v>
      </c>
      <c r="F156" s="122">
        <f>26339.08</f>
        <v>26339.08</v>
      </c>
      <c r="G156" s="122">
        <f t="shared" si="12"/>
        <v>24854.71</v>
      </c>
    </row>
    <row r="157" customHeight="1" spans="1:7">
      <c r="A157" s="210">
        <v>18</v>
      </c>
      <c r="B157" s="183" t="s">
        <v>325</v>
      </c>
      <c r="C157" s="121" t="s">
        <v>326</v>
      </c>
      <c r="D157" s="124" t="s">
        <v>81</v>
      </c>
      <c r="E157" s="185">
        <v>3369.51</v>
      </c>
      <c r="F157" s="122">
        <f>25571.82</f>
        <v>25571.82</v>
      </c>
      <c r="G157" s="122">
        <f t="shared" si="12"/>
        <v>22202.31</v>
      </c>
    </row>
    <row r="158" customHeight="1" spans="1:7">
      <c r="A158" s="210">
        <v>19</v>
      </c>
      <c r="B158" s="183" t="s">
        <v>1533</v>
      </c>
      <c r="C158" s="121" t="s">
        <v>328</v>
      </c>
      <c r="D158" s="49" t="s">
        <v>225</v>
      </c>
      <c r="E158" s="185">
        <v>3369.51</v>
      </c>
      <c r="F158" s="122">
        <f>21640.95</f>
        <v>21640.95</v>
      </c>
      <c r="G158" s="122">
        <f t="shared" si="12"/>
        <v>18271.44</v>
      </c>
    </row>
    <row r="159" customHeight="1" spans="1:7">
      <c r="A159" s="210">
        <v>20</v>
      </c>
      <c r="B159" s="183" t="s">
        <v>329</v>
      </c>
      <c r="C159" s="121" t="s">
        <v>344</v>
      </c>
      <c r="D159" s="124" t="s">
        <v>105</v>
      </c>
      <c r="E159" s="185">
        <v>1484.37</v>
      </c>
      <c r="F159" s="122">
        <f>18102.9</f>
        <v>18102.9</v>
      </c>
      <c r="G159" s="122">
        <f t="shared" si="12"/>
        <v>16618.53</v>
      </c>
    </row>
    <row r="160" customHeight="1" spans="1:7">
      <c r="A160" s="210">
        <v>21</v>
      </c>
      <c r="B160" s="183" t="s">
        <v>331</v>
      </c>
      <c r="C160" s="121" t="s">
        <v>1750</v>
      </c>
      <c r="D160" s="124" t="s">
        <v>105</v>
      </c>
      <c r="E160" s="185">
        <v>1484.37</v>
      </c>
      <c r="F160" s="122">
        <f>18102.9</f>
        <v>18102.9</v>
      </c>
      <c r="G160" s="122">
        <f t="shared" si="12"/>
        <v>16618.53</v>
      </c>
    </row>
    <row r="161" customHeight="1" spans="1:7">
      <c r="A161" s="210">
        <v>22</v>
      </c>
      <c r="B161" s="183" t="s">
        <v>333</v>
      </c>
      <c r="C161" s="121" t="s">
        <v>344</v>
      </c>
      <c r="D161" s="124" t="s">
        <v>105</v>
      </c>
      <c r="E161" s="185">
        <v>1484.37</v>
      </c>
      <c r="F161" s="122">
        <f>18051.63</f>
        <v>18051.63</v>
      </c>
      <c r="G161" s="122">
        <f t="shared" si="12"/>
        <v>16567.26</v>
      </c>
    </row>
    <row r="162" customHeight="1" spans="1:7">
      <c r="A162" s="210">
        <v>23</v>
      </c>
      <c r="B162" s="183" t="s">
        <v>334</v>
      </c>
      <c r="C162" s="121" t="s">
        <v>664</v>
      </c>
      <c r="D162" s="124" t="s">
        <v>105</v>
      </c>
      <c r="E162" s="185">
        <v>1484.37</v>
      </c>
      <c r="F162" s="122">
        <f>18102.9</f>
        <v>18102.9</v>
      </c>
      <c r="G162" s="122">
        <f t="shared" si="12"/>
        <v>16618.53</v>
      </c>
    </row>
    <row r="163" customHeight="1" spans="1:7">
      <c r="A163" s="210">
        <v>24</v>
      </c>
      <c r="B163" s="191" t="s">
        <v>336</v>
      </c>
      <c r="C163" s="121" t="s">
        <v>346</v>
      </c>
      <c r="D163" s="124" t="s">
        <v>1730</v>
      </c>
      <c r="E163" s="185">
        <v>3369.51</v>
      </c>
      <c r="F163" s="122">
        <f>17572.89</f>
        <v>17572.89</v>
      </c>
      <c r="G163" s="122">
        <f t="shared" si="12"/>
        <v>14203.38</v>
      </c>
    </row>
    <row r="164" customHeight="1" spans="1:7">
      <c r="A164" s="210">
        <v>25</v>
      </c>
      <c r="B164" s="191" t="s">
        <v>1711</v>
      </c>
      <c r="C164" s="121" t="s">
        <v>344</v>
      </c>
      <c r="D164" s="124" t="s">
        <v>275</v>
      </c>
      <c r="E164" s="185">
        <v>1484.37</v>
      </c>
      <c r="F164" s="122">
        <f>16512.68</f>
        <v>16512.68</v>
      </c>
      <c r="G164" s="122">
        <f t="shared" si="12"/>
        <v>15028.31</v>
      </c>
    </row>
    <row r="165" customHeight="1" spans="1:7">
      <c r="A165" s="210">
        <v>26</v>
      </c>
      <c r="B165" s="191" t="s">
        <v>343</v>
      </c>
      <c r="C165" s="121" t="s">
        <v>344</v>
      </c>
      <c r="D165" s="124" t="s">
        <v>275</v>
      </c>
      <c r="E165" s="185">
        <v>1484.37</v>
      </c>
      <c r="F165" s="122">
        <f>16512.68</f>
        <v>16512.68</v>
      </c>
      <c r="G165" s="122">
        <f t="shared" si="12"/>
        <v>15028.31</v>
      </c>
    </row>
    <row r="166" customHeight="1" spans="1:7">
      <c r="A166" s="210">
        <v>27</v>
      </c>
      <c r="B166" s="191" t="s">
        <v>345</v>
      </c>
      <c r="C166" s="121" t="s">
        <v>346</v>
      </c>
      <c r="D166" s="124" t="s">
        <v>275</v>
      </c>
      <c r="E166" s="185">
        <v>1484.37</v>
      </c>
      <c r="F166" s="122">
        <f>16512.68</f>
        <v>16512.68</v>
      </c>
      <c r="G166" s="122">
        <f t="shared" si="12"/>
        <v>15028.31</v>
      </c>
    </row>
    <row r="167" customHeight="1" spans="1:7">
      <c r="A167" s="210">
        <v>28</v>
      </c>
      <c r="B167" s="191" t="s">
        <v>347</v>
      </c>
      <c r="C167" s="121" t="s">
        <v>348</v>
      </c>
      <c r="D167" s="124" t="s">
        <v>275</v>
      </c>
      <c r="E167" s="185">
        <v>1484.37</v>
      </c>
      <c r="F167" s="122">
        <f>16512.68</f>
        <v>16512.68</v>
      </c>
      <c r="G167" s="122">
        <f t="shared" si="12"/>
        <v>15028.31</v>
      </c>
    </row>
    <row r="168" customHeight="1" spans="1:7">
      <c r="A168" s="210">
        <v>29</v>
      </c>
      <c r="B168" s="191" t="s">
        <v>349</v>
      </c>
      <c r="C168" s="121" t="s">
        <v>665</v>
      </c>
      <c r="D168" s="124" t="s">
        <v>275</v>
      </c>
      <c r="E168" s="185">
        <v>1484.37</v>
      </c>
      <c r="F168" s="122">
        <f>16512.68</f>
        <v>16512.68</v>
      </c>
      <c r="G168" s="122">
        <f t="shared" si="12"/>
        <v>15028.31</v>
      </c>
    </row>
    <row r="169" customHeight="1" spans="1:7">
      <c r="A169" s="210">
        <v>30</v>
      </c>
      <c r="B169" s="190" t="s">
        <v>359</v>
      </c>
      <c r="C169" s="121" t="s">
        <v>512</v>
      </c>
      <c r="D169" s="124" t="s">
        <v>606</v>
      </c>
      <c r="E169" s="185">
        <v>236.04</v>
      </c>
      <c r="F169" s="122">
        <f>9117.05</f>
        <v>9117.05</v>
      </c>
      <c r="G169" s="122">
        <f t="shared" si="12"/>
        <v>8881.01</v>
      </c>
    </row>
    <row r="170" customHeight="1" spans="1:7">
      <c r="A170" s="210">
        <v>31</v>
      </c>
      <c r="B170" s="190" t="s">
        <v>362</v>
      </c>
      <c r="C170" s="121" t="s">
        <v>512</v>
      </c>
      <c r="D170" s="124" t="s">
        <v>606</v>
      </c>
      <c r="E170" s="185">
        <v>236.04</v>
      </c>
      <c r="F170" s="122">
        <f>9504.2</f>
        <v>9504.2</v>
      </c>
      <c r="G170" s="122">
        <f t="shared" si="12"/>
        <v>9268.16</v>
      </c>
    </row>
    <row r="171" customHeight="1" spans="1:7">
      <c r="A171" s="210">
        <v>32</v>
      </c>
      <c r="B171" s="190" t="s">
        <v>666</v>
      </c>
      <c r="C171" s="121" t="s">
        <v>512</v>
      </c>
      <c r="D171" s="124" t="s">
        <v>606</v>
      </c>
      <c r="E171" s="185">
        <v>236.04</v>
      </c>
      <c r="F171" s="122">
        <f>9144.2</f>
        <v>9144.2</v>
      </c>
      <c r="G171" s="122">
        <f t="shared" si="12"/>
        <v>8908.16</v>
      </c>
    </row>
    <row r="172" customHeight="1" spans="1:7">
      <c r="A172" s="210">
        <v>33</v>
      </c>
      <c r="B172" s="190" t="s">
        <v>1259</v>
      </c>
      <c r="C172" s="121" t="s">
        <v>512</v>
      </c>
      <c r="D172" s="124" t="s">
        <v>606</v>
      </c>
      <c r="E172" s="185">
        <v>236.04</v>
      </c>
      <c r="F172" s="122">
        <f>9144.2</f>
        <v>9144.2</v>
      </c>
      <c r="G172" s="122">
        <f t="shared" si="12"/>
        <v>8908.16</v>
      </c>
    </row>
    <row r="173" customHeight="1" spans="1:7">
      <c r="A173" s="210">
        <v>34</v>
      </c>
      <c r="B173" s="190" t="s">
        <v>1257</v>
      </c>
      <c r="C173" s="121" t="s">
        <v>512</v>
      </c>
      <c r="D173" s="124" t="s">
        <v>606</v>
      </c>
      <c r="E173" s="185">
        <v>236.04</v>
      </c>
      <c r="F173" s="122">
        <f>9144.2</f>
        <v>9144.2</v>
      </c>
      <c r="G173" s="122">
        <f t="shared" si="12"/>
        <v>8908.16</v>
      </c>
    </row>
    <row r="174" customHeight="1" spans="1:7">
      <c r="A174" s="210">
        <v>35</v>
      </c>
      <c r="B174" s="190" t="s">
        <v>363</v>
      </c>
      <c r="C174" s="121" t="s">
        <v>512</v>
      </c>
      <c r="D174" s="124" t="s">
        <v>606</v>
      </c>
      <c r="E174" s="185">
        <v>236.04</v>
      </c>
      <c r="F174" s="122">
        <f>9117.05</f>
        <v>9117.05</v>
      </c>
      <c r="G174" s="122">
        <f t="shared" si="12"/>
        <v>8881.01</v>
      </c>
    </row>
    <row r="175" customHeight="1" spans="1:7">
      <c r="A175" s="210">
        <v>36</v>
      </c>
      <c r="B175" s="190" t="s">
        <v>364</v>
      </c>
      <c r="C175" s="121" t="s">
        <v>512</v>
      </c>
      <c r="D175" s="124" t="s">
        <v>606</v>
      </c>
      <c r="E175" s="185">
        <v>236.04</v>
      </c>
      <c r="F175" s="122">
        <f>9144.2</f>
        <v>9144.2</v>
      </c>
      <c r="G175" s="122">
        <f t="shared" si="12"/>
        <v>8908.16</v>
      </c>
    </row>
    <row r="176" customHeight="1" spans="1:7">
      <c r="A176" s="210">
        <v>37</v>
      </c>
      <c r="B176" s="190" t="s">
        <v>365</v>
      </c>
      <c r="C176" s="121" t="s">
        <v>387</v>
      </c>
      <c r="D176" s="124" t="s">
        <v>1751</v>
      </c>
      <c r="E176" s="185">
        <v>236.04</v>
      </c>
      <c r="F176" s="122">
        <f>4692.33</f>
        <v>4692.33</v>
      </c>
      <c r="G176" s="122">
        <f t="shared" si="12"/>
        <v>4456.29</v>
      </c>
    </row>
    <row r="177" customHeight="1" spans="1:7">
      <c r="A177" s="210">
        <v>38</v>
      </c>
      <c r="B177" s="190" t="s">
        <v>367</v>
      </c>
      <c r="C177" s="121" t="s">
        <v>387</v>
      </c>
      <c r="D177" s="124" t="s">
        <v>1751</v>
      </c>
      <c r="E177" s="185">
        <v>236.04</v>
      </c>
      <c r="F177" s="122">
        <f>4377.04</f>
        <v>4377.04</v>
      </c>
      <c r="G177" s="122">
        <f t="shared" si="12"/>
        <v>4141</v>
      </c>
    </row>
    <row r="178" customHeight="1" spans="1:7">
      <c r="A178" s="210">
        <v>39</v>
      </c>
      <c r="B178" s="190" t="s">
        <v>1690</v>
      </c>
      <c r="C178" s="121" t="s">
        <v>387</v>
      </c>
      <c r="D178" s="124" t="s">
        <v>1751</v>
      </c>
      <c r="E178" s="185">
        <v>236.04</v>
      </c>
      <c r="F178" s="122">
        <f>4377.04</f>
        <v>4377.04</v>
      </c>
      <c r="G178" s="122">
        <f t="shared" si="12"/>
        <v>4141</v>
      </c>
    </row>
    <row r="179" customHeight="1" spans="1:7">
      <c r="A179" s="210">
        <v>40</v>
      </c>
      <c r="B179" s="198" t="s">
        <v>368</v>
      </c>
      <c r="C179" s="121" t="s">
        <v>387</v>
      </c>
      <c r="D179" s="124" t="s">
        <v>1751</v>
      </c>
      <c r="E179" s="185">
        <v>236.04</v>
      </c>
      <c r="F179" s="122">
        <f>4692.33</f>
        <v>4692.33</v>
      </c>
      <c r="G179" s="122">
        <f t="shared" si="12"/>
        <v>4456.29</v>
      </c>
    </row>
    <row r="180" customHeight="1" spans="1:7">
      <c r="A180" s="210">
        <v>41</v>
      </c>
      <c r="B180" s="183" t="s">
        <v>369</v>
      </c>
      <c r="C180" s="121" t="s">
        <v>387</v>
      </c>
      <c r="D180" s="124" t="s">
        <v>1751</v>
      </c>
      <c r="E180" s="185">
        <v>236.04</v>
      </c>
      <c r="F180" s="122">
        <f>4377.04</f>
        <v>4377.04</v>
      </c>
      <c r="G180" s="122">
        <f t="shared" si="12"/>
        <v>4141</v>
      </c>
    </row>
    <row r="181" customHeight="1" spans="1:7">
      <c r="A181" s="210">
        <v>42</v>
      </c>
      <c r="B181" s="211" t="s">
        <v>370</v>
      </c>
      <c r="C181" s="121" t="s">
        <v>387</v>
      </c>
      <c r="D181" s="124" t="s">
        <v>1751</v>
      </c>
      <c r="E181" s="185">
        <v>236.04</v>
      </c>
      <c r="F181" s="122">
        <f>4377.04</f>
        <v>4377.04</v>
      </c>
      <c r="G181" s="122">
        <f t="shared" si="12"/>
        <v>4141</v>
      </c>
    </row>
    <row r="182" customHeight="1" spans="1:7">
      <c r="A182" s="210">
        <v>43</v>
      </c>
      <c r="B182" s="211" t="s">
        <v>357</v>
      </c>
      <c r="C182" s="121" t="s">
        <v>387</v>
      </c>
      <c r="D182" s="124" t="s">
        <v>1751</v>
      </c>
      <c r="E182" s="185">
        <v>236.04</v>
      </c>
      <c r="F182" s="122">
        <f>4692.33</f>
        <v>4692.33</v>
      </c>
      <c r="G182" s="122">
        <f t="shared" si="12"/>
        <v>4456.29</v>
      </c>
    </row>
    <row r="183" customHeight="1" spans="1:7">
      <c r="A183" s="210">
        <v>44</v>
      </c>
      <c r="B183" s="183" t="s">
        <v>371</v>
      </c>
      <c r="C183" s="121" t="s">
        <v>387</v>
      </c>
      <c r="D183" s="124" t="s">
        <v>403</v>
      </c>
      <c r="E183" s="185">
        <v>236.04</v>
      </c>
      <c r="F183" s="122">
        <f>4227.52</f>
        <v>4227.52</v>
      </c>
      <c r="G183" s="122">
        <f t="shared" si="12"/>
        <v>3991.48</v>
      </c>
    </row>
    <row r="184" customHeight="1" spans="1:7">
      <c r="A184" s="210">
        <v>45</v>
      </c>
      <c r="B184" s="183" t="s">
        <v>373</v>
      </c>
      <c r="C184" s="121" t="s">
        <v>387</v>
      </c>
      <c r="D184" s="124" t="s">
        <v>403</v>
      </c>
      <c r="E184" s="185">
        <v>236.04</v>
      </c>
      <c r="F184" s="122">
        <f>4227.52</f>
        <v>4227.52</v>
      </c>
      <c r="G184" s="122">
        <f t="shared" si="12"/>
        <v>3991.48</v>
      </c>
    </row>
    <row r="185" customHeight="1" spans="1:7">
      <c r="A185" s="210">
        <v>46</v>
      </c>
      <c r="B185" s="211" t="s">
        <v>374</v>
      </c>
      <c r="C185" s="121" t="s">
        <v>387</v>
      </c>
      <c r="D185" s="124" t="s">
        <v>608</v>
      </c>
      <c r="E185" s="185">
        <v>236.04</v>
      </c>
      <c r="F185" s="122">
        <f>4365.33</f>
        <v>4365.33</v>
      </c>
      <c r="G185" s="122">
        <f t="shared" si="12"/>
        <v>4129.29</v>
      </c>
    </row>
    <row r="186" customHeight="1" spans="1:7">
      <c r="A186" s="210">
        <v>47</v>
      </c>
      <c r="B186" s="183" t="s">
        <v>376</v>
      </c>
      <c r="C186" s="121" t="s">
        <v>387</v>
      </c>
      <c r="D186" s="124" t="s">
        <v>391</v>
      </c>
      <c r="E186" s="185">
        <v>236.04</v>
      </c>
      <c r="F186" s="122">
        <f>4089.72</f>
        <v>4089.72</v>
      </c>
      <c r="G186" s="122">
        <f t="shared" si="12"/>
        <v>3853.68</v>
      </c>
    </row>
    <row r="187" customHeight="1" spans="1:7">
      <c r="A187" s="210">
        <v>48</v>
      </c>
      <c r="B187" s="183" t="s">
        <v>378</v>
      </c>
      <c r="C187" s="121" t="s">
        <v>514</v>
      </c>
      <c r="D187" s="124" t="s">
        <v>1752</v>
      </c>
      <c r="E187" s="185">
        <v>236.04</v>
      </c>
      <c r="F187" s="122">
        <f>3951.8</f>
        <v>3951.8</v>
      </c>
      <c r="G187" s="122">
        <f t="shared" si="12"/>
        <v>3715.76</v>
      </c>
    </row>
    <row r="188" customHeight="1" spans="1:7">
      <c r="A188" s="210">
        <v>49</v>
      </c>
      <c r="B188" s="183" t="s">
        <v>379</v>
      </c>
      <c r="C188" s="121" t="s">
        <v>514</v>
      </c>
      <c r="D188" s="124" t="s">
        <v>1752</v>
      </c>
      <c r="E188" s="185">
        <v>236.04</v>
      </c>
      <c r="F188" s="122">
        <f>3687.8</f>
        <v>3687.8</v>
      </c>
      <c r="G188" s="122">
        <f t="shared" si="12"/>
        <v>3451.76</v>
      </c>
    </row>
    <row r="189" customHeight="1" spans="1:7">
      <c r="A189" s="210">
        <v>50</v>
      </c>
      <c r="B189" s="183" t="s">
        <v>380</v>
      </c>
      <c r="C189" s="121" t="s">
        <v>514</v>
      </c>
      <c r="D189" s="124" t="s">
        <v>1752</v>
      </c>
      <c r="E189" s="185">
        <v>236.04</v>
      </c>
      <c r="F189" s="122">
        <f>3951.8</f>
        <v>3951.8</v>
      </c>
      <c r="G189" s="122">
        <f t="shared" si="12"/>
        <v>3715.76</v>
      </c>
    </row>
    <row r="190" customHeight="1" spans="1:7">
      <c r="A190" s="210">
        <v>51</v>
      </c>
      <c r="B190" s="183" t="s">
        <v>381</v>
      </c>
      <c r="C190" s="121" t="s">
        <v>514</v>
      </c>
      <c r="D190" s="124" t="s">
        <v>1752</v>
      </c>
      <c r="E190" s="185">
        <v>236.04</v>
      </c>
      <c r="F190" s="122">
        <f>3687.8</f>
        <v>3687.8</v>
      </c>
      <c r="G190" s="122">
        <f t="shared" si="12"/>
        <v>3451.76</v>
      </c>
    </row>
    <row r="191" customHeight="1" spans="1:7">
      <c r="A191" s="210">
        <v>52</v>
      </c>
      <c r="B191" s="183" t="s">
        <v>382</v>
      </c>
      <c r="C191" s="121" t="s">
        <v>514</v>
      </c>
      <c r="D191" s="124" t="s">
        <v>1752</v>
      </c>
      <c r="E191" s="185">
        <v>236.04</v>
      </c>
      <c r="F191" s="122">
        <f>3951.8</f>
        <v>3951.8</v>
      </c>
      <c r="G191" s="122">
        <f t="shared" si="12"/>
        <v>3715.76</v>
      </c>
    </row>
    <row r="192" customHeight="1" spans="1:7">
      <c r="A192" s="210">
        <v>53</v>
      </c>
      <c r="B192" s="211" t="s">
        <v>383</v>
      </c>
      <c r="C192" s="121" t="s">
        <v>514</v>
      </c>
      <c r="D192" s="124" t="s">
        <v>393</v>
      </c>
      <c r="E192" s="185">
        <v>236.04</v>
      </c>
      <c r="F192" s="122">
        <f>3687.8</f>
        <v>3687.8</v>
      </c>
      <c r="G192" s="122">
        <f t="shared" si="12"/>
        <v>3451.76</v>
      </c>
    </row>
    <row r="193" customHeight="1" spans="1:8">
      <c r="A193" s="210">
        <v>54</v>
      </c>
      <c r="B193" s="211" t="s">
        <v>385</v>
      </c>
      <c r="C193" s="121" t="s">
        <v>514</v>
      </c>
      <c r="D193" s="124" t="s">
        <v>393</v>
      </c>
      <c r="E193" s="185">
        <v>236.04</v>
      </c>
      <c r="F193" s="122">
        <f>3951.8</f>
        <v>3951.8</v>
      </c>
      <c r="G193" s="122">
        <f t="shared" si="12"/>
        <v>3715.76</v>
      </c>
    </row>
    <row r="194" customHeight="1" spans="1:8">
      <c r="A194" s="210">
        <v>55</v>
      </c>
      <c r="B194" s="190" t="s">
        <v>668</v>
      </c>
      <c r="C194" s="121" t="s">
        <v>514</v>
      </c>
      <c r="D194" s="124" t="s">
        <v>398</v>
      </c>
      <c r="E194" s="185">
        <v>236.04</v>
      </c>
      <c r="F194" s="122">
        <f>3447.66</f>
        <v>3447.66</v>
      </c>
      <c r="G194" s="122">
        <f t="shared" si="12"/>
        <v>3211.62</v>
      </c>
    </row>
    <row r="195" customHeight="1" spans="1:8">
      <c r="A195" s="210">
        <v>56</v>
      </c>
      <c r="B195" s="190" t="s">
        <v>386</v>
      </c>
      <c r="C195" s="121" t="s">
        <v>514</v>
      </c>
      <c r="D195" s="124" t="s">
        <v>398</v>
      </c>
      <c r="E195" s="185">
        <v>236.04</v>
      </c>
      <c r="F195" s="122">
        <f>3447.66</f>
        <v>3447.66</v>
      </c>
      <c r="G195" s="122">
        <f t="shared" si="12"/>
        <v>3211.62</v>
      </c>
    </row>
    <row r="196" customHeight="1" spans="1:8">
      <c r="A196" s="210">
        <v>57</v>
      </c>
      <c r="B196" s="211" t="s">
        <v>358</v>
      </c>
      <c r="C196" s="121" t="s">
        <v>514</v>
      </c>
      <c r="D196" s="124" t="s">
        <v>398</v>
      </c>
      <c r="E196" s="185">
        <v>236.04</v>
      </c>
      <c r="F196" s="122">
        <f>3183.66</f>
        <v>3183.66</v>
      </c>
      <c r="G196" s="122">
        <f t="shared" si="12"/>
        <v>2947.62</v>
      </c>
    </row>
    <row r="197" customHeight="1" spans="1:8">
      <c r="A197" s="210">
        <v>58</v>
      </c>
      <c r="B197" s="211" t="s">
        <v>392</v>
      </c>
      <c r="C197" s="121" t="s">
        <v>514</v>
      </c>
      <c r="D197" s="124" t="s">
        <v>940</v>
      </c>
      <c r="E197" s="185">
        <v>236.04</v>
      </c>
      <c r="F197" s="122">
        <f>2972.91</f>
        <v>2972.91</v>
      </c>
      <c r="G197" s="122">
        <f t="shared" si="12"/>
        <v>2736.87</v>
      </c>
    </row>
    <row r="198" customHeight="1" spans="1:8">
      <c r="A198" s="210"/>
      <c r="B198" s="117" t="s">
        <v>120</v>
      </c>
      <c r="C198" s="172" t="s">
        <v>1753</v>
      </c>
      <c r="D198" s="173"/>
      <c r="E198" s="212">
        <v>236380.48</v>
      </c>
      <c r="F198" s="139">
        <f t="shared" ref="F198" si="13">SUM(F140:F197)</f>
        <v>1076921.62</v>
      </c>
      <c r="G198" s="133">
        <f t="shared" si="12"/>
        <v>840541.14</v>
      </c>
    </row>
    <row r="199" customHeight="1" spans="1:8">
      <c r="A199" s="43"/>
      <c r="B199" s="174" t="s">
        <v>406</v>
      </c>
      <c r="C199" s="175">
        <f>C43+C48+C63+C68+C84+C91+C106+C113+C123+C137+C198</f>
        <v>157</v>
      </c>
      <c r="D199" s="176"/>
      <c r="E199" s="209">
        <v>1513919.94</v>
      </c>
      <c r="F199" s="139">
        <f>F43+F48+F63+F68+F84+F91+F106+F113+F123+F137+F198</f>
        <v>6976828.12516129</v>
      </c>
      <c r="G199" s="139">
        <f t="shared" si="12"/>
        <v>5462908.18516129</v>
      </c>
      <c r="H199" s="199"/>
    </row>
    <row r="200" customHeight="1" spans="1:8">
      <c r="A200" s="43"/>
      <c r="B200" s="178"/>
      <c r="C200" s="174"/>
      <c r="D200" s="178"/>
      <c r="E200" s="178"/>
      <c r="F200" s="179"/>
      <c r="G200" s="179"/>
    </row>
    <row r="201" customHeight="1" spans="1:8">
      <c r="A201" s="43"/>
      <c r="B201" s="178"/>
      <c r="C201" s="180" t="s">
        <v>1754</v>
      </c>
      <c r="D201" s="180"/>
      <c r="E201" s="180"/>
      <c r="F201" s="179"/>
      <c r="G201" s="179"/>
    </row>
    <row r="202" customHeight="1" spans="1:8">
      <c r="A202" s="43"/>
      <c r="B202" s="178"/>
      <c r="C202" s="180"/>
      <c r="D202" s="180"/>
      <c r="E202" s="180"/>
      <c r="F202" s="179"/>
      <c r="G202" s="179"/>
    </row>
    <row r="203" customHeight="1" spans="1:8">
      <c r="B203" s="181"/>
      <c r="C203" s="181"/>
      <c r="D203" s="181"/>
      <c r="E203" s="181"/>
      <c r="F203" s="181"/>
      <c r="G203" s="181"/>
    </row>
    <row r="204" customHeight="1" spans="1:8">
      <c r="B204" s="181"/>
      <c r="C204" s="181"/>
      <c r="D204" s="181"/>
      <c r="E204" s="181"/>
      <c r="F204" s="181"/>
      <c r="G204" s="181"/>
    </row>
    <row r="205" customHeight="1" spans="1:8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1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1715</v>
      </c>
    </row>
    <row r="2" ht="5.25" customHeight="1" spans="1:33"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customHeight="1" spans="1:33">
      <c r="B3" s="108" t="s">
        <v>1755</v>
      </c>
      <c r="C3" s="108"/>
      <c r="D3" s="108"/>
      <c r="E3" s="108"/>
      <c r="F3" s="108"/>
      <c r="G3" s="108"/>
      <c r="H3" s="108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ht="2.25" customHeight="1" spans="1:33">
      <c r="F4" s="111">
        <f>'[1]FEB 08'!E8/'[1]FEB 08'!M8</f>
        <v>0.22</v>
      </c>
      <c r="G4" s="111"/>
      <c r="H4" s="111"/>
      <c r="I4" s="111">
        <f>'[1]FEB 08'!F8/'[1]FEB 08'!Q8</f>
        <v>0.3</v>
      </c>
      <c r="J4" s="111"/>
      <c r="K4" s="111"/>
      <c r="L4" s="111"/>
      <c r="M4" s="111"/>
      <c r="N4" s="111"/>
      <c r="O4" s="111"/>
      <c r="P4" s="111"/>
      <c r="Q4" s="111"/>
      <c r="R4" s="111"/>
    </row>
    <row r="5" customHeight="1" spans="1:33">
      <c r="B5" s="108" t="s">
        <v>2</v>
      </c>
      <c r="C5" s="108"/>
      <c r="D5" s="112"/>
      <c r="E5" s="112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2"/>
      <c r="V5" s="112"/>
      <c r="W5" s="112"/>
      <c r="X5" s="112"/>
      <c r="Y5" s="112"/>
      <c r="Z5" s="112"/>
      <c r="AA5" s="112"/>
      <c r="AB5" s="112"/>
    </row>
    <row r="6" ht="35.45" customHeight="1" spans="1:33">
      <c r="A6" s="43"/>
      <c r="B6" s="55"/>
      <c r="C6" s="55"/>
      <c r="D6" s="55" t="s">
        <v>3</v>
      </c>
      <c r="E6" s="55" t="s">
        <v>1717</v>
      </c>
      <c r="F6" s="57" t="s">
        <v>1756</v>
      </c>
      <c r="G6" s="43"/>
      <c r="H6" s="57"/>
      <c r="I6" s="57"/>
      <c r="J6" s="57"/>
      <c r="K6" s="57"/>
      <c r="L6" s="57"/>
      <c r="M6" s="57" t="s">
        <v>1757</v>
      </c>
      <c r="N6" s="57" t="s">
        <v>1758</v>
      </c>
      <c r="O6" s="57" t="s">
        <v>1759</v>
      </c>
      <c r="P6" s="57" t="s">
        <v>1760</v>
      </c>
      <c r="Q6" s="57" t="s">
        <v>1761</v>
      </c>
      <c r="R6" s="57" t="s">
        <v>1762</v>
      </c>
      <c r="S6" s="57" t="s">
        <v>1763</v>
      </c>
      <c r="T6" s="57" t="s">
        <v>1764</v>
      </c>
      <c r="U6" s="57" t="s">
        <v>1116</v>
      </c>
      <c r="V6" s="57"/>
      <c r="W6" s="57"/>
      <c r="X6" s="57"/>
      <c r="Y6" s="58"/>
      <c r="Z6" s="58"/>
      <c r="AA6" s="114"/>
      <c r="AB6" s="114"/>
    </row>
    <row r="7" ht="48" customHeight="1" spans="1:33">
      <c r="A7" s="43"/>
      <c r="B7" s="58"/>
      <c r="C7" s="58"/>
      <c r="D7" s="55"/>
      <c r="E7" s="55" t="s">
        <v>1718</v>
      </c>
      <c r="F7" s="57" t="s">
        <v>831</v>
      </c>
      <c r="G7" s="115" t="s">
        <v>1765</v>
      </c>
      <c r="H7" s="57" t="s">
        <v>523</v>
      </c>
      <c r="I7" s="57" t="s">
        <v>1163</v>
      </c>
      <c r="J7" s="57" t="s">
        <v>1164</v>
      </c>
      <c r="K7" s="57" t="s">
        <v>1165</v>
      </c>
      <c r="L7" s="57" t="s">
        <v>1166</v>
      </c>
      <c r="M7" s="57" t="s">
        <v>1167</v>
      </c>
      <c r="N7" s="57" t="s">
        <v>7</v>
      </c>
      <c r="O7" s="57" t="s">
        <v>7</v>
      </c>
      <c r="P7" s="57" t="s">
        <v>1168</v>
      </c>
      <c r="Q7" s="57" t="s">
        <v>1168</v>
      </c>
      <c r="R7" s="57" t="s">
        <v>8</v>
      </c>
      <c r="S7" s="57" t="s">
        <v>831</v>
      </c>
      <c r="T7" s="115" t="s">
        <v>831</v>
      </c>
      <c r="U7" s="115"/>
      <c r="V7" s="115"/>
      <c r="W7" s="57" t="s">
        <v>1114</v>
      </c>
      <c r="X7" s="115" t="s">
        <v>1050</v>
      </c>
      <c r="Y7" s="57" t="s">
        <v>1116</v>
      </c>
      <c r="Z7" s="57"/>
      <c r="AA7" s="57"/>
      <c r="AB7" s="57"/>
    </row>
    <row r="8" customHeight="1" spans="1:33">
      <c r="A8" s="42" t="s">
        <v>22</v>
      </c>
      <c r="B8" s="116" t="s">
        <v>1766</v>
      </c>
      <c r="C8" s="116"/>
      <c r="D8" s="117"/>
      <c r="E8" s="117"/>
      <c r="F8" s="118" t="s">
        <v>21</v>
      </c>
      <c r="G8" s="58"/>
      <c r="H8" s="118"/>
      <c r="I8" s="118" t="s">
        <v>21</v>
      </c>
      <c r="J8" s="118"/>
      <c r="K8" s="118"/>
      <c r="L8" s="118"/>
      <c r="M8" s="118"/>
      <c r="N8" s="118"/>
      <c r="O8" s="118"/>
      <c r="P8" s="118"/>
      <c r="Q8" s="118"/>
      <c r="R8" s="118"/>
      <c r="S8" s="118" t="s">
        <v>21</v>
      </c>
      <c r="T8" s="118" t="s">
        <v>21</v>
      </c>
      <c r="U8" s="118" t="s">
        <v>21</v>
      </c>
      <c r="V8" s="118"/>
      <c r="W8" s="118" t="s">
        <v>21</v>
      </c>
      <c r="X8" s="118" t="s">
        <v>21</v>
      </c>
      <c r="Y8" s="118" t="s">
        <v>21</v>
      </c>
      <c r="Z8" s="118"/>
      <c r="AA8" s="118"/>
      <c r="AB8" s="118"/>
    </row>
    <row r="9" customHeight="1" spans="1:33">
      <c r="A9" s="49">
        <v>1</v>
      </c>
      <c r="B9" s="119" t="s">
        <v>24</v>
      </c>
      <c r="C9" s="120"/>
      <c r="D9" s="121" t="s">
        <v>25</v>
      </c>
      <c r="E9" s="121" t="s">
        <v>26</v>
      </c>
      <c r="F9" s="122">
        <v>160488.75</v>
      </c>
      <c r="G9" s="122"/>
      <c r="H9" s="122">
        <v>320977.5</v>
      </c>
      <c r="I9" s="122">
        <v>48146.63</v>
      </c>
      <c r="J9" s="122">
        <v>120366.57</v>
      </c>
      <c r="K9" s="122">
        <v>72219.94</v>
      </c>
      <c r="L9" s="122">
        <v>0</v>
      </c>
      <c r="M9" s="122">
        <v>120366.57</v>
      </c>
      <c r="N9" s="44">
        <f>250000</f>
        <v>250000</v>
      </c>
      <c r="O9" s="44"/>
      <c r="P9" s="122">
        <v>16048.88</v>
      </c>
      <c r="Q9" s="122">
        <v>25000</v>
      </c>
      <c r="R9" s="122">
        <v>25235</v>
      </c>
      <c r="S9" s="122">
        <f>R9+Q9+P9+O9+N9+M9+L9+K9+J9+I9+H9+G9+F9</f>
        <v>1158849.84</v>
      </c>
      <c r="T9" s="122">
        <v>1158849.84</v>
      </c>
      <c r="U9" s="122">
        <f>S9-T9</f>
        <v>0</v>
      </c>
      <c r="V9" s="122"/>
      <c r="W9" s="122">
        <v>113176.97</v>
      </c>
      <c r="X9" s="122">
        <v>113176.97</v>
      </c>
      <c r="Y9" s="122">
        <f>X9-W9</f>
        <v>0</v>
      </c>
      <c r="Z9" s="122"/>
      <c r="AA9" s="122"/>
      <c r="AB9" s="122"/>
      <c r="AC9" s="123"/>
    </row>
    <row r="10" customHeight="1" spans="1:33">
      <c r="A10" s="49">
        <v>2</v>
      </c>
      <c r="B10" s="119" t="s">
        <v>1721</v>
      </c>
      <c r="C10" s="120"/>
      <c r="D10" s="121" t="s">
        <v>1722</v>
      </c>
      <c r="E10" s="124" t="s">
        <v>124</v>
      </c>
      <c r="F10" s="122">
        <v>81740.02</v>
      </c>
      <c r="G10" s="122"/>
      <c r="H10" s="122">
        <f>F10*300%</f>
        <v>245220.06</v>
      </c>
      <c r="I10" s="122">
        <f>F10*7.5%</f>
        <v>6130.5015</v>
      </c>
      <c r="J10" s="122">
        <v>80244.38</v>
      </c>
      <c r="K10" s="122">
        <f>F10*50%</f>
        <v>40870.01</v>
      </c>
      <c r="L10" s="122">
        <f>F10*350%</f>
        <v>286090.07</v>
      </c>
      <c r="M10" s="122">
        <f>F10*100%</f>
        <v>81740.02</v>
      </c>
      <c r="N10" s="44">
        <f>200000</f>
        <v>200000</v>
      </c>
      <c r="O10" s="44"/>
      <c r="P10" s="122">
        <f>F10*10%</f>
        <v>8174.002</v>
      </c>
      <c r="Q10" s="122">
        <v>20000</v>
      </c>
      <c r="R10" s="122">
        <v>0</v>
      </c>
      <c r="S10" s="122">
        <f t="shared" ref="S10:S38" si="0">R10+Q10+P10+O10+N10+M10+L10+K10+J10+I10+H10+G10+F10</f>
        <v>1050209.0635</v>
      </c>
      <c r="T10" s="122">
        <v>1050209.0635</v>
      </c>
      <c r="U10" s="122">
        <f t="shared" ref="U10:U73" si="1">S10-T10</f>
        <v>0</v>
      </c>
      <c r="V10" s="122"/>
      <c r="W10" s="122">
        <v>52776.63</v>
      </c>
      <c r="X10" s="122">
        <v>52776.63</v>
      </c>
      <c r="Y10" s="122">
        <f t="shared" ref="Y10:Y73" si="2">X10-W10</f>
        <v>0</v>
      </c>
      <c r="Z10" s="122"/>
      <c r="AA10" s="122"/>
      <c r="AB10" s="122"/>
      <c r="AC10" s="123"/>
    </row>
    <row r="11" customHeight="1" spans="1:33">
      <c r="A11" s="49">
        <v>3</v>
      </c>
      <c r="B11" s="52" t="s">
        <v>1767</v>
      </c>
      <c r="C11" s="54"/>
      <c r="D11" s="125" t="s">
        <v>1768</v>
      </c>
      <c r="E11" s="126" t="s">
        <v>36</v>
      </c>
      <c r="F11" s="127">
        <f>42653.17</f>
        <v>42653.17</v>
      </c>
      <c r="G11" s="128"/>
      <c r="H11" s="122">
        <f>F11*300%</f>
        <v>127959.51</v>
      </c>
      <c r="I11" s="122">
        <f>F11*7.5%</f>
        <v>3198.98775</v>
      </c>
      <c r="J11" s="122">
        <v>40122.19</v>
      </c>
      <c r="K11" s="122">
        <f>F11*50%</f>
        <v>21326.585</v>
      </c>
      <c r="L11" s="122">
        <f>F11*350%</f>
        <v>149286.095</v>
      </c>
      <c r="M11" s="122">
        <f>F11*100%</f>
        <v>42653.17</v>
      </c>
      <c r="N11" s="44"/>
      <c r="O11" s="44">
        <f>90000</f>
        <v>90000</v>
      </c>
      <c r="P11" s="122">
        <f>F11*10%</f>
        <v>4265.317</v>
      </c>
      <c r="Q11" s="122">
        <v>20000</v>
      </c>
      <c r="R11" s="129"/>
      <c r="S11" s="122">
        <f t="shared" si="0"/>
        <v>541465.02475</v>
      </c>
      <c r="T11" s="127">
        <v>541465.02475</v>
      </c>
      <c r="U11" s="122">
        <f t="shared" si="1"/>
        <v>0</v>
      </c>
      <c r="V11" s="127"/>
      <c r="W11" s="122">
        <v>21618.09</v>
      </c>
      <c r="X11" s="127">
        <v>21618.09</v>
      </c>
      <c r="Y11" s="122">
        <f t="shared" si="2"/>
        <v>0</v>
      </c>
      <c r="Z11" s="122"/>
      <c r="AA11" s="122"/>
      <c r="AB11" s="122"/>
      <c r="AC11" s="123"/>
    </row>
    <row r="12" customHeight="1" spans="1:33">
      <c r="A12" s="49">
        <v>4</v>
      </c>
      <c r="B12" s="119" t="s">
        <v>1592</v>
      </c>
      <c r="C12" s="120"/>
      <c r="D12" s="43" t="s">
        <v>1723</v>
      </c>
      <c r="E12" s="49" t="s">
        <v>210</v>
      </c>
      <c r="F12" s="122">
        <f>41157.69</f>
        <v>41157.69</v>
      </c>
      <c r="G12" s="122"/>
      <c r="H12" s="122">
        <f>F12*300%</f>
        <v>123473.07</v>
      </c>
      <c r="I12" s="122">
        <f>F12*7.5%</f>
        <v>3086.82675</v>
      </c>
      <c r="J12" s="122">
        <v>40122.19</v>
      </c>
      <c r="K12" s="122">
        <f>F12*50%</f>
        <v>20578.845</v>
      </c>
      <c r="L12" s="122">
        <f>F12*350%</f>
        <v>144051.915</v>
      </c>
      <c r="M12" s="122">
        <f>F12*100%</f>
        <v>41157.69</v>
      </c>
      <c r="N12" s="44">
        <f>180000</f>
        <v>180000</v>
      </c>
      <c r="O12" s="44"/>
      <c r="P12" s="122">
        <f>F12*10%</f>
        <v>4115.769</v>
      </c>
      <c r="Q12" s="122">
        <v>20000</v>
      </c>
      <c r="R12" s="122">
        <v>150000</v>
      </c>
      <c r="S12" s="122">
        <f t="shared" si="0"/>
        <v>767743.99575</v>
      </c>
      <c r="T12" s="122">
        <v>754023.33375</v>
      </c>
      <c r="U12" s="122">
        <f t="shared" si="1"/>
        <v>13720.662</v>
      </c>
      <c r="V12" s="122"/>
      <c r="W12" s="122">
        <f>21618.09</f>
        <v>21618.09</v>
      </c>
      <c r="X12" s="122">
        <v>21618.09</v>
      </c>
      <c r="Y12" s="122">
        <f t="shared" si="2"/>
        <v>0</v>
      </c>
      <c r="Z12" s="122"/>
      <c r="AA12" s="122"/>
      <c r="AB12" s="122"/>
      <c r="AC12" s="123"/>
    </row>
    <row r="13" customHeight="1" spans="1:33">
      <c r="A13" s="49">
        <v>5</v>
      </c>
      <c r="B13" s="52" t="s">
        <v>1676</v>
      </c>
      <c r="C13" s="54"/>
      <c r="D13" s="125" t="s">
        <v>1677</v>
      </c>
      <c r="E13" s="126" t="s">
        <v>210</v>
      </c>
      <c r="F13" s="127">
        <f>41157.69</f>
        <v>41157.69</v>
      </c>
      <c r="G13" s="127"/>
      <c r="H13" s="122">
        <f>F13*300%</f>
        <v>123473.07</v>
      </c>
      <c r="I13" s="122">
        <f>F13*7.5%</f>
        <v>3086.82675</v>
      </c>
      <c r="J13" s="122">
        <v>40122.19</v>
      </c>
      <c r="K13" s="122">
        <f>F13*50%</f>
        <v>20578.845</v>
      </c>
      <c r="L13" s="122">
        <f>F13*350%</f>
        <v>144051.915</v>
      </c>
      <c r="M13" s="122">
        <f>F13*100%</f>
        <v>41157.69</v>
      </c>
      <c r="N13" s="44">
        <f>180000</f>
        <v>180000</v>
      </c>
      <c r="O13" s="44"/>
      <c r="P13" s="122">
        <f>F13*10%</f>
        <v>4115.769</v>
      </c>
      <c r="Q13" s="122">
        <v>20000</v>
      </c>
      <c r="R13" s="127">
        <f>100000</f>
        <v>100000</v>
      </c>
      <c r="S13" s="122">
        <f t="shared" si="0"/>
        <v>717743.99575</v>
      </c>
      <c r="T13" s="127">
        <v>704023.33375</v>
      </c>
      <c r="U13" s="122">
        <f t="shared" si="1"/>
        <v>13720.662</v>
      </c>
      <c r="V13" s="127"/>
      <c r="W13" s="122">
        <f>21618.09</f>
        <v>21618.09</v>
      </c>
      <c r="X13" s="127">
        <v>21618.09</v>
      </c>
      <c r="Y13" s="122">
        <f t="shared" si="2"/>
        <v>0</v>
      </c>
      <c r="Z13" s="122"/>
      <c r="AA13" s="122"/>
      <c r="AB13" s="122"/>
      <c r="AC13" s="123"/>
    </row>
    <row r="14" customHeight="1" spans="1:33">
      <c r="A14" s="49">
        <v>6</v>
      </c>
      <c r="B14" s="119" t="s">
        <v>27</v>
      </c>
      <c r="C14" s="120"/>
      <c r="D14" s="121" t="s">
        <v>28</v>
      </c>
      <c r="E14" s="49" t="s">
        <v>1724</v>
      </c>
      <c r="F14" s="127">
        <f>41157.69</f>
        <v>41157.69</v>
      </c>
      <c r="G14" s="127"/>
      <c r="H14" s="122">
        <f>F14*300%</f>
        <v>123473.07</v>
      </c>
      <c r="I14" s="122">
        <f>F14*7.5%</f>
        <v>3086.82675</v>
      </c>
      <c r="J14" s="122">
        <v>40122.19</v>
      </c>
      <c r="K14" s="122">
        <f>F14*50%</f>
        <v>20578.845</v>
      </c>
      <c r="L14" s="122">
        <f>F14*350%</f>
        <v>144051.915</v>
      </c>
      <c r="M14" s="122">
        <f>F14*100%</f>
        <v>41157.69</v>
      </c>
      <c r="N14" s="44"/>
      <c r="O14" s="44">
        <f>90000</f>
        <v>90000</v>
      </c>
      <c r="P14" s="122">
        <f>F14*10%</f>
        <v>4115.769</v>
      </c>
      <c r="Q14" s="122">
        <v>20000</v>
      </c>
      <c r="R14" s="127">
        <v>0</v>
      </c>
      <c r="S14" s="122">
        <f t="shared" si="0"/>
        <v>527743.99575</v>
      </c>
      <c r="T14" s="127">
        <v>514023.33375</v>
      </c>
      <c r="U14" s="122">
        <f t="shared" si="1"/>
        <v>13720.662</v>
      </c>
      <c r="V14" s="127"/>
      <c r="W14" s="122">
        <f>21618.09</f>
        <v>21618.09</v>
      </c>
      <c r="X14" s="127">
        <v>21618.09</v>
      </c>
      <c r="Y14" s="122">
        <f t="shared" si="2"/>
        <v>0</v>
      </c>
      <c r="Z14" s="122"/>
      <c r="AA14" s="122"/>
      <c r="AB14" s="122"/>
      <c r="AC14" s="123"/>
    </row>
    <row r="15" customHeight="1" spans="1:33">
      <c r="A15" s="49">
        <v>7</v>
      </c>
      <c r="B15" s="52" t="s">
        <v>227</v>
      </c>
      <c r="C15" s="54"/>
      <c r="D15" s="43" t="s">
        <v>1725</v>
      </c>
      <c r="E15" s="130" t="s">
        <v>39</v>
      </c>
      <c r="F15" s="122">
        <v>33507.5</v>
      </c>
      <c r="G15" s="122"/>
      <c r="H15" s="122">
        <f t="shared" ref="H15:H34" si="3">F15*300%</f>
        <v>100522.5</v>
      </c>
      <c r="I15" s="122">
        <f t="shared" ref="I15:I34" si="4">F15*7.5%</f>
        <v>2513.0625</v>
      </c>
      <c r="J15" s="122">
        <v>40122.19</v>
      </c>
      <c r="K15" s="122">
        <f t="shared" ref="K15:K34" si="5">F15*50%</f>
        <v>16753.75</v>
      </c>
      <c r="L15" s="122">
        <f t="shared" ref="L15:L34" si="6">F15*350%</f>
        <v>117276.25</v>
      </c>
      <c r="M15" s="122">
        <f t="shared" ref="M15:M34" si="7">F15*100%</f>
        <v>33507.5</v>
      </c>
      <c r="N15" s="44"/>
      <c r="O15" s="44">
        <f>80000</f>
        <v>80000</v>
      </c>
      <c r="P15" s="122">
        <f t="shared" ref="P15:P34" si="8">F15*10%</f>
        <v>3350.75</v>
      </c>
      <c r="Q15" s="122">
        <v>20000</v>
      </c>
      <c r="R15" s="122">
        <f>100000</f>
        <v>100000</v>
      </c>
      <c r="S15" s="122">
        <f t="shared" si="0"/>
        <v>547553.5025</v>
      </c>
      <c r="T15" s="122">
        <v>547553.5025</v>
      </c>
      <c r="U15" s="122">
        <f t="shared" si="1"/>
        <v>0</v>
      </c>
      <c r="V15" s="122"/>
      <c r="W15" s="122">
        <v>15548.33</v>
      </c>
      <c r="X15" s="122">
        <v>15548.33</v>
      </c>
      <c r="Y15" s="122">
        <f t="shared" si="2"/>
        <v>0</v>
      </c>
      <c r="Z15" s="122"/>
      <c r="AA15" s="122"/>
      <c r="AB15" s="122"/>
      <c r="AC15" s="123"/>
    </row>
    <row r="16" customHeight="1" spans="1:33">
      <c r="A16" s="49">
        <v>8</v>
      </c>
      <c r="B16" s="131" t="s">
        <v>32</v>
      </c>
      <c r="C16" s="132"/>
      <c r="D16" s="17" t="s">
        <v>920</v>
      </c>
      <c r="E16" s="10" t="s">
        <v>39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22">
        <f t="shared" si="0"/>
        <v>447553.5025</v>
      </c>
      <c r="T16" s="122">
        <v>447553.5025</v>
      </c>
      <c r="U16" s="122">
        <f t="shared" si="1"/>
        <v>0</v>
      </c>
      <c r="V16" s="85"/>
      <c r="W16" s="85">
        <v>15548.33</v>
      </c>
      <c r="X16" s="85">
        <v>15548.33</v>
      </c>
      <c r="Y16" s="122">
        <f t="shared" si="2"/>
        <v>0</v>
      </c>
      <c r="Z16" s="122"/>
      <c r="AA16" s="85"/>
      <c r="AB16" s="85"/>
      <c r="AC16" s="123"/>
    </row>
    <row r="17" customHeight="1" spans="1:29">
      <c r="A17" s="49">
        <v>9</v>
      </c>
      <c r="B17" s="52" t="s">
        <v>300</v>
      </c>
      <c r="C17" s="54"/>
      <c r="D17" s="43" t="s">
        <v>1726</v>
      </c>
      <c r="E17" s="49" t="s">
        <v>39</v>
      </c>
      <c r="F17" s="122">
        <f>33507.5</f>
        <v>33507.5</v>
      </c>
      <c r="G17" s="122"/>
      <c r="H17" s="122">
        <f t="shared" si="3"/>
        <v>100522.5</v>
      </c>
      <c r="I17" s="122">
        <f t="shared" si="4"/>
        <v>2513.0625</v>
      </c>
      <c r="J17" s="122">
        <v>40122.19</v>
      </c>
      <c r="K17" s="122">
        <f t="shared" si="5"/>
        <v>16753.75</v>
      </c>
      <c r="L17" s="122">
        <f t="shared" si="6"/>
        <v>117276.25</v>
      </c>
      <c r="M17" s="122">
        <f t="shared" si="7"/>
        <v>33507.5</v>
      </c>
      <c r="N17" s="44"/>
      <c r="O17" s="44">
        <f>80000</f>
        <v>80000</v>
      </c>
      <c r="P17" s="122">
        <f t="shared" si="8"/>
        <v>3350.75</v>
      </c>
      <c r="Q17" s="122">
        <v>20000</v>
      </c>
      <c r="R17" s="133">
        <v>0</v>
      </c>
      <c r="S17" s="122">
        <f t="shared" si="0"/>
        <v>447553.5025</v>
      </c>
      <c r="T17" s="122">
        <v>447553.5025</v>
      </c>
      <c r="U17" s="122">
        <f t="shared" si="1"/>
        <v>0</v>
      </c>
      <c r="V17" s="122"/>
      <c r="W17" s="122">
        <v>15548.33</v>
      </c>
      <c r="X17" s="122">
        <v>15548.33</v>
      </c>
      <c r="Y17" s="122">
        <f t="shared" si="2"/>
        <v>0</v>
      </c>
      <c r="Z17" s="122"/>
      <c r="AA17" s="122"/>
      <c r="AB17" s="122"/>
      <c r="AC17" s="123"/>
    </row>
    <row r="18" customHeight="1" spans="1:29">
      <c r="A18" s="49">
        <v>10</v>
      </c>
      <c r="B18" s="121" t="s">
        <v>34</v>
      </c>
      <c r="C18" s="121"/>
      <c r="D18" s="121" t="s">
        <v>1727</v>
      </c>
      <c r="E18" s="124" t="s">
        <v>39</v>
      </c>
      <c r="F18" s="122">
        <f>33507.5</f>
        <v>33507.5</v>
      </c>
      <c r="G18" s="122"/>
      <c r="H18" s="122">
        <f t="shared" si="3"/>
        <v>100522.5</v>
      </c>
      <c r="I18" s="122">
        <f t="shared" si="4"/>
        <v>2513.0625</v>
      </c>
      <c r="J18" s="122">
        <f>40122.19</f>
        <v>40122.19</v>
      </c>
      <c r="K18" s="122">
        <f t="shared" si="5"/>
        <v>16753.75</v>
      </c>
      <c r="L18" s="122">
        <f t="shared" si="6"/>
        <v>117276.25</v>
      </c>
      <c r="M18" s="122">
        <f t="shared" si="7"/>
        <v>33507.5</v>
      </c>
      <c r="N18" s="44"/>
      <c r="O18" s="44">
        <f t="shared" ref="O18:O124" si="9">80000</f>
        <v>80000</v>
      </c>
      <c r="P18" s="122">
        <f t="shared" si="8"/>
        <v>3350.75</v>
      </c>
      <c r="Q18" s="122">
        <v>20000</v>
      </c>
      <c r="R18" s="122">
        <v>0</v>
      </c>
      <c r="S18" s="122">
        <f>SUM(F18:R18)</f>
        <v>447553.5025</v>
      </c>
      <c r="T18" s="122">
        <v>436137.05</v>
      </c>
      <c r="U18" s="122">
        <f t="shared" si="1"/>
        <v>11416.4525</v>
      </c>
      <c r="V18" s="122"/>
      <c r="W18" s="122">
        <f>15548.33</f>
        <v>15548.33</v>
      </c>
      <c r="X18" s="122">
        <v>15548.33</v>
      </c>
      <c r="Y18" s="122">
        <f t="shared" si="2"/>
        <v>0</v>
      </c>
      <c r="Z18" s="122"/>
      <c r="AA18" s="122"/>
      <c r="AB18" s="122"/>
      <c r="AC18" s="123"/>
    </row>
    <row r="19" customHeight="1" spans="1:29">
      <c r="A19" s="49">
        <v>11</v>
      </c>
      <c r="B19" s="119" t="s">
        <v>186</v>
      </c>
      <c r="C19" s="120"/>
      <c r="D19" s="121" t="s">
        <v>926</v>
      </c>
      <c r="E19" s="50" t="s">
        <v>1532</v>
      </c>
      <c r="F19" s="122">
        <v>31018.84</v>
      </c>
      <c r="G19" s="122"/>
      <c r="H19" s="122">
        <f t="shared" ref="H19" si="10">F19*300%</f>
        <v>93056.52</v>
      </c>
      <c r="I19" s="122">
        <f t="shared" ref="I19" si="11">F19*7.5%</f>
        <v>2326.413</v>
      </c>
      <c r="J19" s="122">
        <v>40122.19</v>
      </c>
      <c r="K19" s="122">
        <f t="shared" ref="K19" si="12">F19*50%</f>
        <v>15509.42</v>
      </c>
      <c r="L19" s="122">
        <f t="shared" ref="L19" si="13">F19*350%</f>
        <v>108565.94</v>
      </c>
      <c r="M19" s="122">
        <f t="shared" ref="M19" si="14">F19*100%</f>
        <v>31018.84</v>
      </c>
      <c r="N19" s="44"/>
      <c r="O19" s="44">
        <f t="shared" si="9"/>
        <v>80000</v>
      </c>
      <c r="P19" s="122">
        <f t="shared" ref="P19" si="15">F19*10%</f>
        <v>3101.884</v>
      </c>
      <c r="Q19" s="122">
        <v>20000</v>
      </c>
      <c r="R19" s="133">
        <v>0</v>
      </c>
      <c r="S19" s="122">
        <f t="shared" si="0"/>
        <v>424720.047</v>
      </c>
      <c r="T19" s="122">
        <v>424720.047</v>
      </c>
      <c r="U19" s="122">
        <f t="shared" si="1"/>
        <v>0</v>
      </c>
      <c r="V19" s="122"/>
      <c r="W19" s="122">
        <v>15548.33</v>
      </c>
      <c r="X19" s="122">
        <v>15548.33</v>
      </c>
      <c r="Y19" s="122">
        <f t="shared" si="2"/>
        <v>0</v>
      </c>
      <c r="Z19" s="122"/>
      <c r="AA19" s="122"/>
      <c r="AB19" s="122"/>
      <c r="AC19" s="123"/>
    </row>
    <row r="20" customHeight="1" spans="1:29">
      <c r="A20" s="49">
        <v>12</v>
      </c>
      <c r="B20" s="52" t="s">
        <v>1678</v>
      </c>
      <c r="C20" s="54"/>
      <c r="D20" s="125" t="s">
        <v>1679</v>
      </c>
      <c r="E20" s="134" t="s">
        <v>214</v>
      </c>
      <c r="F20" s="127">
        <f>26732.65</f>
        <v>26732.65</v>
      </c>
      <c r="G20" s="127"/>
      <c r="H20" s="127">
        <f t="shared" si="3"/>
        <v>80197.95</v>
      </c>
      <c r="I20" s="127">
        <f t="shared" si="4"/>
        <v>2004.94875</v>
      </c>
      <c r="J20" s="127"/>
      <c r="K20" s="127">
        <f t="shared" si="5"/>
        <v>13366.325</v>
      </c>
      <c r="L20" s="127">
        <f t="shared" si="6"/>
        <v>93564.275</v>
      </c>
      <c r="M20" s="127">
        <f t="shared" si="7"/>
        <v>26732.65</v>
      </c>
      <c r="N20" s="44"/>
      <c r="O20" s="44">
        <f t="shared" ref="O20:O24" si="16">70000</f>
        <v>70000</v>
      </c>
      <c r="P20" s="127">
        <f t="shared" si="8"/>
        <v>2673.265</v>
      </c>
      <c r="Q20" s="127">
        <v>20000</v>
      </c>
      <c r="R20" s="127">
        <v>50000</v>
      </c>
      <c r="S20" s="122">
        <f t="shared" si="0"/>
        <v>385272.06375</v>
      </c>
      <c r="T20" s="127">
        <v>377211.3675</v>
      </c>
      <c r="U20" s="122">
        <f t="shared" si="1"/>
        <v>8060.69625000004</v>
      </c>
      <c r="V20" s="127"/>
      <c r="W20" s="127">
        <v>7709.76</v>
      </c>
      <c r="X20" s="127">
        <v>7709.76</v>
      </c>
      <c r="Y20" s="122">
        <f t="shared" si="2"/>
        <v>0</v>
      </c>
      <c r="Z20" s="122"/>
      <c r="AA20" s="122"/>
      <c r="AB20" s="122"/>
      <c r="AC20" s="123"/>
    </row>
    <row r="21" ht="19.5" customHeight="1" spans="1:29">
      <c r="A21" s="49">
        <v>13</v>
      </c>
      <c r="B21" s="52" t="s">
        <v>1595</v>
      </c>
      <c r="C21" s="54"/>
      <c r="D21" s="125" t="s">
        <v>643</v>
      </c>
      <c r="E21" s="49" t="s">
        <v>214</v>
      </c>
      <c r="F21" s="127">
        <f>26732.65</f>
        <v>26732.65</v>
      </c>
      <c r="G21" s="122"/>
      <c r="H21" s="122">
        <f t="shared" si="3"/>
        <v>80197.95</v>
      </c>
      <c r="I21" s="122">
        <f t="shared" si="4"/>
        <v>2004.94875</v>
      </c>
      <c r="J21" s="122"/>
      <c r="K21" s="122">
        <f t="shared" si="5"/>
        <v>13366.325</v>
      </c>
      <c r="L21" s="122">
        <f t="shared" si="6"/>
        <v>93564.275</v>
      </c>
      <c r="M21" s="122">
        <f t="shared" si="7"/>
        <v>26732.65</v>
      </c>
      <c r="N21" s="44"/>
      <c r="O21" s="44">
        <f t="shared" si="16"/>
        <v>70000</v>
      </c>
      <c r="P21" s="122">
        <f t="shared" si="8"/>
        <v>2673.265</v>
      </c>
      <c r="Q21" s="122">
        <v>20000</v>
      </c>
      <c r="R21" s="122">
        <v>0</v>
      </c>
      <c r="S21" s="122">
        <f t="shared" si="0"/>
        <v>335272.06375</v>
      </c>
      <c r="T21" s="122">
        <v>327211.3675</v>
      </c>
      <c r="U21" s="122">
        <f t="shared" si="1"/>
        <v>8060.6962500001</v>
      </c>
      <c r="V21" s="122"/>
      <c r="W21" s="122">
        <v>7709.76</v>
      </c>
      <c r="X21" s="122">
        <v>7709.76</v>
      </c>
      <c r="Y21" s="122">
        <f t="shared" si="2"/>
        <v>0</v>
      </c>
      <c r="Z21" s="122"/>
      <c r="AA21" s="122"/>
      <c r="AB21" s="122"/>
      <c r="AC21" s="123"/>
    </row>
    <row r="22" ht="19.5" customHeight="1" spans="1:29">
      <c r="A22" s="49">
        <v>14</v>
      </c>
      <c r="B22" s="52" t="s">
        <v>1680</v>
      </c>
      <c r="C22" s="54"/>
      <c r="D22" s="43" t="s">
        <v>1681</v>
      </c>
      <c r="E22" s="49" t="s">
        <v>214</v>
      </c>
      <c r="F22" s="127">
        <f>26732.65</f>
        <v>26732.65</v>
      </c>
      <c r="G22" s="122"/>
      <c r="H22" s="122">
        <f t="shared" si="3"/>
        <v>80197.95</v>
      </c>
      <c r="I22" s="122">
        <f t="shared" si="4"/>
        <v>2004.94875</v>
      </c>
      <c r="J22" s="122"/>
      <c r="K22" s="122">
        <f t="shared" si="5"/>
        <v>13366.325</v>
      </c>
      <c r="L22" s="122">
        <f t="shared" si="6"/>
        <v>93564.275</v>
      </c>
      <c r="M22" s="122">
        <f t="shared" si="7"/>
        <v>26732.65</v>
      </c>
      <c r="N22" s="44">
        <f>140000</f>
        <v>140000</v>
      </c>
      <c r="O22" s="44"/>
      <c r="P22" s="122">
        <f t="shared" si="8"/>
        <v>2673.265</v>
      </c>
      <c r="Q22" s="122">
        <v>20000</v>
      </c>
      <c r="R22" s="122">
        <f>50000+100000</f>
        <v>150000</v>
      </c>
      <c r="S22" s="122">
        <f t="shared" si="0"/>
        <v>555272.06375</v>
      </c>
      <c r="T22" s="122">
        <v>547211.3675</v>
      </c>
      <c r="U22" s="122">
        <f t="shared" si="1"/>
        <v>8060.69625000004</v>
      </c>
      <c r="V22" s="122"/>
      <c r="W22" s="122">
        <f t="shared" ref="W22:W104" si="17">7709.76</f>
        <v>7709.76</v>
      </c>
      <c r="X22" s="122">
        <v>7709.76</v>
      </c>
      <c r="Y22" s="122">
        <f t="shared" si="2"/>
        <v>0</v>
      </c>
      <c r="Z22" s="122"/>
      <c r="AA22" s="122"/>
      <c r="AB22" s="122"/>
      <c r="AC22" s="123"/>
    </row>
    <row r="23" customHeight="1" spans="1:29">
      <c r="A23" s="49">
        <v>15</v>
      </c>
      <c r="B23" s="119" t="s">
        <v>40</v>
      </c>
      <c r="C23" s="120"/>
      <c r="D23" s="125" t="s">
        <v>1728</v>
      </c>
      <c r="E23" s="124" t="s">
        <v>56</v>
      </c>
      <c r="F23" s="122">
        <f>26339.3</f>
        <v>26339.3</v>
      </c>
      <c r="G23" s="122"/>
      <c r="H23" s="122">
        <f t="shared" si="3"/>
        <v>79017.9</v>
      </c>
      <c r="I23" s="122">
        <f t="shared" si="4"/>
        <v>1975.4475</v>
      </c>
      <c r="J23" s="122">
        <v>0</v>
      </c>
      <c r="K23" s="122">
        <f t="shared" si="5"/>
        <v>13169.65</v>
      </c>
      <c r="L23" s="122">
        <f t="shared" si="6"/>
        <v>92187.55</v>
      </c>
      <c r="M23" s="122">
        <f t="shared" si="7"/>
        <v>26339.3</v>
      </c>
      <c r="N23" s="44"/>
      <c r="O23" s="44">
        <f t="shared" si="16"/>
        <v>70000</v>
      </c>
      <c r="P23" s="122">
        <f t="shared" si="8"/>
        <v>2633.93</v>
      </c>
      <c r="Q23" s="122">
        <v>15000</v>
      </c>
      <c r="R23" s="122">
        <f>0</f>
        <v>0</v>
      </c>
      <c r="S23" s="122">
        <f t="shared" si="0"/>
        <v>326663.0775</v>
      </c>
      <c r="T23" s="122">
        <v>326663.0775</v>
      </c>
      <c r="U23" s="122">
        <f t="shared" si="1"/>
        <v>0</v>
      </c>
      <c r="V23" s="122"/>
      <c r="W23" s="122">
        <f t="shared" si="17"/>
        <v>7709.76</v>
      </c>
      <c r="X23" s="122">
        <v>7709.76</v>
      </c>
      <c r="Y23" s="122">
        <f t="shared" si="2"/>
        <v>0</v>
      </c>
      <c r="Z23" s="122"/>
      <c r="AA23" s="122"/>
      <c r="AB23" s="122"/>
      <c r="AC23" s="123"/>
    </row>
    <row r="24" customHeight="1" spans="1:29">
      <c r="A24" s="49">
        <v>16</v>
      </c>
      <c r="B24" s="52" t="s">
        <v>30</v>
      </c>
      <c r="C24" s="54"/>
      <c r="D24" s="43" t="s">
        <v>1769</v>
      </c>
      <c r="E24" s="124" t="s">
        <v>1001</v>
      </c>
      <c r="F24" s="122">
        <f>23074.99</f>
        <v>23074.99</v>
      </c>
      <c r="G24" s="122"/>
      <c r="H24" s="122">
        <f t="shared" si="3"/>
        <v>69224.97</v>
      </c>
      <c r="I24" s="122">
        <f t="shared" si="4"/>
        <v>1730.62425</v>
      </c>
      <c r="J24" s="122">
        <f>265272</f>
        <v>265272</v>
      </c>
      <c r="K24" s="122">
        <f t="shared" si="5"/>
        <v>11537.495</v>
      </c>
      <c r="L24" s="122">
        <f t="shared" si="6"/>
        <v>80762.465</v>
      </c>
      <c r="M24" s="122">
        <f t="shared" si="7"/>
        <v>23074.99</v>
      </c>
      <c r="N24" s="44"/>
      <c r="O24" s="44">
        <f t="shared" si="16"/>
        <v>70000</v>
      </c>
      <c r="P24" s="122">
        <f t="shared" si="8"/>
        <v>2307.499</v>
      </c>
      <c r="Q24" s="122">
        <v>15000</v>
      </c>
      <c r="R24" s="122">
        <f>100000+100000</f>
        <v>200000</v>
      </c>
      <c r="S24" s="122">
        <f t="shared" si="0"/>
        <v>761985.03325</v>
      </c>
      <c r="T24" s="122">
        <v>761985.03325</v>
      </c>
      <c r="U24" s="122">
        <f t="shared" si="1"/>
        <v>0</v>
      </c>
      <c r="V24" s="122"/>
      <c r="W24" s="122">
        <f t="shared" si="17"/>
        <v>7709.76</v>
      </c>
      <c r="X24" s="122">
        <v>7709.76</v>
      </c>
      <c r="Y24" s="122">
        <f t="shared" si="2"/>
        <v>0</v>
      </c>
      <c r="Z24" s="122"/>
      <c r="AA24" s="122"/>
      <c r="AB24" s="122"/>
      <c r="AC24" s="123"/>
    </row>
    <row r="25" customHeight="1" spans="1:29">
      <c r="A25" s="49">
        <v>17</v>
      </c>
      <c r="B25" s="119" t="s">
        <v>51</v>
      </c>
      <c r="C25" s="120"/>
      <c r="D25" s="121" t="s">
        <v>61</v>
      </c>
      <c r="E25" s="124" t="s">
        <v>64</v>
      </c>
      <c r="F25" s="122">
        <f>23891.12</f>
        <v>23891.12</v>
      </c>
      <c r="G25" s="122"/>
      <c r="H25" s="122">
        <f t="shared" si="3"/>
        <v>71673.36</v>
      </c>
      <c r="I25" s="122">
        <f t="shared" si="4"/>
        <v>1791.834</v>
      </c>
      <c r="J25" s="122">
        <v>0</v>
      </c>
      <c r="K25" s="122">
        <f t="shared" si="5"/>
        <v>11945.56</v>
      </c>
      <c r="L25" s="122">
        <f t="shared" si="6"/>
        <v>83618.92</v>
      </c>
      <c r="M25" s="122">
        <f t="shared" si="7"/>
        <v>23891.12</v>
      </c>
      <c r="N25" s="44">
        <f>120000</f>
        <v>120000</v>
      </c>
      <c r="O25" s="44"/>
      <c r="P25" s="122">
        <f t="shared" si="8"/>
        <v>2389.112</v>
      </c>
      <c r="Q25" s="122">
        <v>15000</v>
      </c>
      <c r="R25" s="122">
        <v>0</v>
      </c>
      <c r="S25" s="122">
        <f t="shared" si="0"/>
        <v>354201.026</v>
      </c>
      <c r="T25" s="122">
        <v>346713.03325</v>
      </c>
      <c r="U25" s="122">
        <f t="shared" si="1"/>
        <v>7487.99275000003</v>
      </c>
      <c r="V25" s="122"/>
      <c r="W25" s="122">
        <f t="shared" ref="W25:W98" si="18">7709.76</f>
        <v>7709.76</v>
      </c>
      <c r="X25" s="122">
        <v>7709.76</v>
      </c>
      <c r="Y25" s="122">
        <f t="shared" si="2"/>
        <v>0</v>
      </c>
      <c r="Z25" s="122"/>
      <c r="AA25" s="122"/>
      <c r="AB25" s="122"/>
      <c r="AC25" s="123"/>
    </row>
    <row r="26" customHeight="1" spans="1:29">
      <c r="A26" s="49">
        <v>18</v>
      </c>
      <c r="B26" s="119" t="s">
        <v>65</v>
      </c>
      <c r="C26" s="120"/>
      <c r="D26" s="121" t="s">
        <v>107</v>
      </c>
      <c r="E26" s="124" t="s">
        <v>153</v>
      </c>
      <c r="F26" s="122">
        <f>18779.3</f>
        <v>18779.3</v>
      </c>
      <c r="G26" s="122"/>
      <c r="H26" s="122">
        <f t="shared" si="3"/>
        <v>56337.9</v>
      </c>
      <c r="I26" s="122">
        <f t="shared" si="4"/>
        <v>1408.4475</v>
      </c>
      <c r="J26" s="122"/>
      <c r="K26" s="122">
        <f t="shared" si="5"/>
        <v>9389.65</v>
      </c>
      <c r="L26" s="122">
        <f t="shared" si="6"/>
        <v>65727.55</v>
      </c>
      <c r="M26" s="122">
        <f t="shared" si="7"/>
        <v>18779.3</v>
      </c>
      <c r="N26" s="44"/>
      <c r="O26" s="44">
        <f>60000</f>
        <v>60000</v>
      </c>
      <c r="P26" s="122">
        <f t="shared" si="8"/>
        <v>1877.93</v>
      </c>
      <c r="Q26" s="122">
        <v>10000</v>
      </c>
      <c r="R26" s="122"/>
      <c r="S26" s="122">
        <f t="shared" si="0"/>
        <v>242300.0775</v>
      </c>
      <c r="T26" s="122">
        <v>237734.047</v>
      </c>
      <c r="U26" s="122">
        <f t="shared" si="1"/>
        <v>4566.03049999999</v>
      </c>
      <c r="V26" s="122"/>
      <c r="W26" s="122">
        <v>3369.51</v>
      </c>
      <c r="X26" s="122">
        <v>3369.51</v>
      </c>
      <c r="Y26" s="122">
        <f t="shared" si="2"/>
        <v>0</v>
      </c>
      <c r="Z26" s="122"/>
      <c r="AA26" s="122"/>
      <c r="AB26" s="122"/>
      <c r="AC26" s="123"/>
    </row>
    <row r="27" ht="18.75" customHeight="1" spans="1:29">
      <c r="A27" s="49">
        <v>19</v>
      </c>
      <c r="B27" s="119" t="s">
        <v>193</v>
      </c>
      <c r="C27" s="120"/>
      <c r="D27" s="121" t="s">
        <v>929</v>
      </c>
      <c r="E27" s="124" t="s">
        <v>131</v>
      </c>
      <c r="F27" s="122">
        <f>21520.88</f>
        <v>21520.88</v>
      </c>
      <c r="G27" s="122"/>
      <c r="H27" s="122">
        <f t="shared" si="3"/>
        <v>64562.64</v>
      </c>
      <c r="I27" s="122">
        <f t="shared" si="4"/>
        <v>1614.066</v>
      </c>
      <c r="J27" s="122"/>
      <c r="K27" s="122">
        <f t="shared" si="5"/>
        <v>10760.44</v>
      </c>
      <c r="L27" s="122">
        <f t="shared" si="6"/>
        <v>75323.08</v>
      </c>
      <c r="M27" s="122">
        <f t="shared" si="7"/>
        <v>21520.88</v>
      </c>
      <c r="N27" s="44"/>
      <c r="O27" s="44">
        <f>60000</f>
        <v>60000</v>
      </c>
      <c r="P27" s="122">
        <f t="shared" si="8"/>
        <v>2152.088</v>
      </c>
      <c r="Q27" s="122">
        <v>15000</v>
      </c>
      <c r="R27" s="122"/>
      <c r="S27" s="122">
        <f t="shared" si="0"/>
        <v>272454.074</v>
      </c>
      <c r="T27" s="122">
        <v>265372.075</v>
      </c>
      <c r="U27" s="122">
        <f t="shared" si="1"/>
        <v>7081.99900000001</v>
      </c>
      <c r="V27" s="122"/>
      <c r="W27" s="122">
        <v>3369.51</v>
      </c>
      <c r="X27" s="122">
        <v>3369.51</v>
      </c>
      <c r="Y27" s="122">
        <f t="shared" si="2"/>
        <v>0</v>
      </c>
      <c r="Z27" s="122"/>
      <c r="AA27" s="122"/>
      <c r="AB27" s="122"/>
      <c r="AC27" s="123"/>
    </row>
    <row r="28" ht="18.75" customHeight="1" spans="1:29">
      <c r="A28" s="49">
        <v>20</v>
      </c>
      <c r="B28" s="119" t="s">
        <v>54</v>
      </c>
      <c r="C28" s="120"/>
      <c r="D28" s="43" t="s">
        <v>55</v>
      </c>
      <c r="E28" s="124" t="s">
        <v>78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22">
        <f t="shared" si="0"/>
        <v>377734.047</v>
      </c>
      <c r="T28" s="122">
        <v>373168.2</v>
      </c>
      <c r="U28" s="122">
        <f t="shared" si="1"/>
        <v>4565.84700000001</v>
      </c>
      <c r="V28" s="85"/>
      <c r="W28" s="85">
        <v>3369.51</v>
      </c>
      <c r="X28" s="85">
        <v>3369.51</v>
      </c>
      <c r="Y28" s="122">
        <f t="shared" si="2"/>
        <v>0</v>
      </c>
      <c r="Z28" s="122"/>
      <c r="AA28" s="85"/>
      <c r="AB28" s="85"/>
      <c r="AC28" s="123"/>
    </row>
    <row r="29" ht="18.75" customHeight="1" spans="1:29">
      <c r="A29" s="49">
        <v>21</v>
      </c>
      <c r="B29" s="119" t="s">
        <v>79</v>
      </c>
      <c r="C29" s="120"/>
      <c r="D29" s="121" t="s">
        <v>94</v>
      </c>
      <c r="E29" s="124" t="s">
        <v>1698</v>
      </c>
      <c r="F29" s="135">
        <f>13492.21</f>
        <v>13492.21</v>
      </c>
      <c r="G29" s="122"/>
      <c r="H29" s="122">
        <f t="shared" si="3"/>
        <v>40476.63</v>
      </c>
      <c r="I29" s="122">
        <f t="shared" si="4"/>
        <v>1011.91575</v>
      </c>
      <c r="J29" s="122"/>
      <c r="K29" s="122">
        <f t="shared" si="5"/>
        <v>6746.105</v>
      </c>
      <c r="L29" s="122">
        <f t="shared" si="6"/>
        <v>47222.735</v>
      </c>
      <c r="M29" s="122">
        <f t="shared" si="7"/>
        <v>13492.21</v>
      </c>
      <c r="N29" s="44"/>
      <c r="O29" s="44">
        <f>50000</f>
        <v>50000</v>
      </c>
      <c r="P29" s="122">
        <f t="shared" si="8"/>
        <v>1349.221</v>
      </c>
      <c r="Q29" s="122">
        <v>10000</v>
      </c>
      <c r="R29" s="122"/>
      <c r="S29" s="122">
        <f t="shared" si="0"/>
        <v>183791.02675</v>
      </c>
      <c r="T29" s="122">
        <v>180304.068</v>
      </c>
      <c r="U29" s="122">
        <f t="shared" si="1"/>
        <v>3486.95874999999</v>
      </c>
      <c r="V29" s="122"/>
      <c r="W29" s="122">
        <v>1484.37</v>
      </c>
      <c r="X29" s="122">
        <v>1484.37</v>
      </c>
      <c r="Y29" s="122">
        <f t="shared" si="2"/>
        <v>0</v>
      </c>
      <c r="Z29" s="122"/>
      <c r="AA29" s="122"/>
      <c r="AB29" s="122"/>
      <c r="AC29" s="123"/>
    </row>
    <row r="30" ht="18.75" customHeight="1" spans="1:29">
      <c r="A30" s="49">
        <v>22</v>
      </c>
      <c r="B30" s="119" t="s">
        <v>1525</v>
      </c>
      <c r="C30" s="120"/>
      <c r="D30" s="121" t="s">
        <v>104</v>
      </c>
      <c r="E30" s="124" t="s">
        <v>275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22">
        <f t="shared" si="0"/>
        <v>173329.0495</v>
      </c>
      <c r="T30" s="122">
        <v>173329.0495</v>
      </c>
      <c r="U30" s="122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22">
        <f t="shared" si="2"/>
        <v>0</v>
      </c>
      <c r="Z30" s="122"/>
      <c r="AA30" s="85"/>
      <c r="AB30" s="85"/>
      <c r="AC30" s="123"/>
    </row>
    <row r="31" ht="18.75" customHeight="1" spans="1:29">
      <c r="A31" s="49">
        <v>23</v>
      </c>
      <c r="B31" s="119" t="s">
        <v>1682</v>
      </c>
      <c r="C31" s="120"/>
      <c r="D31" s="121" t="s">
        <v>104</v>
      </c>
      <c r="E31" s="124" t="s">
        <v>75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22">
        <f t="shared" si="0"/>
        <v>233169.1175</v>
      </c>
      <c r="T31" s="122">
        <v>228602.07775</v>
      </c>
      <c r="U31" s="122">
        <f t="shared" si="1"/>
        <v>4567.03974999997</v>
      </c>
      <c r="V31" s="85"/>
      <c r="W31" s="44">
        <f t="shared" si="19"/>
        <v>1484.37</v>
      </c>
      <c r="X31" s="85">
        <v>1484.37</v>
      </c>
      <c r="Y31" s="122">
        <f t="shared" si="2"/>
        <v>0</v>
      </c>
      <c r="Z31" s="122"/>
      <c r="AA31" s="85"/>
      <c r="AB31" s="85"/>
      <c r="AC31" s="123"/>
    </row>
    <row r="32" ht="18.75" customHeight="1" spans="1:29">
      <c r="A32" s="49">
        <v>24</v>
      </c>
      <c r="B32" s="121" t="s">
        <v>190</v>
      </c>
      <c r="C32" s="121"/>
      <c r="D32" s="43" t="s">
        <v>1545</v>
      </c>
      <c r="E32" s="124" t="s">
        <v>218</v>
      </c>
      <c r="F32" s="122">
        <f>24741.26</f>
        <v>24741.26</v>
      </c>
      <c r="G32" s="122"/>
      <c r="H32" s="122">
        <f t="shared" si="3"/>
        <v>74223.78</v>
      </c>
      <c r="I32" s="122">
        <f t="shared" si="4"/>
        <v>1855.5945</v>
      </c>
      <c r="J32" s="122">
        <v>0</v>
      </c>
      <c r="K32" s="122">
        <f t="shared" si="5"/>
        <v>12370.63</v>
      </c>
      <c r="L32" s="122">
        <f t="shared" si="6"/>
        <v>86594.41</v>
      </c>
      <c r="M32" s="122">
        <f t="shared" si="7"/>
        <v>24741.26</v>
      </c>
      <c r="N32" s="44"/>
      <c r="O32" s="44">
        <f>70000</f>
        <v>70000</v>
      </c>
      <c r="P32" s="122">
        <f t="shared" si="8"/>
        <v>2474.126</v>
      </c>
      <c r="Q32" s="122">
        <v>15000</v>
      </c>
      <c r="R32" s="122">
        <v>0</v>
      </c>
      <c r="S32" s="122">
        <f t="shared" si="0"/>
        <v>312001.0605</v>
      </c>
      <c r="T32" s="122">
        <v>304201.026</v>
      </c>
      <c r="U32" s="122">
        <f t="shared" si="1"/>
        <v>7800.03450000001</v>
      </c>
      <c r="V32" s="122"/>
      <c r="W32" s="122">
        <f>7709.76</f>
        <v>7709.76</v>
      </c>
      <c r="X32" s="122">
        <v>7709.76</v>
      </c>
      <c r="Y32" s="122">
        <f t="shared" si="2"/>
        <v>0</v>
      </c>
      <c r="Z32" s="122"/>
      <c r="AA32" s="122"/>
      <c r="AB32" s="122"/>
      <c r="AC32" s="123"/>
    </row>
    <row r="33" ht="18.75" customHeight="1" spans="1:29">
      <c r="A33" s="49">
        <v>25</v>
      </c>
      <c r="B33" s="119" t="s">
        <v>259</v>
      </c>
      <c r="C33" s="120"/>
      <c r="D33" s="43" t="s">
        <v>1729</v>
      </c>
      <c r="E33" s="124" t="s">
        <v>153</v>
      </c>
      <c r="F33" s="122">
        <f>18779.3</f>
        <v>18779.3</v>
      </c>
      <c r="G33" s="122"/>
      <c r="H33" s="122">
        <f t="shared" si="3"/>
        <v>56337.9</v>
      </c>
      <c r="I33" s="122">
        <f t="shared" si="4"/>
        <v>1408.4475</v>
      </c>
      <c r="J33" s="122"/>
      <c r="K33" s="122">
        <f t="shared" si="5"/>
        <v>9389.65</v>
      </c>
      <c r="L33" s="122">
        <f t="shared" si="6"/>
        <v>65727.55</v>
      </c>
      <c r="M33" s="122">
        <f t="shared" si="7"/>
        <v>18779.3</v>
      </c>
      <c r="N33" s="44"/>
      <c r="O33" s="44">
        <f>60000</f>
        <v>60000</v>
      </c>
      <c r="P33" s="122">
        <f t="shared" si="8"/>
        <v>1877.93</v>
      </c>
      <c r="Q33" s="122">
        <v>10000</v>
      </c>
      <c r="R33" s="122"/>
      <c r="S33" s="122">
        <f t="shared" si="0"/>
        <v>242300.0775</v>
      </c>
      <c r="T33" s="122">
        <v>237734.047</v>
      </c>
      <c r="U33" s="122">
        <f t="shared" si="1"/>
        <v>4566.03049999999</v>
      </c>
      <c r="V33" s="122"/>
      <c r="W33" s="122">
        <v>3369.51</v>
      </c>
      <c r="X33" s="122">
        <v>3369.51</v>
      </c>
      <c r="Y33" s="122">
        <f t="shared" si="2"/>
        <v>0</v>
      </c>
      <c r="Z33" s="122"/>
      <c r="AA33" s="122"/>
      <c r="AB33" s="122"/>
      <c r="AC33" s="123"/>
    </row>
    <row r="34" ht="18.75" customHeight="1" spans="1:29">
      <c r="A34" s="49">
        <v>26</v>
      </c>
      <c r="B34" s="119" t="s">
        <v>319</v>
      </c>
      <c r="C34" s="120"/>
      <c r="D34" s="43" t="s">
        <v>1697</v>
      </c>
      <c r="E34" s="124" t="s">
        <v>78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22">
        <f t="shared" si="0"/>
        <v>237734.047</v>
      </c>
      <c r="T34" s="122">
        <v>233168.2</v>
      </c>
      <c r="U34" s="122">
        <f t="shared" si="1"/>
        <v>4565.84700000001</v>
      </c>
      <c r="V34" s="122"/>
      <c r="W34" s="122">
        <v>3369.51</v>
      </c>
      <c r="X34" s="122">
        <v>3369.51</v>
      </c>
      <c r="Y34" s="122">
        <f t="shared" si="2"/>
        <v>0</v>
      </c>
      <c r="Z34" s="122"/>
      <c r="AA34" s="122"/>
      <c r="AB34" s="122"/>
      <c r="AC34" s="123"/>
    </row>
    <row r="35" ht="18.75" customHeight="1" spans="1:29">
      <c r="A35" s="49">
        <v>27</v>
      </c>
      <c r="B35" s="119" t="s">
        <v>1596</v>
      </c>
      <c r="C35" s="120"/>
      <c r="D35" s="121" t="s">
        <v>1544</v>
      </c>
      <c r="E35" s="124" t="s">
        <v>105</v>
      </c>
      <c r="F35" s="135">
        <f>13492.21</f>
        <v>13492.21</v>
      </c>
      <c r="G35" s="122"/>
      <c r="H35" s="122">
        <f t="shared" ref="H35:H38" si="20">F35*300%</f>
        <v>40476.63</v>
      </c>
      <c r="I35" s="122">
        <f t="shared" ref="I35:I38" si="21">F35*7.5%</f>
        <v>1011.91575</v>
      </c>
      <c r="J35" s="122"/>
      <c r="K35" s="122">
        <f t="shared" ref="K35:K38" si="22">F35*50%</f>
        <v>6746.105</v>
      </c>
      <c r="L35" s="122">
        <f t="shared" ref="L35:L38" si="23">F35*350%</f>
        <v>47222.735</v>
      </c>
      <c r="M35" s="122">
        <f t="shared" ref="M35:M38" si="24">F35*100%</f>
        <v>13492.21</v>
      </c>
      <c r="N35" s="44"/>
      <c r="O35" s="44">
        <f>50000</f>
        <v>50000</v>
      </c>
      <c r="P35" s="122">
        <f t="shared" ref="P35:P38" si="25">F35*10%</f>
        <v>1349.221</v>
      </c>
      <c r="Q35" s="122">
        <v>10000</v>
      </c>
      <c r="R35" s="122"/>
      <c r="S35" s="122">
        <f t="shared" ref="S35:S36" si="26">SUM(F35:R35)</f>
        <v>183791.02675</v>
      </c>
      <c r="T35" s="122">
        <v>180304.068</v>
      </c>
      <c r="U35" s="122">
        <f t="shared" si="1"/>
        <v>3486.95874999999</v>
      </c>
      <c r="V35" s="122"/>
      <c r="W35" s="122">
        <v>1484.37</v>
      </c>
      <c r="X35" s="122">
        <v>1484.37</v>
      </c>
      <c r="Y35" s="122">
        <f t="shared" si="2"/>
        <v>0</v>
      </c>
      <c r="Z35" s="122"/>
      <c r="AA35" s="122"/>
      <c r="AB35" s="122"/>
      <c r="AC35" s="123"/>
    </row>
    <row r="36" ht="18.75" customHeight="1" spans="1:29">
      <c r="A36" s="49">
        <v>28</v>
      </c>
      <c r="B36" s="119" t="s">
        <v>84</v>
      </c>
      <c r="C36" s="120"/>
      <c r="D36" s="121" t="s">
        <v>1544</v>
      </c>
      <c r="E36" s="124" t="s">
        <v>1730</v>
      </c>
      <c r="F36" s="135">
        <f>13112.16</f>
        <v>13112.16</v>
      </c>
      <c r="G36" s="122"/>
      <c r="H36" s="122">
        <f t="shared" si="20"/>
        <v>39336.48</v>
      </c>
      <c r="I36" s="122">
        <f t="shared" si="21"/>
        <v>983.412</v>
      </c>
      <c r="J36" s="122"/>
      <c r="K36" s="122">
        <f t="shared" si="22"/>
        <v>6556.08</v>
      </c>
      <c r="L36" s="122">
        <f t="shared" si="23"/>
        <v>45892.56</v>
      </c>
      <c r="M36" s="122">
        <f t="shared" si="24"/>
        <v>13112.16</v>
      </c>
      <c r="N36" s="44"/>
      <c r="O36" s="44">
        <f>50000</f>
        <v>50000</v>
      </c>
      <c r="P36" s="122">
        <f t="shared" si="25"/>
        <v>1311.216</v>
      </c>
      <c r="Q36" s="122">
        <v>10000</v>
      </c>
      <c r="S36" s="122">
        <f t="shared" si="26"/>
        <v>180304.068</v>
      </c>
      <c r="T36" s="122">
        <v>176816.1</v>
      </c>
      <c r="U36" s="122">
        <f t="shared" si="1"/>
        <v>3487.96799999999</v>
      </c>
      <c r="V36" s="122"/>
      <c r="W36" s="122">
        <f>(1484.37)</f>
        <v>1484.37</v>
      </c>
      <c r="X36" s="122">
        <v>1484.37</v>
      </c>
      <c r="Y36" s="122">
        <f t="shared" si="2"/>
        <v>0</v>
      </c>
      <c r="Z36" s="122"/>
      <c r="AA36" s="122"/>
      <c r="AB36" s="122"/>
      <c r="AC36" s="123"/>
    </row>
    <row r="37" ht="18.75" customHeight="1" spans="1:29">
      <c r="A37" s="49">
        <v>29</v>
      </c>
      <c r="B37" s="131" t="s">
        <v>236</v>
      </c>
      <c r="C37" s="132"/>
      <c r="D37" s="17" t="s">
        <v>1699</v>
      </c>
      <c r="E37" s="124" t="s">
        <v>108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22">
        <f t="shared" si="0"/>
        <v>180304.068</v>
      </c>
      <c r="T37" s="122">
        <v>176816.1</v>
      </c>
      <c r="U37" s="122">
        <f t="shared" si="1"/>
        <v>3487.96799999999</v>
      </c>
      <c r="V37" s="122"/>
      <c r="W37" s="44">
        <f t="shared" ref="W37:W38" si="27">1484.37</f>
        <v>1484.37</v>
      </c>
      <c r="X37" s="122">
        <v>1484.37</v>
      </c>
      <c r="Y37" s="122">
        <f t="shared" si="2"/>
        <v>0</v>
      </c>
      <c r="Z37" s="122"/>
      <c r="AA37" s="122"/>
      <c r="AB37" s="122"/>
      <c r="AC37" s="123"/>
    </row>
    <row r="38" ht="18.75" customHeight="1" spans="1:29">
      <c r="A38" s="49">
        <v>30</v>
      </c>
      <c r="B38" s="131" t="s">
        <v>91</v>
      </c>
      <c r="C38" s="132"/>
      <c r="D38" s="17" t="s">
        <v>646</v>
      </c>
      <c r="E38" s="124" t="s">
        <v>275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22">
        <f t="shared" si="0"/>
        <v>173329.0495</v>
      </c>
      <c r="T38" s="122">
        <v>173329.0495</v>
      </c>
      <c r="U38" s="122">
        <f t="shared" si="1"/>
        <v>0</v>
      </c>
      <c r="V38" s="122"/>
      <c r="W38" s="44">
        <f t="shared" si="27"/>
        <v>1484.37</v>
      </c>
      <c r="X38" s="122">
        <v>1484.37</v>
      </c>
      <c r="Y38" s="122">
        <f t="shared" si="2"/>
        <v>0</v>
      </c>
      <c r="Z38" s="122"/>
      <c r="AA38" s="122"/>
      <c r="AB38" s="122"/>
      <c r="AC38" s="123"/>
    </row>
    <row r="39" ht="18.75" customHeight="1" spans="1:29">
      <c r="A39" s="49"/>
      <c r="B39" s="136" t="s">
        <v>120</v>
      </c>
      <c r="C39" s="136"/>
      <c r="D39" s="58">
        <v>30</v>
      </c>
      <c r="E39" s="124"/>
      <c r="F39" s="137">
        <f t="shared" ref="F39:S39" si="28">SUM(F9:F38)</f>
        <v>942987.95</v>
      </c>
      <c r="G39" s="137">
        <f t="shared" si="28"/>
        <v>0</v>
      </c>
      <c r="H39" s="137">
        <f t="shared" si="28"/>
        <v>2668475.1</v>
      </c>
      <c r="I39" s="137">
        <f t="shared" si="28"/>
        <v>106834.07</v>
      </c>
      <c r="J39" s="137">
        <f t="shared" si="28"/>
        <v>826982.66</v>
      </c>
      <c r="K39" s="137">
        <f t="shared" si="28"/>
        <v>463469.54</v>
      </c>
      <c r="L39" s="137">
        <f t="shared" si="28"/>
        <v>2738747.2</v>
      </c>
      <c r="M39" s="137">
        <f t="shared" si="28"/>
        <v>902865.77</v>
      </c>
      <c r="N39" s="138">
        <f t="shared" si="28"/>
        <v>1170000</v>
      </c>
      <c r="O39" s="138">
        <f t="shared" si="28"/>
        <v>1530000</v>
      </c>
      <c r="P39" s="137">
        <f t="shared" si="28"/>
        <v>94298.8</v>
      </c>
      <c r="Q39" s="137">
        <f t="shared" si="28"/>
        <v>470000</v>
      </c>
      <c r="R39" s="137">
        <f t="shared" si="28"/>
        <v>875235</v>
      </c>
      <c r="S39" s="137">
        <f t="shared" si="28"/>
        <v>12789896.09</v>
      </c>
      <c r="T39" s="137">
        <v>12388712.88825</v>
      </c>
      <c r="U39" s="139">
        <f>SUM(U9:U38)</f>
        <v>135911.20175</v>
      </c>
      <c r="V39" s="137"/>
      <c r="W39" s="137">
        <f t="shared" ref="W39" si="29">SUM(W9:W38)</f>
        <v>411374.07</v>
      </c>
      <c r="X39" s="137">
        <v>411374.07</v>
      </c>
      <c r="Y39" s="122">
        <f t="shared" si="2"/>
        <v>0</v>
      </c>
      <c r="Z39" s="137"/>
      <c r="AA39" s="137"/>
      <c r="AB39" s="137"/>
      <c r="AC39" s="123"/>
    </row>
    <row r="40" ht="18.75" customHeight="1" spans="1:29">
      <c r="A40" s="49"/>
      <c r="B40" s="136"/>
      <c r="C40" s="136"/>
      <c r="D40" s="43"/>
      <c r="E40" s="124"/>
      <c r="F40" s="137"/>
      <c r="G40" s="137"/>
      <c r="H40" s="137"/>
      <c r="I40" s="137"/>
      <c r="J40" s="137"/>
      <c r="K40" s="137"/>
      <c r="L40" s="137"/>
      <c r="M40" s="137"/>
      <c r="N40" s="44"/>
      <c r="O40" s="44"/>
      <c r="P40" s="137"/>
      <c r="Q40" s="137"/>
      <c r="R40" s="137"/>
      <c r="S40" s="137"/>
      <c r="T40" s="137"/>
      <c r="U40" s="122">
        <f t="shared" si="1"/>
        <v>0</v>
      </c>
      <c r="V40" s="137"/>
      <c r="W40" s="137"/>
      <c r="X40" s="137"/>
      <c r="Y40" s="122">
        <f t="shared" si="2"/>
        <v>0</v>
      </c>
      <c r="Z40" s="137"/>
      <c r="AA40" s="137"/>
      <c r="AB40" s="137"/>
    </row>
    <row r="41" ht="18.75" customHeight="1" spans="1:29">
      <c r="A41" s="49"/>
      <c r="B41" s="136" t="s">
        <v>121</v>
      </c>
      <c r="C41" s="136"/>
      <c r="D41" s="43"/>
      <c r="E41" s="124"/>
      <c r="F41" s="122"/>
      <c r="G41" s="122"/>
      <c r="H41" s="122"/>
      <c r="I41" s="122"/>
      <c r="J41" s="122"/>
      <c r="K41" s="122"/>
      <c r="L41" s="122"/>
      <c r="M41" s="122"/>
      <c r="N41" s="44"/>
      <c r="O41" s="44"/>
      <c r="P41" s="122"/>
      <c r="Q41" s="122"/>
      <c r="R41" s="122"/>
      <c r="S41" s="122"/>
      <c r="T41" s="122"/>
      <c r="U41" s="122">
        <f t="shared" si="1"/>
        <v>0</v>
      </c>
      <c r="V41" s="122"/>
      <c r="W41" s="122"/>
      <c r="X41" s="122"/>
      <c r="Y41" s="122">
        <f t="shared" si="2"/>
        <v>0</v>
      </c>
      <c r="Z41" s="122"/>
      <c r="AA41" s="122"/>
      <c r="AB41" s="122"/>
    </row>
    <row r="42" ht="18.75" customHeight="1" spans="1:29">
      <c r="A42" s="49">
        <v>1</v>
      </c>
      <c r="B42" s="119" t="s">
        <v>122</v>
      </c>
      <c r="C42" s="120"/>
      <c r="D42" s="43" t="s">
        <v>123</v>
      </c>
      <c r="E42" s="49" t="s">
        <v>140</v>
      </c>
      <c r="F42" s="122">
        <f>79039.64</f>
        <v>79039.64</v>
      </c>
      <c r="G42" s="122"/>
      <c r="H42" s="122">
        <f>F42*300%</f>
        <v>237118.92</v>
      </c>
      <c r="I42" s="122">
        <f>F42*7.5%</f>
        <v>5927.973</v>
      </c>
      <c r="J42" s="122">
        <v>80244.38</v>
      </c>
      <c r="K42" s="122">
        <f>F42*50%</f>
        <v>39519.82</v>
      </c>
      <c r="L42" s="122">
        <f>F42*350%</f>
        <v>276638.74</v>
      </c>
      <c r="M42" s="122">
        <f t="shared" ref="M42" si="30">F42*100%</f>
        <v>79039.64</v>
      </c>
      <c r="N42" s="44"/>
      <c r="O42" s="44">
        <f>100000</f>
        <v>100000</v>
      </c>
      <c r="P42" s="122">
        <f t="shared" ref="P42" si="31">F42*10%</f>
        <v>7903.964</v>
      </c>
      <c r="Q42" s="122">
        <v>20000</v>
      </c>
      <c r="R42" s="122"/>
      <c r="S42" s="122">
        <f>SUM(F42:R42)</f>
        <v>925433.077</v>
      </c>
      <c r="T42" s="122">
        <v>900657.4575</v>
      </c>
      <c r="U42" s="122">
        <f t="shared" si="1"/>
        <v>24775.6195</v>
      </c>
      <c r="V42" s="122"/>
      <c r="W42" s="122">
        <f>(52776.63)</f>
        <v>52776.63</v>
      </c>
      <c r="X42" s="122">
        <v>52776.63</v>
      </c>
      <c r="Y42" s="122">
        <f t="shared" si="2"/>
        <v>0</v>
      </c>
      <c r="Z42" s="122"/>
      <c r="AA42" s="122"/>
      <c r="AB42" s="122"/>
    </row>
    <row r="43" ht="19.5" customHeight="1" spans="1:29">
      <c r="A43" s="49"/>
      <c r="B43" s="43"/>
      <c r="C43" s="42" t="s">
        <v>120</v>
      </c>
      <c r="D43" s="58">
        <v>1</v>
      </c>
      <c r="E43" s="49"/>
      <c r="F43" s="137">
        <f t="shared" ref="F43:M43" si="32">SUM(F42:F42)</f>
        <v>79039.64</v>
      </c>
      <c r="G43" s="137">
        <f t="shared" si="32"/>
        <v>0</v>
      </c>
      <c r="H43" s="137">
        <f t="shared" si="32"/>
        <v>237118.92</v>
      </c>
      <c r="I43" s="137">
        <f t="shared" si="32"/>
        <v>5927.973</v>
      </c>
      <c r="J43" s="137">
        <f t="shared" si="32"/>
        <v>80244.38</v>
      </c>
      <c r="K43" s="137">
        <f t="shared" si="32"/>
        <v>39519.82</v>
      </c>
      <c r="L43" s="137">
        <f t="shared" si="32"/>
        <v>276638.74</v>
      </c>
      <c r="M43" s="137">
        <f t="shared" si="32"/>
        <v>79039.64</v>
      </c>
      <c r="N43" s="138"/>
      <c r="O43" s="138">
        <f>SUM(O42:O42)</f>
        <v>100000</v>
      </c>
      <c r="P43" s="137">
        <f>SUM(P42:P42)</f>
        <v>7903.964</v>
      </c>
      <c r="Q43" s="137">
        <f>SUM(Q42:Q42)</f>
        <v>20000</v>
      </c>
      <c r="R43" s="137">
        <f>SUM(R42:R42)</f>
        <v>0</v>
      </c>
      <c r="S43" s="137">
        <f>SUM(S42:S42)</f>
        <v>925433.077</v>
      </c>
      <c r="T43" s="137">
        <v>900657.4575</v>
      </c>
      <c r="U43" s="139">
        <f t="shared" si="1"/>
        <v>24775.6195</v>
      </c>
      <c r="V43" s="137"/>
      <c r="W43" s="137">
        <f>SUM(W42:W42)</f>
        <v>52776.63</v>
      </c>
      <c r="X43" s="137">
        <v>52776.63</v>
      </c>
      <c r="Y43" s="122">
        <f t="shared" si="2"/>
        <v>0</v>
      </c>
      <c r="Z43" s="137"/>
      <c r="AA43" s="137"/>
      <c r="AB43" s="137"/>
    </row>
    <row r="44" customHeight="1" spans="1:29">
      <c r="A44" s="49"/>
      <c r="B44" s="140"/>
      <c r="C44" s="141"/>
      <c r="D44" s="43"/>
      <c r="E44" s="49"/>
      <c r="F44" s="137"/>
      <c r="G44" s="137"/>
      <c r="H44" s="137"/>
      <c r="I44" s="137"/>
      <c r="J44" s="137"/>
      <c r="K44" s="137"/>
      <c r="L44" s="137"/>
      <c r="M44" s="137"/>
      <c r="N44" s="44"/>
      <c r="O44" s="44"/>
      <c r="P44" s="137"/>
      <c r="Q44" s="137"/>
      <c r="R44" s="137"/>
      <c r="S44" s="137"/>
      <c r="T44" s="137"/>
      <c r="U44" s="122">
        <f t="shared" si="1"/>
        <v>0</v>
      </c>
      <c r="V44" s="137"/>
      <c r="W44" s="137"/>
      <c r="X44" s="137"/>
      <c r="Y44" s="122">
        <f t="shared" si="2"/>
        <v>0</v>
      </c>
      <c r="Z44" s="122"/>
      <c r="AA44" s="122"/>
      <c r="AB44" s="122"/>
    </row>
    <row r="45" customHeight="1" spans="1:29">
      <c r="A45" s="49"/>
      <c r="B45" s="142" t="s">
        <v>137</v>
      </c>
      <c r="C45" s="143"/>
      <c r="D45" s="144"/>
      <c r="E45" s="57"/>
      <c r="F45" s="137"/>
      <c r="G45" s="137"/>
      <c r="H45" s="137"/>
      <c r="I45" s="122"/>
      <c r="J45" s="122"/>
      <c r="K45" s="122"/>
      <c r="L45" s="122"/>
      <c r="M45" s="122"/>
      <c r="N45" s="44"/>
      <c r="O45" s="44"/>
      <c r="P45" s="122"/>
      <c r="Q45" s="122"/>
      <c r="R45" s="122"/>
      <c r="S45" s="122"/>
      <c r="T45" s="122"/>
      <c r="U45" s="122">
        <f t="shared" si="1"/>
        <v>0</v>
      </c>
      <c r="V45" s="122"/>
      <c r="W45" s="122"/>
      <c r="X45" s="122"/>
      <c r="Y45" s="122">
        <f t="shared" si="2"/>
        <v>0</v>
      </c>
      <c r="Z45" s="122"/>
      <c r="AA45" s="122"/>
      <c r="AB45" s="122"/>
    </row>
    <row r="46" customHeight="1" spans="1:29">
      <c r="A46" s="49">
        <v>1</v>
      </c>
      <c r="B46" s="119" t="s">
        <v>912</v>
      </c>
      <c r="C46" s="120"/>
      <c r="D46" s="43" t="s">
        <v>913</v>
      </c>
      <c r="E46" s="49" t="s">
        <v>124</v>
      </c>
      <c r="F46" s="122">
        <f>81740.02</f>
        <v>81740.02</v>
      </c>
      <c r="G46" s="122"/>
      <c r="H46" s="122">
        <f>F46*300%</f>
        <v>245220.06</v>
      </c>
      <c r="I46" s="122">
        <f>F46*7.5%</f>
        <v>6130.5015</v>
      </c>
      <c r="J46" s="122">
        <v>80244.38</v>
      </c>
      <c r="K46" s="122">
        <f>F46*50%</f>
        <v>40870.01</v>
      </c>
      <c r="L46" s="122">
        <f>F46*350%</f>
        <v>286090.07</v>
      </c>
      <c r="M46" s="122">
        <f t="shared" ref="M46:M55" si="33">F46*100%</f>
        <v>81740.02</v>
      </c>
      <c r="N46" s="44">
        <f>200000</f>
        <v>200000</v>
      </c>
      <c r="O46" s="44"/>
      <c r="P46" s="122">
        <f t="shared" ref="P46:P55" si="34">F46*10%</f>
        <v>8174.002</v>
      </c>
      <c r="Q46" s="122">
        <v>20000</v>
      </c>
      <c r="R46" s="122"/>
      <c r="S46" s="122">
        <f t="shared" ref="S46:S55" si="35">SUM(F46:R46)</f>
        <v>1050209.0635</v>
      </c>
      <c r="T46" s="122">
        <v>1050209.0635</v>
      </c>
      <c r="U46" s="122">
        <f t="shared" si="1"/>
        <v>0</v>
      </c>
      <c r="V46" s="122"/>
      <c r="W46" s="122">
        <f>52776.63</f>
        <v>52776.63</v>
      </c>
      <c r="X46" s="122">
        <v>52776.63</v>
      </c>
      <c r="Y46" s="122">
        <f t="shared" si="2"/>
        <v>0</v>
      </c>
      <c r="Z46" s="122"/>
      <c r="AA46" s="122"/>
      <c r="AB46" s="122"/>
    </row>
    <row r="47" customHeight="1" spans="1:29">
      <c r="A47" s="49">
        <v>2</v>
      </c>
      <c r="B47" s="119" t="s">
        <v>914</v>
      </c>
      <c r="C47" s="120"/>
      <c r="D47" s="43" t="s">
        <v>44</v>
      </c>
      <c r="E47" s="49" t="s">
        <v>39</v>
      </c>
      <c r="F47" s="122">
        <f>33507.5</f>
        <v>33507.5</v>
      </c>
      <c r="G47" s="122"/>
      <c r="H47" s="122">
        <f>F47*300%</f>
        <v>100522.5</v>
      </c>
      <c r="I47" s="122">
        <f>F47*7.5%</f>
        <v>2513.0625</v>
      </c>
      <c r="J47" s="122">
        <v>40122.19</v>
      </c>
      <c r="K47" s="122">
        <f>F47*50%</f>
        <v>16753.75</v>
      </c>
      <c r="L47" s="122">
        <f>F47*350%</f>
        <v>117276.25</v>
      </c>
      <c r="M47" s="122">
        <f t="shared" si="33"/>
        <v>33507.5</v>
      </c>
      <c r="N47" s="44">
        <f>160000</f>
        <v>160000</v>
      </c>
      <c r="O47" s="44"/>
      <c r="P47" s="122">
        <f t="shared" si="34"/>
        <v>3350.75</v>
      </c>
      <c r="Q47" s="122">
        <v>20000</v>
      </c>
      <c r="R47" s="122">
        <v>0</v>
      </c>
      <c r="S47" s="122">
        <f t="shared" si="35"/>
        <v>527553.5025</v>
      </c>
      <c r="T47" s="122">
        <v>527553.5025</v>
      </c>
      <c r="U47" s="122">
        <f t="shared" si="1"/>
        <v>0</v>
      </c>
      <c r="V47" s="122"/>
      <c r="W47" s="122">
        <v>15548.33</v>
      </c>
      <c r="X47" s="122">
        <v>15548.33</v>
      </c>
      <c r="Y47" s="122">
        <f t="shared" si="2"/>
        <v>0</v>
      </c>
      <c r="Z47" s="122"/>
      <c r="AA47" s="122"/>
      <c r="AB47" s="122"/>
    </row>
    <row r="48" customHeight="1" spans="1:29">
      <c r="A48" s="49">
        <v>3</v>
      </c>
      <c r="B48" s="119" t="s">
        <v>138</v>
      </c>
      <c r="C48" s="120"/>
      <c r="D48" s="43" t="s">
        <v>145</v>
      </c>
      <c r="E48" s="49" t="s">
        <v>39</v>
      </c>
      <c r="F48" s="122">
        <f>33507.5</f>
        <v>33507.5</v>
      </c>
      <c r="G48" s="122"/>
      <c r="H48" s="122">
        <f>F48*300%</f>
        <v>100522.5</v>
      </c>
      <c r="I48" s="122">
        <f>F48*7.5%</f>
        <v>2513.0625</v>
      </c>
      <c r="J48" s="122">
        <v>40122.19</v>
      </c>
      <c r="K48" s="122">
        <f>F48*50%</f>
        <v>16753.75</v>
      </c>
      <c r="L48" s="122">
        <f>F48*350%</f>
        <v>117276.25</v>
      </c>
      <c r="M48" s="122">
        <f t="shared" si="33"/>
        <v>33507.5</v>
      </c>
      <c r="N48" s="44">
        <f>160000</f>
        <v>160000</v>
      </c>
      <c r="O48" s="44"/>
      <c r="P48" s="122">
        <f t="shared" si="34"/>
        <v>3350.75</v>
      </c>
      <c r="Q48" s="122">
        <v>20000</v>
      </c>
      <c r="R48" s="122"/>
      <c r="S48" s="122">
        <f t="shared" si="35"/>
        <v>527553.5025</v>
      </c>
      <c r="T48" s="122">
        <v>527553.5025</v>
      </c>
      <c r="U48" s="122">
        <f t="shared" si="1"/>
        <v>0</v>
      </c>
      <c r="V48" s="122"/>
      <c r="W48" s="122">
        <v>15548.33</v>
      </c>
      <c r="X48" s="122">
        <v>15548.33</v>
      </c>
      <c r="Y48" s="122">
        <f t="shared" si="2"/>
        <v>0</v>
      </c>
      <c r="Z48" s="122"/>
      <c r="AA48" s="122"/>
      <c r="AB48" s="122"/>
    </row>
    <row r="49" customHeight="1" spans="1:28">
      <c r="A49" s="49">
        <v>4</v>
      </c>
      <c r="B49" s="119" t="s">
        <v>141</v>
      </c>
      <c r="C49" s="120"/>
      <c r="D49" s="43" t="s">
        <v>145</v>
      </c>
      <c r="E49" s="49" t="s">
        <v>50</v>
      </c>
      <c r="F49" s="122">
        <f>32263.2</f>
        <v>32263.2</v>
      </c>
      <c r="G49" s="122"/>
      <c r="H49" s="122">
        <f>F49*300%</f>
        <v>96789.6</v>
      </c>
      <c r="I49" s="122">
        <f>F49*7.5%</f>
        <v>2419.74</v>
      </c>
      <c r="J49" s="122">
        <v>40122.19</v>
      </c>
      <c r="K49" s="122">
        <f>F49*50%</f>
        <v>16131.6</v>
      </c>
      <c r="L49" s="122">
        <f>F49*350%</f>
        <v>112921.2</v>
      </c>
      <c r="M49" s="122">
        <f t="shared" si="33"/>
        <v>32263.2</v>
      </c>
      <c r="N49" s="44">
        <f>160000</f>
        <v>160000</v>
      </c>
      <c r="O49" s="44"/>
      <c r="P49" s="122">
        <f t="shared" si="34"/>
        <v>3226.32</v>
      </c>
      <c r="Q49" s="122">
        <v>20000</v>
      </c>
      <c r="R49" s="122"/>
      <c r="S49" s="122">
        <f t="shared" si="35"/>
        <v>516137.05</v>
      </c>
      <c r="T49" s="122">
        <v>504720.047</v>
      </c>
      <c r="U49" s="122">
        <f t="shared" si="1"/>
        <v>11417.003</v>
      </c>
      <c r="V49" s="122"/>
      <c r="W49" s="122">
        <f>15548.33</f>
        <v>15548.33</v>
      </c>
      <c r="X49" s="122">
        <v>15548.33</v>
      </c>
      <c r="Y49" s="122">
        <f t="shared" si="2"/>
        <v>0</v>
      </c>
      <c r="Z49" s="122"/>
      <c r="AA49" s="122"/>
      <c r="AB49" s="122"/>
    </row>
    <row r="50" customHeight="1" spans="1:28">
      <c r="A50" s="49">
        <v>5</v>
      </c>
      <c r="B50" s="119" t="s">
        <v>144</v>
      </c>
      <c r="C50" s="120"/>
      <c r="D50" s="43" t="s">
        <v>46</v>
      </c>
      <c r="E50" s="49" t="s">
        <v>192</v>
      </c>
      <c r="F50" s="122">
        <f>28489.81</f>
        <v>28489.81</v>
      </c>
      <c r="G50" s="122"/>
      <c r="H50" s="122">
        <f t="shared" ref="H50:H55" si="36">F50*300%</f>
        <v>85469.43</v>
      </c>
      <c r="I50" s="122">
        <f t="shared" ref="I50:I55" si="37">F50*7.5%</f>
        <v>2136.73575</v>
      </c>
      <c r="J50" s="122">
        <v>0</v>
      </c>
      <c r="K50" s="122">
        <f t="shared" ref="K50:K55" si="38">F50*50%</f>
        <v>14244.905</v>
      </c>
      <c r="L50" s="122">
        <f t="shared" ref="L50:L55" si="39">F50*350%</f>
        <v>99714.335</v>
      </c>
      <c r="M50" s="122">
        <f t="shared" si="33"/>
        <v>28489.81</v>
      </c>
      <c r="N50" s="44">
        <f t="shared" ref="N50:N52" si="40">140000</f>
        <v>140000</v>
      </c>
      <c r="O50" s="44"/>
      <c r="P50" s="122">
        <f t="shared" si="34"/>
        <v>2848.981</v>
      </c>
      <c r="Q50" s="122">
        <v>20000</v>
      </c>
      <c r="R50" s="122">
        <v>0</v>
      </c>
      <c r="S50" s="122">
        <f t="shared" si="35"/>
        <v>421394.00675</v>
      </c>
      <c r="T50" s="122">
        <v>421394.00675</v>
      </c>
      <c r="U50" s="122">
        <f t="shared" si="1"/>
        <v>0</v>
      </c>
      <c r="V50" s="122"/>
      <c r="W50" s="122">
        <v>7709.76</v>
      </c>
      <c r="X50" s="122">
        <v>7709.76</v>
      </c>
      <c r="Y50" s="122">
        <f t="shared" si="2"/>
        <v>0</v>
      </c>
      <c r="Z50" s="122"/>
      <c r="AA50" s="122"/>
      <c r="AB50" s="122"/>
    </row>
    <row r="51" customHeight="1" spans="1:28">
      <c r="A51" s="49">
        <v>6</v>
      </c>
      <c r="B51" s="119" t="s">
        <v>146</v>
      </c>
      <c r="C51" s="120"/>
      <c r="D51" s="43" t="s">
        <v>46</v>
      </c>
      <c r="E51" s="49" t="s">
        <v>214</v>
      </c>
      <c r="F51" s="122">
        <f>26732.65</f>
        <v>26732.65</v>
      </c>
      <c r="G51" s="122"/>
      <c r="H51" s="122">
        <f t="shared" si="36"/>
        <v>80197.95</v>
      </c>
      <c r="I51" s="122">
        <f t="shared" si="37"/>
        <v>2004.94875</v>
      </c>
      <c r="J51" s="122"/>
      <c r="K51" s="122">
        <f t="shared" si="38"/>
        <v>13366.325</v>
      </c>
      <c r="L51" s="122">
        <f t="shared" si="39"/>
        <v>93564.275</v>
      </c>
      <c r="M51" s="122">
        <f t="shared" si="33"/>
        <v>26732.65</v>
      </c>
      <c r="N51" s="44">
        <f t="shared" si="40"/>
        <v>140000</v>
      </c>
      <c r="O51" s="44"/>
      <c r="P51" s="122">
        <f t="shared" si="34"/>
        <v>2673.265</v>
      </c>
      <c r="Q51" s="122">
        <v>20000</v>
      </c>
      <c r="R51" s="122"/>
      <c r="S51" s="122">
        <f t="shared" si="35"/>
        <v>405272.06375</v>
      </c>
      <c r="T51" s="122">
        <v>397211.3675</v>
      </c>
      <c r="U51" s="122">
        <f t="shared" si="1"/>
        <v>8060.69624999998</v>
      </c>
      <c r="V51" s="122"/>
      <c r="W51" s="122">
        <v>7709.76</v>
      </c>
      <c r="X51" s="122">
        <v>7709.76</v>
      </c>
      <c r="Y51" s="122">
        <f t="shared" si="2"/>
        <v>0</v>
      </c>
      <c r="Z51" s="122"/>
      <c r="AA51" s="122"/>
      <c r="AB51" s="122"/>
    </row>
    <row r="52" customHeight="1" spans="1:28">
      <c r="A52" s="49">
        <v>7</v>
      </c>
      <c r="B52" s="145" t="s">
        <v>147</v>
      </c>
      <c r="C52" s="146"/>
      <c r="D52" s="43" t="s">
        <v>52</v>
      </c>
      <c r="E52" s="16" t="s">
        <v>214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22">
        <f t="shared" si="35"/>
        <v>405272.06375</v>
      </c>
      <c r="T52" s="122">
        <v>397211.3675</v>
      </c>
      <c r="U52" s="122">
        <f t="shared" si="1"/>
        <v>8060.69624999998</v>
      </c>
      <c r="V52" s="85"/>
      <c r="W52" s="85">
        <v>7709.76</v>
      </c>
      <c r="X52" s="85">
        <v>7709.76</v>
      </c>
      <c r="Y52" s="122">
        <f t="shared" si="2"/>
        <v>0</v>
      </c>
      <c r="Z52" s="122"/>
      <c r="AA52" s="122"/>
      <c r="AB52" s="122"/>
    </row>
    <row r="53" customHeight="1" spans="1:28">
      <c r="A53" s="49">
        <v>8</v>
      </c>
      <c r="B53" s="119" t="s">
        <v>1601</v>
      </c>
      <c r="C53" s="120"/>
      <c r="D53" s="43" t="s">
        <v>217</v>
      </c>
      <c r="E53" s="49" t="s">
        <v>601</v>
      </c>
      <c r="F53" s="122">
        <f>25523.45</f>
        <v>25523.45</v>
      </c>
      <c r="G53" s="122"/>
      <c r="H53" s="122">
        <f t="shared" si="36"/>
        <v>76570.35</v>
      </c>
      <c r="I53" s="122">
        <f t="shared" si="37"/>
        <v>1914.25875</v>
      </c>
      <c r="J53" s="122">
        <v>0</v>
      </c>
      <c r="K53" s="122">
        <f t="shared" si="38"/>
        <v>12761.725</v>
      </c>
      <c r="L53" s="122">
        <f t="shared" si="39"/>
        <v>89332.075</v>
      </c>
      <c r="M53" s="122">
        <f t="shared" si="33"/>
        <v>25523.45</v>
      </c>
      <c r="N53" s="44">
        <f>120000</f>
        <v>120000</v>
      </c>
      <c r="O53" s="44"/>
      <c r="P53" s="122">
        <f t="shared" si="34"/>
        <v>2552.345</v>
      </c>
      <c r="Q53" s="122">
        <v>15000</v>
      </c>
      <c r="R53" s="122">
        <v>0</v>
      </c>
      <c r="S53" s="122">
        <f t="shared" si="35"/>
        <v>369177.65375</v>
      </c>
      <c r="T53" s="122">
        <v>362001.0605</v>
      </c>
      <c r="U53" s="122">
        <f t="shared" si="1"/>
        <v>7176.59324999998</v>
      </c>
      <c r="V53" s="122"/>
      <c r="W53" s="122">
        <v>7709.76</v>
      </c>
      <c r="X53" s="122">
        <v>7709.76</v>
      </c>
      <c r="Y53" s="122">
        <f t="shared" si="2"/>
        <v>0</v>
      </c>
      <c r="Z53" s="122"/>
      <c r="AA53" s="122"/>
      <c r="AB53" s="122"/>
    </row>
    <row r="54" customHeight="1" spans="1:28">
      <c r="A54" s="49">
        <v>9</v>
      </c>
      <c r="B54" s="147" t="s">
        <v>1770</v>
      </c>
      <c r="C54" s="148"/>
      <c r="D54" s="149" t="s">
        <v>52</v>
      </c>
      <c r="E54" s="150" t="s">
        <v>53</v>
      </c>
      <c r="F54" s="151">
        <f>25854.1</f>
        <v>25854.1</v>
      </c>
      <c r="G54" s="151"/>
      <c r="H54" s="151">
        <f t="shared" si="36"/>
        <v>77562.3</v>
      </c>
      <c r="I54" s="151">
        <f t="shared" si="37"/>
        <v>1939.0575</v>
      </c>
      <c r="J54" s="151">
        <v>0</v>
      </c>
      <c r="K54" s="151">
        <f t="shared" si="38"/>
        <v>12927.05</v>
      </c>
      <c r="L54" s="151">
        <f t="shared" si="39"/>
        <v>90489.35</v>
      </c>
      <c r="M54" s="151">
        <f t="shared" si="33"/>
        <v>25854.1</v>
      </c>
      <c r="N54" s="152">
        <v>140000</v>
      </c>
      <c r="O54" s="152"/>
      <c r="P54" s="151">
        <f t="shared" si="34"/>
        <v>2585.41</v>
      </c>
      <c r="Q54" s="151">
        <v>20000</v>
      </c>
      <c r="R54" s="151">
        <v>0</v>
      </c>
      <c r="S54" s="151">
        <f t="shared" si="35"/>
        <v>397211.3675</v>
      </c>
      <c r="T54" s="151">
        <v>397211.3675</v>
      </c>
      <c r="U54" s="122">
        <f t="shared" si="1"/>
        <v>0</v>
      </c>
      <c r="V54" s="151"/>
      <c r="W54" s="151">
        <v>7709.76</v>
      </c>
      <c r="X54" s="151">
        <v>7709.76</v>
      </c>
      <c r="Y54" s="122">
        <f t="shared" si="2"/>
        <v>0</v>
      </c>
      <c r="Z54" s="122"/>
      <c r="AA54" s="122"/>
      <c r="AB54" s="122"/>
    </row>
    <row r="55" customHeight="1" spans="1:28">
      <c r="A55" s="49">
        <v>10</v>
      </c>
      <c r="B55" s="131" t="s">
        <v>45</v>
      </c>
      <c r="C55" s="132"/>
      <c r="D55" s="43" t="s">
        <v>927</v>
      </c>
      <c r="E55" s="10" t="s">
        <v>218</v>
      </c>
      <c r="F55" s="85">
        <f>24741.26</f>
        <v>24741.26</v>
      </c>
      <c r="G55" s="122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22">
        <f t="shared" si="35"/>
        <v>362001.0605</v>
      </c>
      <c r="T55" s="122">
        <v>354201.026</v>
      </c>
      <c r="U55" s="122">
        <f t="shared" si="1"/>
        <v>7800.03449999995</v>
      </c>
      <c r="V55" s="85"/>
      <c r="W55" s="85">
        <f>7709.76</f>
        <v>7709.76</v>
      </c>
      <c r="X55" s="85">
        <v>7709.76</v>
      </c>
      <c r="Y55" s="122">
        <f t="shared" si="2"/>
        <v>0</v>
      </c>
      <c r="Z55" s="122"/>
      <c r="AA55" s="122"/>
      <c r="AB55" s="122"/>
    </row>
    <row r="56" customHeight="1" spans="1:28">
      <c r="A56" s="49"/>
      <c r="B56" s="153" t="s">
        <v>120</v>
      </c>
      <c r="C56" s="15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38">
        <f t="shared" si="42"/>
        <v>1480000</v>
      </c>
      <c r="O56" s="13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39">
        <f t="shared" si="1"/>
        <v>42515.0232499987</v>
      </c>
      <c r="V56" s="93"/>
      <c r="W56" s="93">
        <f>SUM(W46:W55)</f>
        <v>145680.18</v>
      </c>
      <c r="X56" s="93">
        <v>145680.18</v>
      </c>
      <c r="Y56" s="122">
        <f t="shared" si="2"/>
        <v>0</v>
      </c>
      <c r="Z56" s="93"/>
      <c r="AA56" s="93"/>
      <c r="AB56" s="93"/>
    </row>
    <row r="57" customHeight="1" spans="1:28">
      <c r="A57" s="49"/>
      <c r="B57" s="155"/>
      <c r="C57" s="155"/>
      <c r="D57" s="21"/>
      <c r="E57" s="21"/>
      <c r="F57" s="156"/>
      <c r="G57" s="156"/>
      <c r="H57" s="156"/>
      <c r="I57" s="156"/>
      <c r="J57" s="156"/>
      <c r="K57" s="156"/>
      <c r="L57" s="156"/>
      <c r="M57" s="156"/>
      <c r="N57" s="44"/>
      <c r="O57" s="44"/>
      <c r="P57" s="156"/>
      <c r="Q57" s="156"/>
      <c r="R57" s="156"/>
      <c r="S57" s="156"/>
      <c r="T57" s="156"/>
      <c r="U57" s="122">
        <f t="shared" si="1"/>
        <v>0</v>
      </c>
      <c r="V57" s="156"/>
      <c r="W57" s="156"/>
      <c r="X57" s="156"/>
      <c r="Y57" s="122">
        <f t="shared" si="2"/>
        <v>0</v>
      </c>
      <c r="Z57" s="156"/>
      <c r="AA57" s="156"/>
      <c r="AB57" s="156"/>
    </row>
    <row r="58" customHeight="1" spans="1:28">
      <c r="A58" s="49"/>
      <c r="B58" s="153" t="s">
        <v>159</v>
      </c>
      <c r="C58" s="154"/>
      <c r="D58" s="21"/>
      <c r="E58" s="21"/>
      <c r="F58" s="156"/>
      <c r="G58" s="156"/>
      <c r="H58" s="156"/>
      <c r="I58" s="156"/>
      <c r="J58" s="156"/>
      <c r="K58" s="156"/>
      <c r="L58" s="156"/>
      <c r="M58" s="156"/>
      <c r="N58" s="44"/>
      <c r="O58" s="44"/>
      <c r="P58" s="156"/>
      <c r="Q58" s="156"/>
      <c r="R58" s="156"/>
      <c r="S58" s="156"/>
      <c r="T58" s="156"/>
      <c r="U58" s="122">
        <f t="shared" si="1"/>
        <v>0</v>
      </c>
      <c r="V58" s="156"/>
      <c r="W58" s="156"/>
      <c r="X58" s="156"/>
      <c r="Y58" s="122">
        <f t="shared" si="2"/>
        <v>0</v>
      </c>
      <c r="Z58" s="156"/>
      <c r="AA58" s="156"/>
      <c r="AB58" s="156"/>
    </row>
    <row r="59" customHeight="1" spans="1:28">
      <c r="A59" s="49">
        <v>1</v>
      </c>
      <c r="B59" s="119" t="s">
        <v>916</v>
      </c>
      <c r="C59" s="120"/>
      <c r="D59" s="121" t="s">
        <v>161</v>
      </c>
      <c r="E59" s="124" t="s">
        <v>124</v>
      </c>
      <c r="F59" s="122">
        <f>81740.02</f>
        <v>81740.02</v>
      </c>
      <c r="G59" s="122"/>
      <c r="H59" s="122">
        <f>F59*300%</f>
        <v>245220.06</v>
      </c>
      <c r="I59" s="122">
        <f>F59*7.5%</f>
        <v>6130.5015</v>
      </c>
      <c r="J59" s="122">
        <v>80244.38</v>
      </c>
      <c r="K59" s="122">
        <f>F59*50%</f>
        <v>40870.01</v>
      </c>
      <c r="L59" s="122">
        <f>F59*350%</f>
        <v>286090.07</v>
      </c>
      <c r="M59" s="122">
        <f>F59*100%</f>
        <v>81740.02</v>
      </c>
      <c r="N59" s="44">
        <f>200000</f>
        <v>200000</v>
      </c>
      <c r="O59" s="44"/>
      <c r="P59" s="122">
        <f>F59*10%</f>
        <v>8174.002</v>
      </c>
      <c r="Q59" s="122">
        <v>20000</v>
      </c>
      <c r="R59" s="122">
        <v>0</v>
      </c>
      <c r="S59" s="122">
        <f>SUM(F59:R59)</f>
        <v>1050209.0635</v>
      </c>
      <c r="T59" s="122">
        <v>1050209.0635</v>
      </c>
      <c r="U59" s="122">
        <f t="shared" si="1"/>
        <v>0</v>
      </c>
      <c r="V59" s="122"/>
      <c r="W59" s="122">
        <v>52776.63</v>
      </c>
      <c r="X59" s="122">
        <v>52776.63</v>
      </c>
      <c r="Y59" s="122">
        <f t="shared" si="2"/>
        <v>0</v>
      </c>
      <c r="Z59" s="122"/>
      <c r="AA59" s="122"/>
      <c r="AB59" s="122"/>
    </row>
    <row r="60" customHeight="1" spans="1:28">
      <c r="A60" s="49">
        <v>2</v>
      </c>
      <c r="B60" s="119" t="s">
        <v>162</v>
      </c>
      <c r="C60" s="120"/>
      <c r="D60" s="121" t="s">
        <v>485</v>
      </c>
      <c r="E60" s="124" t="s">
        <v>925</v>
      </c>
      <c r="F60" s="122">
        <f>32263.2</f>
        <v>32263.2</v>
      </c>
      <c r="G60" s="122"/>
      <c r="H60" s="122">
        <f t="shared" ref="H60" si="43">F60*300%</f>
        <v>96789.6</v>
      </c>
      <c r="I60" s="122">
        <f t="shared" ref="I60" si="44">F60*7.5%</f>
        <v>2419.74</v>
      </c>
      <c r="J60" s="122">
        <v>40122.19</v>
      </c>
      <c r="K60" s="122">
        <f t="shared" ref="K60" si="45">F60*50%</f>
        <v>16131.6</v>
      </c>
      <c r="L60" s="122">
        <f t="shared" ref="L60" si="46">F60*350%</f>
        <v>112921.2</v>
      </c>
      <c r="M60" s="122">
        <f t="shared" ref="M60" si="47">F60*100%</f>
        <v>32263.2</v>
      </c>
      <c r="N60" s="44"/>
      <c r="O60" s="44">
        <f>80000</f>
        <v>80000</v>
      </c>
      <c r="P60" s="122">
        <f t="shared" ref="P60" si="48">F60*10%</f>
        <v>3226.32</v>
      </c>
      <c r="Q60" s="122">
        <v>20000</v>
      </c>
      <c r="R60" s="133">
        <v>0</v>
      </c>
      <c r="S60" s="122">
        <f t="shared" ref="S60" si="49">SUM(F60:R60)</f>
        <v>436137.05</v>
      </c>
      <c r="T60" s="122">
        <v>424720.047</v>
      </c>
      <c r="U60" s="122">
        <f t="shared" si="1"/>
        <v>11417.003</v>
      </c>
      <c r="V60" s="122"/>
      <c r="W60" s="122">
        <f>15548.33</f>
        <v>15548.33</v>
      </c>
      <c r="X60" s="122">
        <v>15548.33</v>
      </c>
      <c r="Y60" s="122">
        <f t="shared" si="2"/>
        <v>0</v>
      </c>
      <c r="Z60" s="122"/>
      <c r="AA60" s="122"/>
      <c r="AB60" s="122"/>
    </row>
    <row r="61" customHeight="1" spans="1:28">
      <c r="A61" s="49"/>
      <c r="B61" s="153" t="s">
        <v>120</v>
      </c>
      <c r="C61" s="15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38">
        <f t="shared" si="50"/>
        <v>200000</v>
      </c>
      <c r="O61" s="13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39">
        <f t="shared" si="1"/>
        <v>11417.0030000003</v>
      </c>
      <c r="V61" s="93"/>
      <c r="W61" s="93">
        <f>SUM(W59:W60)</f>
        <v>68324.96</v>
      </c>
      <c r="X61" s="93">
        <v>68324.96</v>
      </c>
      <c r="Y61" s="122">
        <f t="shared" si="2"/>
        <v>0</v>
      </c>
      <c r="Z61" s="93"/>
      <c r="AA61" s="93"/>
      <c r="AB61" s="93"/>
    </row>
    <row r="62" customHeight="1" spans="1:28">
      <c r="A62" s="49"/>
      <c r="B62" s="153"/>
      <c r="C62" s="154"/>
      <c r="D62" s="21"/>
      <c r="E62" s="21"/>
      <c r="F62" s="156"/>
      <c r="G62" s="156"/>
      <c r="H62" s="156"/>
      <c r="I62" s="156"/>
      <c r="J62" s="156"/>
      <c r="K62" s="156"/>
      <c r="L62" s="156"/>
      <c r="M62" s="156"/>
      <c r="N62" s="44"/>
      <c r="O62" s="44"/>
      <c r="P62" s="156"/>
      <c r="Q62" s="156"/>
      <c r="R62" s="156"/>
      <c r="S62" s="156"/>
      <c r="T62" s="156"/>
      <c r="U62" s="122">
        <f t="shared" si="1"/>
        <v>0</v>
      </c>
      <c r="V62" s="156"/>
      <c r="W62" s="156"/>
      <c r="X62" s="156"/>
      <c r="Y62" s="122">
        <f t="shared" si="2"/>
        <v>0</v>
      </c>
      <c r="Z62" s="156"/>
      <c r="AA62" s="156"/>
      <c r="AB62" s="156"/>
    </row>
    <row r="63" customHeight="1" spans="1:28">
      <c r="A63" s="49"/>
      <c r="B63" s="153" t="s">
        <v>1732</v>
      </c>
      <c r="C63" s="154"/>
      <c r="D63" s="21"/>
      <c r="E63" s="21"/>
      <c r="F63" s="156"/>
      <c r="G63" s="156"/>
      <c r="H63" s="156"/>
      <c r="I63" s="156"/>
      <c r="J63" s="156"/>
      <c r="K63" s="156"/>
      <c r="L63" s="156"/>
      <c r="M63" s="156"/>
      <c r="N63" s="44"/>
      <c r="O63" s="44"/>
      <c r="P63" s="156"/>
      <c r="Q63" s="156"/>
      <c r="R63" s="156"/>
      <c r="S63" s="156"/>
      <c r="T63" s="156"/>
      <c r="U63" s="122">
        <f t="shared" si="1"/>
        <v>0</v>
      </c>
      <c r="V63" s="156"/>
      <c r="W63" s="156"/>
      <c r="X63" s="156"/>
      <c r="Y63" s="122">
        <f t="shared" si="2"/>
        <v>0</v>
      </c>
      <c r="Z63" s="156"/>
      <c r="AA63" s="156"/>
      <c r="AB63" s="156"/>
    </row>
    <row r="64" customHeight="1" spans="1:28">
      <c r="A64" s="49">
        <v>1</v>
      </c>
      <c r="B64" s="131" t="s">
        <v>917</v>
      </c>
      <c r="C64" s="132"/>
      <c r="D64" s="17" t="s">
        <v>918</v>
      </c>
      <c r="E64" s="10" t="s">
        <v>124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22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22">
        <f t="shared" si="1"/>
        <v>24775.9864999999</v>
      </c>
      <c r="V64" s="85"/>
      <c r="W64" s="85">
        <f>52776.63</f>
        <v>52776.63</v>
      </c>
      <c r="X64" s="85">
        <v>52776.63</v>
      </c>
      <c r="Y64" s="122">
        <f t="shared" si="2"/>
        <v>0</v>
      </c>
      <c r="Z64" s="85"/>
      <c r="AA64" s="85"/>
      <c r="AB64" s="85"/>
    </row>
    <row r="65" customHeight="1" spans="1:28">
      <c r="A65" s="49">
        <v>2</v>
      </c>
      <c r="B65" s="131" t="s">
        <v>919</v>
      </c>
      <c r="C65" s="132"/>
      <c r="D65" s="17" t="s">
        <v>920</v>
      </c>
      <c r="E65" s="124" t="s">
        <v>1532</v>
      </c>
      <c r="F65" s="122">
        <v>31018.84</v>
      </c>
      <c r="G65" s="122"/>
      <c r="H65" s="122">
        <f t="shared" si="51"/>
        <v>93056.52</v>
      </c>
      <c r="I65" s="122">
        <f t="shared" si="52"/>
        <v>2326.413</v>
      </c>
      <c r="J65" s="122">
        <v>40122.19</v>
      </c>
      <c r="K65" s="122">
        <f t="shared" si="53"/>
        <v>15509.42</v>
      </c>
      <c r="L65" s="122">
        <f t="shared" si="54"/>
        <v>108565.94</v>
      </c>
      <c r="M65" s="122">
        <f t="shared" si="55"/>
        <v>31018.84</v>
      </c>
      <c r="N65" s="44">
        <f>160000</f>
        <v>160000</v>
      </c>
      <c r="O65" s="44"/>
      <c r="P65" s="122">
        <f t="shared" si="56"/>
        <v>3101.884</v>
      </c>
      <c r="Q65" s="122">
        <v>20000</v>
      </c>
      <c r="R65" s="133">
        <v>0</v>
      </c>
      <c r="S65" s="122">
        <f t="shared" ref="S65:S75" si="57">SUM(F65:R65)</f>
        <v>504720.047</v>
      </c>
      <c r="T65" s="122">
        <v>504720.047</v>
      </c>
      <c r="U65" s="122">
        <f t="shared" si="1"/>
        <v>0</v>
      </c>
      <c r="V65" s="122"/>
      <c r="W65" s="122">
        <f>15548.33</f>
        <v>15548.33</v>
      </c>
      <c r="X65" s="122">
        <v>15548.33</v>
      </c>
      <c r="Y65" s="122">
        <f t="shared" si="2"/>
        <v>0</v>
      </c>
      <c r="Z65" s="85"/>
      <c r="AA65" s="122"/>
      <c r="AB65" s="122"/>
    </row>
    <row r="66" customHeight="1" spans="1:28">
      <c r="A66" s="49">
        <v>3</v>
      </c>
      <c r="B66" s="131" t="s">
        <v>1771</v>
      </c>
      <c r="C66" s="132"/>
      <c r="D66" s="4" t="s">
        <v>927</v>
      </c>
      <c r="E66" s="10" t="s">
        <v>56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22">
        <f t="shared" si="57"/>
        <v>376663.0775</v>
      </c>
      <c r="T66" s="122">
        <v>369177.65375</v>
      </c>
      <c r="U66" s="122">
        <f t="shared" si="1"/>
        <v>7485.42374999996</v>
      </c>
      <c r="V66" s="85"/>
      <c r="W66" s="85">
        <v>7709.76</v>
      </c>
      <c r="X66" s="85">
        <v>7709.76</v>
      </c>
      <c r="Y66" s="122">
        <f t="shared" si="2"/>
        <v>0</v>
      </c>
      <c r="Z66" s="85"/>
      <c r="AA66" s="122"/>
      <c r="AB66" s="122"/>
    </row>
    <row r="67" customHeight="1" spans="1:28">
      <c r="A67" s="49">
        <v>4</v>
      </c>
      <c r="B67" s="131" t="s">
        <v>167</v>
      </c>
      <c r="C67" s="132"/>
      <c r="D67" s="43" t="s">
        <v>217</v>
      </c>
      <c r="E67" s="10" t="s">
        <v>218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22">
        <f t="shared" si="1"/>
        <v>7800.03449999995</v>
      </c>
      <c r="V67" s="85"/>
      <c r="W67" s="85">
        <f>7709.76</f>
        <v>7709.76</v>
      </c>
      <c r="X67" s="85">
        <v>7709.76</v>
      </c>
      <c r="Y67" s="122">
        <f t="shared" si="2"/>
        <v>0</v>
      </c>
      <c r="Z67" s="85"/>
      <c r="AA67" s="85"/>
      <c r="AB67" s="85"/>
    </row>
    <row r="68" customHeight="1" spans="1:28">
      <c r="A68" s="49">
        <v>5</v>
      </c>
      <c r="B68" s="131" t="s">
        <v>1772</v>
      </c>
      <c r="C68" s="132"/>
      <c r="D68" s="17" t="s">
        <v>217</v>
      </c>
      <c r="E68" s="124" t="s">
        <v>64</v>
      </c>
      <c r="F68" s="122">
        <f>23891.12</f>
        <v>23891.12</v>
      </c>
      <c r="G68" s="122"/>
      <c r="H68" s="122">
        <f t="shared" si="51"/>
        <v>71673.36</v>
      </c>
      <c r="I68" s="122">
        <f t="shared" si="52"/>
        <v>1791.834</v>
      </c>
      <c r="J68" s="122">
        <v>0</v>
      </c>
      <c r="K68" s="122">
        <f t="shared" si="53"/>
        <v>11945.56</v>
      </c>
      <c r="L68" s="122">
        <f t="shared" si="54"/>
        <v>83618.92</v>
      </c>
      <c r="M68" s="122">
        <f t="shared" si="55"/>
        <v>23891.12</v>
      </c>
      <c r="N68" s="44">
        <f t="shared" si="58"/>
        <v>120000</v>
      </c>
      <c r="O68" s="44"/>
      <c r="P68" s="122">
        <f t="shared" si="56"/>
        <v>2389.112</v>
      </c>
      <c r="Q68" s="122">
        <v>15000</v>
      </c>
      <c r="R68" s="122">
        <v>0</v>
      </c>
      <c r="S68" s="122">
        <f t="shared" si="57"/>
        <v>354201.026</v>
      </c>
      <c r="T68" s="122">
        <v>346713.03325</v>
      </c>
      <c r="U68" s="122">
        <f t="shared" si="1"/>
        <v>7487.99275000003</v>
      </c>
      <c r="V68" s="122"/>
      <c r="W68" s="122">
        <v>7709.76</v>
      </c>
      <c r="X68" s="122">
        <v>7709.76</v>
      </c>
      <c r="Y68" s="122">
        <f t="shared" si="2"/>
        <v>0</v>
      </c>
      <c r="Z68" s="85"/>
      <c r="AA68" s="122"/>
      <c r="AB68" s="122"/>
    </row>
    <row r="69" customHeight="1" spans="1:28">
      <c r="A69" s="49">
        <v>6</v>
      </c>
      <c r="B69" s="52" t="s">
        <v>922</v>
      </c>
      <c r="C69" s="54"/>
      <c r="D69" s="17" t="s">
        <v>52</v>
      </c>
      <c r="E69" s="124" t="s">
        <v>214</v>
      </c>
      <c r="F69" s="122">
        <f>26732.65</f>
        <v>26732.65</v>
      </c>
      <c r="G69" s="122"/>
      <c r="H69" s="122">
        <f t="shared" si="51"/>
        <v>80197.95</v>
      </c>
      <c r="I69" s="122">
        <f t="shared" si="52"/>
        <v>2004.94875</v>
      </c>
      <c r="J69" s="122"/>
      <c r="K69" s="122">
        <f t="shared" si="53"/>
        <v>13366.325</v>
      </c>
      <c r="L69" s="122">
        <f t="shared" si="54"/>
        <v>93564.275</v>
      </c>
      <c r="M69" s="122">
        <f t="shared" si="55"/>
        <v>26732.65</v>
      </c>
      <c r="N69" s="44">
        <f>140000</f>
        <v>140000</v>
      </c>
      <c r="O69" s="44"/>
      <c r="P69" s="122">
        <f t="shared" si="56"/>
        <v>2673.265</v>
      </c>
      <c r="Q69" s="122">
        <v>20000</v>
      </c>
      <c r="R69" s="122"/>
      <c r="S69" s="122">
        <f t="shared" si="57"/>
        <v>405272.06375</v>
      </c>
      <c r="T69" s="122">
        <v>397211.3675</v>
      </c>
      <c r="U69" s="122">
        <f t="shared" si="1"/>
        <v>8060.69624999998</v>
      </c>
      <c r="V69" s="122"/>
      <c r="W69" s="122">
        <f>7709.76</f>
        <v>7709.76</v>
      </c>
      <c r="X69" s="122">
        <v>7709.76</v>
      </c>
      <c r="Y69" s="122">
        <f t="shared" si="2"/>
        <v>0</v>
      </c>
      <c r="Z69" s="85"/>
      <c r="AA69" s="122"/>
      <c r="AB69" s="122"/>
    </row>
    <row r="70" customHeight="1" spans="1:28">
      <c r="A70" s="49">
        <v>7</v>
      </c>
      <c r="B70" s="131" t="s">
        <v>171</v>
      </c>
      <c r="C70" s="132"/>
      <c r="D70" s="4" t="s">
        <v>152</v>
      </c>
      <c r="E70" s="10" t="s">
        <v>1733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22">
        <f t="shared" si="57"/>
        <v>291432.1385</v>
      </c>
      <c r="T70" s="122">
        <v>291432.1385</v>
      </c>
      <c r="U70" s="122">
        <f t="shared" si="1"/>
        <v>0</v>
      </c>
      <c r="V70" s="85"/>
      <c r="W70" s="85">
        <v>3369.51</v>
      </c>
      <c r="X70" s="85">
        <v>3369.51</v>
      </c>
      <c r="Y70" s="122">
        <f t="shared" si="2"/>
        <v>0</v>
      </c>
      <c r="Z70" s="85"/>
      <c r="AA70" s="122"/>
      <c r="AB70" s="122"/>
    </row>
    <row r="71" customHeight="1" spans="1:28">
      <c r="A71" s="49">
        <v>8</v>
      </c>
      <c r="B71" s="121" t="s">
        <v>1609</v>
      </c>
      <c r="C71" s="121"/>
      <c r="D71" s="17" t="s">
        <v>152</v>
      </c>
      <c r="E71" s="124" t="s">
        <v>131</v>
      </c>
      <c r="F71" s="122">
        <f>21520.88</f>
        <v>21520.88</v>
      </c>
      <c r="G71" s="122"/>
      <c r="H71" s="122">
        <f t="shared" si="51"/>
        <v>64562.64</v>
      </c>
      <c r="I71" s="122">
        <f t="shared" si="52"/>
        <v>1614.066</v>
      </c>
      <c r="J71" s="122">
        <v>0</v>
      </c>
      <c r="K71" s="122">
        <f t="shared" si="53"/>
        <v>10760.44</v>
      </c>
      <c r="L71" s="122">
        <f t="shared" si="54"/>
        <v>75323.08</v>
      </c>
      <c r="M71" s="122">
        <f t="shared" si="55"/>
        <v>21520.88</v>
      </c>
      <c r="N71" s="44">
        <f>110000</f>
        <v>110000</v>
      </c>
      <c r="O71" s="44"/>
      <c r="P71" s="122">
        <f t="shared" si="56"/>
        <v>2152.088</v>
      </c>
      <c r="Q71" s="122">
        <v>15000</v>
      </c>
      <c r="R71" s="122">
        <v>0</v>
      </c>
      <c r="S71" s="122">
        <f t="shared" si="57"/>
        <v>322454.074</v>
      </c>
      <c r="T71" s="122">
        <v>315372.075</v>
      </c>
      <c r="U71" s="122">
        <f t="shared" si="1"/>
        <v>7081.99900000001</v>
      </c>
      <c r="V71" s="122"/>
      <c r="W71" s="122">
        <f>3369.51</f>
        <v>3369.51</v>
      </c>
      <c r="X71" s="122">
        <v>3369.51</v>
      </c>
      <c r="Y71" s="122">
        <f t="shared" si="2"/>
        <v>0</v>
      </c>
      <c r="Z71" s="85"/>
      <c r="AA71" s="122"/>
      <c r="AB71" s="122"/>
    </row>
    <row r="72" customHeight="1" spans="1:28">
      <c r="A72" s="49">
        <v>9</v>
      </c>
      <c r="B72" s="119" t="s">
        <v>175</v>
      </c>
      <c r="C72" s="120"/>
      <c r="D72" s="43" t="s">
        <v>182</v>
      </c>
      <c r="E72" s="49" t="s">
        <v>153</v>
      </c>
      <c r="F72" s="122">
        <f>18779.3</f>
        <v>18779.3</v>
      </c>
      <c r="G72" s="122"/>
      <c r="H72" s="122">
        <f t="shared" si="51"/>
        <v>56337.9</v>
      </c>
      <c r="I72" s="122">
        <f t="shared" si="52"/>
        <v>1408.4475</v>
      </c>
      <c r="J72" s="122"/>
      <c r="K72" s="122">
        <f t="shared" si="53"/>
        <v>9389.65</v>
      </c>
      <c r="L72" s="122">
        <f t="shared" si="54"/>
        <v>65727.55</v>
      </c>
      <c r="M72" s="122">
        <f t="shared" si="55"/>
        <v>18779.3</v>
      </c>
      <c r="N72" s="44">
        <f t="shared" ref="N72:N75" si="59">100000</f>
        <v>100000</v>
      </c>
      <c r="O72" s="44"/>
      <c r="P72" s="122">
        <f t="shared" si="56"/>
        <v>1877.93</v>
      </c>
      <c r="Q72" s="122">
        <v>10000</v>
      </c>
      <c r="R72" s="122"/>
      <c r="S72" s="122">
        <f t="shared" si="57"/>
        <v>282300.0775</v>
      </c>
      <c r="T72" s="122">
        <v>277734.047</v>
      </c>
      <c r="U72" s="122">
        <f t="shared" si="1"/>
        <v>4566.03049999994</v>
      </c>
      <c r="V72" s="122"/>
      <c r="W72" s="122">
        <v>3369.51</v>
      </c>
      <c r="X72" s="122">
        <v>3369.51</v>
      </c>
      <c r="Y72" s="122">
        <f t="shared" si="2"/>
        <v>0</v>
      </c>
      <c r="Z72" s="85"/>
      <c r="AA72" s="122"/>
      <c r="AB72" s="122"/>
    </row>
    <row r="73" customHeight="1" spans="1:28">
      <c r="A73" s="49">
        <v>10</v>
      </c>
      <c r="B73" s="131" t="s">
        <v>1684</v>
      </c>
      <c r="C73" s="132"/>
      <c r="D73" s="17" t="s">
        <v>152</v>
      </c>
      <c r="E73" s="49" t="s">
        <v>81</v>
      </c>
      <c r="F73" s="122">
        <f>17286.33</f>
        <v>17286.33</v>
      </c>
      <c r="G73" s="122"/>
      <c r="H73" s="122">
        <f t="shared" si="51"/>
        <v>51858.99</v>
      </c>
      <c r="I73" s="122">
        <f t="shared" si="52"/>
        <v>1296.47475</v>
      </c>
      <c r="J73" s="122"/>
      <c r="K73" s="122">
        <f t="shared" si="53"/>
        <v>8643.165</v>
      </c>
      <c r="L73" s="122">
        <f t="shared" si="54"/>
        <v>60502.155</v>
      </c>
      <c r="M73" s="122">
        <f t="shared" si="55"/>
        <v>17286.33</v>
      </c>
      <c r="N73" s="44">
        <f t="shared" si="59"/>
        <v>100000</v>
      </c>
      <c r="O73" s="44"/>
      <c r="P73" s="122">
        <f t="shared" si="56"/>
        <v>1728.633</v>
      </c>
      <c r="Q73" s="122">
        <v>10000</v>
      </c>
      <c r="R73" s="122"/>
      <c r="S73" s="122">
        <f t="shared" si="57"/>
        <v>268602.07775</v>
      </c>
      <c r="T73" s="122">
        <v>268602.07775</v>
      </c>
      <c r="U73" s="122">
        <f t="shared" si="1"/>
        <v>0</v>
      </c>
      <c r="V73" s="122"/>
      <c r="W73" s="122">
        <v>3369.51</v>
      </c>
      <c r="X73" s="122">
        <v>3369.51</v>
      </c>
      <c r="Y73" s="122">
        <f t="shared" si="2"/>
        <v>0</v>
      </c>
      <c r="Z73" s="85"/>
      <c r="AA73" s="122"/>
      <c r="AB73" s="122"/>
    </row>
    <row r="74" customHeight="1" spans="1:28">
      <c r="A74" s="49">
        <v>11</v>
      </c>
      <c r="B74" s="131" t="s">
        <v>82</v>
      </c>
      <c r="C74" s="132"/>
      <c r="D74" s="17" t="s">
        <v>69</v>
      </c>
      <c r="E74" s="49" t="s">
        <v>275</v>
      </c>
      <c r="F74" s="122">
        <f>12351.94</f>
        <v>12351.94</v>
      </c>
      <c r="G74" s="122"/>
      <c r="H74" s="122">
        <f t="shared" si="51"/>
        <v>37055.82</v>
      </c>
      <c r="I74" s="122">
        <f t="shared" si="52"/>
        <v>926.3955</v>
      </c>
      <c r="J74" s="122"/>
      <c r="K74" s="122">
        <f t="shared" si="53"/>
        <v>6175.97</v>
      </c>
      <c r="L74" s="122">
        <f t="shared" si="54"/>
        <v>43231.79</v>
      </c>
      <c r="M74" s="122">
        <f t="shared" si="55"/>
        <v>12351.94</v>
      </c>
      <c r="N74" s="44">
        <f t="shared" si="59"/>
        <v>100000</v>
      </c>
      <c r="O74" s="44"/>
      <c r="P74" s="122">
        <f t="shared" si="56"/>
        <v>1235.194</v>
      </c>
      <c r="Q74" s="122">
        <v>10000</v>
      </c>
      <c r="R74" s="122"/>
      <c r="S74" s="122">
        <f t="shared" si="57"/>
        <v>223329.0495</v>
      </c>
      <c r="T74" s="122">
        <v>223329.0495</v>
      </c>
      <c r="U74" s="122">
        <f t="shared" ref="U74:U137" si="60">S74-T74</f>
        <v>0</v>
      </c>
      <c r="V74" s="122"/>
      <c r="W74" s="122">
        <v>1484.37</v>
      </c>
      <c r="X74" s="122">
        <v>1484.37</v>
      </c>
      <c r="Y74" s="122">
        <f t="shared" ref="Y74:Y137" si="61">X74-W74</f>
        <v>0</v>
      </c>
      <c r="Z74" s="85"/>
      <c r="AA74" s="122"/>
      <c r="AB74" s="122"/>
    </row>
    <row r="75" customHeight="1" spans="1:28">
      <c r="A75" s="49">
        <v>12</v>
      </c>
      <c r="B75" s="52" t="s">
        <v>68</v>
      </c>
      <c r="C75" s="54"/>
      <c r="D75" s="17" t="s">
        <v>69</v>
      </c>
      <c r="E75" s="49" t="s">
        <v>275</v>
      </c>
      <c r="F75" s="122">
        <f>12351.94</f>
        <v>12351.94</v>
      </c>
      <c r="G75" s="122"/>
      <c r="H75" s="122">
        <f t="shared" si="51"/>
        <v>37055.82</v>
      </c>
      <c r="I75" s="122">
        <f t="shared" si="52"/>
        <v>926.3955</v>
      </c>
      <c r="J75" s="122"/>
      <c r="K75" s="122">
        <f t="shared" si="53"/>
        <v>6175.97</v>
      </c>
      <c r="L75" s="122">
        <f t="shared" si="54"/>
        <v>43231.79</v>
      </c>
      <c r="M75" s="122">
        <f t="shared" si="55"/>
        <v>12351.94</v>
      </c>
      <c r="N75" s="44">
        <f t="shared" si="59"/>
        <v>100000</v>
      </c>
      <c r="O75" s="44"/>
      <c r="P75" s="122">
        <f t="shared" si="56"/>
        <v>1235.194</v>
      </c>
      <c r="Q75" s="122">
        <v>10000</v>
      </c>
      <c r="R75" s="122"/>
      <c r="S75" s="122">
        <f t="shared" si="57"/>
        <v>223329.0495</v>
      </c>
      <c r="T75" s="122">
        <v>223329.0495</v>
      </c>
      <c r="U75" s="122">
        <f t="shared" si="60"/>
        <v>0</v>
      </c>
      <c r="V75" s="122"/>
      <c r="W75" s="122">
        <v>1484.37</v>
      </c>
      <c r="X75" s="122">
        <v>1484.37</v>
      </c>
      <c r="Y75" s="122">
        <f t="shared" si="61"/>
        <v>0</v>
      </c>
      <c r="Z75" s="85"/>
      <c r="AA75" s="122"/>
      <c r="AB75" s="122"/>
    </row>
    <row r="76" customHeight="1" spans="1:28">
      <c r="A76" s="49"/>
      <c r="B76" s="153" t="s">
        <v>120</v>
      </c>
      <c r="C76" s="15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38">
        <f t="shared" si="62"/>
        <v>1470000</v>
      </c>
      <c r="O76" s="13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39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22">
        <f t="shared" si="61"/>
        <v>0</v>
      </c>
      <c r="Z76" s="93"/>
      <c r="AA76" s="93"/>
      <c r="AB76" s="93"/>
    </row>
    <row r="77" customHeight="1" spans="1:28">
      <c r="A77" s="49"/>
      <c r="B77" s="153"/>
      <c r="C77" s="154"/>
      <c r="D77" s="21"/>
      <c r="E77" s="21"/>
      <c r="F77" s="156"/>
      <c r="G77" s="156"/>
      <c r="H77" s="156"/>
      <c r="I77" s="156"/>
      <c r="J77" s="156"/>
      <c r="K77" s="156"/>
      <c r="L77" s="156"/>
      <c r="M77" s="156"/>
      <c r="N77" s="44"/>
      <c r="O77" s="44"/>
      <c r="P77" s="156"/>
      <c r="Q77" s="156"/>
      <c r="R77" s="156"/>
      <c r="S77" s="156"/>
      <c r="T77" s="156"/>
      <c r="U77" s="122">
        <f t="shared" si="60"/>
        <v>0</v>
      </c>
      <c r="V77" s="156"/>
      <c r="W77" s="156"/>
      <c r="X77" s="156"/>
      <c r="Y77" s="122">
        <f t="shared" si="61"/>
        <v>0</v>
      </c>
      <c r="Z77" s="156"/>
      <c r="AA77" s="156"/>
      <c r="AB77" s="156"/>
    </row>
    <row r="78" customHeight="1" spans="1:28">
      <c r="A78" s="49"/>
      <c r="B78" s="153" t="s">
        <v>1734</v>
      </c>
      <c r="C78" s="154"/>
      <c r="D78" s="21"/>
      <c r="E78" s="21"/>
      <c r="F78" s="156"/>
      <c r="G78" s="156"/>
      <c r="H78" s="156"/>
      <c r="I78" s="156"/>
      <c r="J78" s="156"/>
      <c r="K78" s="156"/>
      <c r="L78" s="156"/>
      <c r="M78" s="156"/>
      <c r="N78" s="44"/>
      <c r="O78" s="44"/>
      <c r="P78" s="156"/>
      <c r="Q78" s="156"/>
      <c r="R78" s="156"/>
      <c r="S78" s="156"/>
      <c r="T78" s="156"/>
      <c r="U78" s="122">
        <f t="shared" si="60"/>
        <v>0</v>
      </c>
      <c r="V78" s="156"/>
      <c r="W78" s="156"/>
      <c r="X78" s="156"/>
      <c r="Y78" s="122">
        <f t="shared" si="61"/>
        <v>0</v>
      </c>
      <c r="Z78" s="156"/>
      <c r="AA78" s="156"/>
      <c r="AB78" s="156"/>
    </row>
    <row r="79" customHeight="1" spans="1:28">
      <c r="A79" s="49">
        <v>1</v>
      </c>
      <c r="B79" s="119" t="s">
        <v>184</v>
      </c>
      <c r="C79" s="120"/>
      <c r="D79" s="43" t="s">
        <v>185</v>
      </c>
      <c r="E79" s="49" t="s">
        <v>124</v>
      </c>
      <c r="F79" s="122">
        <f>81740.02</f>
        <v>81740.02</v>
      </c>
      <c r="G79" s="122"/>
      <c r="H79" s="122">
        <f t="shared" ref="H79:H85" si="64">F79*300%</f>
        <v>245220.06</v>
      </c>
      <c r="I79" s="122">
        <f t="shared" ref="I79:I85" si="65">F79*7.5%</f>
        <v>6130.5015</v>
      </c>
      <c r="J79" s="122">
        <v>80244.38</v>
      </c>
      <c r="K79" s="122">
        <f>F79*50%</f>
        <v>40870.01</v>
      </c>
      <c r="L79" s="122">
        <f t="shared" ref="L79:L85" si="66">F79*350%</f>
        <v>286090.07</v>
      </c>
      <c r="M79" s="122">
        <f>F79*100%</f>
        <v>81740.02</v>
      </c>
      <c r="N79" s="44">
        <f>200000</f>
        <v>200000</v>
      </c>
      <c r="O79" s="44"/>
      <c r="P79" s="122">
        <f>F79*10%</f>
        <v>8174.002</v>
      </c>
      <c r="Q79" s="122">
        <v>20000</v>
      </c>
      <c r="R79" s="122">
        <v>0</v>
      </c>
      <c r="S79" s="122">
        <f>SUM(F79:R79)</f>
        <v>1050209.0635</v>
      </c>
      <c r="T79" s="122">
        <v>1050209.0635</v>
      </c>
      <c r="U79" s="122">
        <f t="shared" si="60"/>
        <v>0</v>
      </c>
      <c r="V79" s="122"/>
      <c r="W79" s="122">
        <v>52776.63</v>
      </c>
      <c r="X79" s="122">
        <v>52776.63</v>
      </c>
      <c r="Y79" s="122">
        <f t="shared" si="61"/>
        <v>0</v>
      </c>
      <c r="Z79" s="122"/>
      <c r="AA79" s="122"/>
      <c r="AB79" s="122"/>
    </row>
    <row r="80" customHeight="1" spans="1:28">
      <c r="A80" s="49">
        <v>2</v>
      </c>
      <c r="B80" s="46" t="s">
        <v>923</v>
      </c>
      <c r="D80" s="46" t="s">
        <v>924</v>
      </c>
      <c r="E80" s="124" t="s">
        <v>1532</v>
      </c>
      <c r="F80" s="122">
        <v>31018.84</v>
      </c>
      <c r="G80" s="122"/>
      <c r="H80" s="122">
        <f t="shared" si="64"/>
        <v>93056.52</v>
      </c>
      <c r="I80" s="122">
        <f t="shared" si="65"/>
        <v>2326.413</v>
      </c>
      <c r="J80" s="122">
        <v>40122.19</v>
      </c>
      <c r="K80" s="122">
        <f t="shared" ref="K80:K82" si="67">F80*50%</f>
        <v>15509.42</v>
      </c>
      <c r="L80" s="122">
        <f t="shared" si="66"/>
        <v>108565.94</v>
      </c>
      <c r="M80" s="122">
        <f t="shared" ref="M80:M82" si="68">F80*100%</f>
        <v>31018.84</v>
      </c>
      <c r="N80" s="44">
        <f>160000</f>
        <v>160000</v>
      </c>
      <c r="O80" s="44"/>
      <c r="P80" s="122">
        <f t="shared" ref="P80:P82" si="69">F80*10%</f>
        <v>3101.884</v>
      </c>
      <c r="Q80" s="122">
        <v>20000</v>
      </c>
      <c r="R80" s="133">
        <v>0</v>
      </c>
      <c r="S80" s="122">
        <f t="shared" ref="S80:S82" si="70">SUM(F80:R80)</f>
        <v>504720.047</v>
      </c>
      <c r="T80" s="122">
        <v>504720.047</v>
      </c>
      <c r="U80" s="122">
        <f t="shared" si="60"/>
        <v>0</v>
      </c>
      <c r="V80" s="122"/>
      <c r="W80" s="122">
        <f t="shared" ref="W80:W81" si="71">15548.33</f>
        <v>15548.33</v>
      </c>
      <c r="X80" s="122">
        <v>15548.33</v>
      </c>
      <c r="Y80" s="122">
        <f t="shared" si="61"/>
        <v>0</v>
      </c>
      <c r="Z80" s="122"/>
      <c r="AA80" s="122"/>
      <c r="AB80" s="122"/>
    </row>
    <row r="81" customHeight="1" spans="1:28">
      <c r="A81" s="49">
        <v>3</v>
      </c>
      <c r="B81" s="46" t="s">
        <v>1685</v>
      </c>
      <c r="D81" s="46" t="s">
        <v>1686</v>
      </c>
      <c r="E81" s="124" t="s">
        <v>1532</v>
      </c>
      <c r="F81" s="122">
        <v>31018.84</v>
      </c>
      <c r="G81" s="122"/>
      <c r="H81" s="122">
        <f t="shared" si="64"/>
        <v>93056.52</v>
      </c>
      <c r="I81" s="122">
        <f t="shared" si="65"/>
        <v>2326.413</v>
      </c>
      <c r="J81" s="122">
        <v>40122.19</v>
      </c>
      <c r="K81" s="122">
        <f t="shared" si="67"/>
        <v>15509.42</v>
      </c>
      <c r="L81" s="122">
        <f t="shared" si="66"/>
        <v>108565.94</v>
      </c>
      <c r="M81" s="122">
        <f t="shared" si="68"/>
        <v>31018.84</v>
      </c>
      <c r="N81" s="44">
        <f>160000</f>
        <v>160000</v>
      </c>
      <c r="O81" s="44"/>
      <c r="P81" s="122">
        <f t="shared" si="69"/>
        <v>3101.884</v>
      </c>
      <c r="Q81" s="122">
        <v>20000</v>
      </c>
      <c r="R81" s="133">
        <v>0</v>
      </c>
      <c r="S81" s="122">
        <f t="shared" si="70"/>
        <v>504720.047</v>
      </c>
      <c r="T81" s="122">
        <v>504720.047</v>
      </c>
      <c r="U81" s="122">
        <f t="shared" si="60"/>
        <v>0</v>
      </c>
      <c r="V81" s="122"/>
      <c r="W81" s="122">
        <f t="shared" si="71"/>
        <v>15548.33</v>
      </c>
      <c r="X81" s="122">
        <v>15548.33</v>
      </c>
      <c r="Y81" s="122">
        <f t="shared" si="61"/>
        <v>0</v>
      </c>
      <c r="Z81" s="122"/>
      <c r="AA81" s="122"/>
      <c r="AB81" s="122"/>
    </row>
    <row r="82" customHeight="1" spans="1:28">
      <c r="A82" s="49">
        <v>4</v>
      </c>
      <c r="B82" s="119" t="s">
        <v>1773</v>
      </c>
      <c r="C82" s="120"/>
      <c r="D82" s="43" t="s">
        <v>927</v>
      </c>
      <c r="E82" s="124" t="s">
        <v>218</v>
      </c>
      <c r="F82" s="122">
        <f>24741.26</f>
        <v>24741.26</v>
      </c>
      <c r="G82" s="122"/>
      <c r="H82" s="122">
        <f t="shared" si="64"/>
        <v>74223.78</v>
      </c>
      <c r="I82" s="122">
        <f t="shared" si="65"/>
        <v>1855.5945</v>
      </c>
      <c r="J82" s="122">
        <v>0</v>
      </c>
      <c r="K82" s="122">
        <f t="shared" si="67"/>
        <v>12370.63</v>
      </c>
      <c r="L82" s="122">
        <f t="shared" si="66"/>
        <v>86594.41</v>
      </c>
      <c r="M82" s="122">
        <f t="shared" si="68"/>
        <v>24741.26</v>
      </c>
      <c r="N82" s="44">
        <f>120000</f>
        <v>120000</v>
      </c>
      <c r="O82" s="44"/>
      <c r="P82" s="122">
        <f t="shared" si="69"/>
        <v>2474.126</v>
      </c>
      <c r="Q82" s="122">
        <v>15000</v>
      </c>
      <c r="R82" s="122">
        <v>0</v>
      </c>
      <c r="S82" s="122">
        <f t="shared" si="70"/>
        <v>362001.0605</v>
      </c>
      <c r="T82" s="122">
        <v>354201.026</v>
      </c>
      <c r="U82" s="122">
        <f t="shared" si="60"/>
        <v>7800.03449999995</v>
      </c>
      <c r="V82" s="122"/>
      <c r="W82" s="122">
        <f>7709.76</f>
        <v>7709.76</v>
      </c>
      <c r="X82" s="122">
        <v>7709.76</v>
      </c>
      <c r="Y82" s="122">
        <f t="shared" si="61"/>
        <v>0</v>
      </c>
      <c r="Z82" s="122"/>
      <c r="AA82" s="122"/>
      <c r="AB82" s="122"/>
    </row>
    <row r="83" customHeight="1" spans="1:28">
      <c r="A83" s="49">
        <v>5</v>
      </c>
      <c r="B83" s="119" t="s">
        <v>197</v>
      </c>
      <c r="C83" s="120"/>
      <c r="D83" s="43" t="s">
        <v>182</v>
      </c>
      <c r="E83" s="49" t="s">
        <v>81</v>
      </c>
      <c r="F83" s="122">
        <f t="shared" ref="F83" si="72">17286.33</f>
        <v>17286.33</v>
      </c>
      <c r="G83" s="122"/>
      <c r="H83" s="122">
        <f t="shared" si="64"/>
        <v>51858.99</v>
      </c>
      <c r="I83" s="122">
        <f t="shared" si="65"/>
        <v>1296.47475</v>
      </c>
      <c r="J83" s="122"/>
      <c r="K83" s="122">
        <f t="shared" ref="K83:K85" si="73">F83*50%</f>
        <v>8643.165</v>
      </c>
      <c r="L83" s="122">
        <f t="shared" si="66"/>
        <v>60502.155</v>
      </c>
      <c r="M83" s="122">
        <f t="shared" ref="M83:M85" si="74">F83*100%</f>
        <v>17286.33</v>
      </c>
      <c r="N83" s="44">
        <f>100000</f>
        <v>100000</v>
      </c>
      <c r="O83" s="44"/>
      <c r="P83" s="122">
        <f t="shared" ref="P83:P85" si="75">F83*10%</f>
        <v>1728.633</v>
      </c>
      <c r="Q83" s="122">
        <v>10000</v>
      </c>
      <c r="R83" s="122"/>
      <c r="S83" s="122">
        <f t="shared" ref="S83:S85" si="76">SUM(F83:R83)</f>
        <v>268602.07775</v>
      </c>
      <c r="T83" s="122">
        <v>268602.07775</v>
      </c>
      <c r="U83" s="122">
        <f t="shared" si="60"/>
        <v>0</v>
      </c>
      <c r="V83" s="122"/>
      <c r="W83" s="122">
        <v>3369.51</v>
      </c>
      <c r="X83" s="122">
        <v>3369.51</v>
      </c>
      <c r="Y83" s="122">
        <f t="shared" si="61"/>
        <v>0</v>
      </c>
      <c r="Z83" s="122"/>
      <c r="AA83" s="122"/>
      <c r="AB83" s="122"/>
    </row>
    <row r="84" customHeight="1" spans="1:28">
      <c r="A84" s="49">
        <v>6</v>
      </c>
      <c r="B84" s="119" t="s">
        <v>87</v>
      </c>
      <c r="C84" s="120"/>
      <c r="D84" s="43" t="s">
        <v>1598</v>
      </c>
      <c r="E84" s="49" t="s">
        <v>108</v>
      </c>
      <c r="F84" s="122">
        <f>13112.16</f>
        <v>13112.16</v>
      </c>
      <c r="G84" s="122"/>
      <c r="H84" s="122">
        <f t="shared" si="64"/>
        <v>39336.48</v>
      </c>
      <c r="I84" s="122">
        <f t="shared" si="65"/>
        <v>983.412</v>
      </c>
      <c r="J84" s="122"/>
      <c r="K84" s="122">
        <f t="shared" si="73"/>
        <v>6556.08</v>
      </c>
      <c r="L84" s="122">
        <f t="shared" si="66"/>
        <v>45892.56</v>
      </c>
      <c r="M84" s="122">
        <f t="shared" si="74"/>
        <v>13112.16</v>
      </c>
      <c r="N84" s="44">
        <f t="shared" ref="N84:N85" si="77">100000</f>
        <v>100000</v>
      </c>
      <c r="O84" s="44"/>
      <c r="P84" s="122">
        <f t="shared" si="75"/>
        <v>1311.216</v>
      </c>
      <c r="Q84" s="122">
        <v>10000</v>
      </c>
      <c r="R84" s="122"/>
      <c r="S84" s="122">
        <f t="shared" si="76"/>
        <v>230304.068</v>
      </c>
      <c r="T84" s="122">
        <v>226816.1</v>
      </c>
      <c r="U84" s="122">
        <f t="shared" si="60"/>
        <v>3487.96799999999</v>
      </c>
      <c r="V84" s="122"/>
      <c r="W84" s="122">
        <v>1484.37</v>
      </c>
      <c r="X84" s="122">
        <v>1484.37</v>
      </c>
      <c r="Y84" s="122">
        <f t="shared" si="61"/>
        <v>0</v>
      </c>
      <c r="Z84" s="122"/>
      <c r="AA84" s="122"/>
      <c r="AB84" s="122"/>
    </row>
    <row r="85" customHeight="1" spans="1:28">
      <c r="A85" s="49">
        <v>7</v>
      </c>
      <c r="B85" s="119" t="s">
        <v>95</v>
      </c>
      <c r="C85" s="120"/>
      <c r="D85" s="43" t="s">
        <v>1700</v>
      </c>
      <c r="E85" s="49" t="s">
        <v>275</v>
      </c>
      <c r="F85" s="122">
        <f>12351.94</f>
        <v>12351.94</v>
      </c>
      <c r="G85" s="122"/>
      <c r="H85" s="122">
        <f t="shared" si="64"/>
        <v>37055.82</v>
      </c>
      <c r="I85" s="122">
        <f t="shared" si="65"/>
        <v>926.3955</v>
      </c>
      <c r="J85" s="122"/>
      <c r="K85" s="122">
        <f t="shared" si="73"/>
        <v>6175.97</v>
      </c>
      <c r="L85" s="122">
        <f t="shared" si="66"/>
        <v>43231.79</v>
      </c>
      <c r="M85" s="122">
        <f t="shared" si="74"/>
        <v>12351.94</v>
      </c>
      <c r="N85" s="44">
        <f t="shared" si="77"/>
        <v>100000</v>
      </c>
      <c r="O85" s="44"/>
      <c r="P85" s="122">
        <f t="shared" si="75"/>
        <v>1235.194</v>
      </c>
      <c r="Q85" s="122">
        <v>10000</v>
      </c>
      <c r="R85" s="122"/>
      <c r="S85" s="122">
        <f t="shared" si="76"/>
        <v>223329.0495</v>
      </c>
      <c r="T85" s="122">
        <v>223329.0495</v>
      </c>
      <c r="U85" s="122">
        <f t="shared" si="60"/>
        <v>0</v>
      </c>
      <c r="V85" s="122"/>
      <c r="W85" s="122">
        <v>1484.37</v>
      </c>
      <c r="X85" s="122">
        <v>1484.37</v>
      </c>
      <c r="Y85" s="122">
        <f t="shared" si="61"/>
        <v>0</v>
      </c>
      <c r="Z85" s="122"/>
      <c r="AA85" s="122"/>
      <c r="AB85" s="122"/>
    </row>
    <row r="86" customHeight="1" spans="1:28">
      <c r="A86" s="49"/>
      <c r="B86" s="153" t="s">
        <v>120</v>
      </c>
      <c r="C86" s="15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38">
        <f t="shared" si="78"/>
        <v>940000</v>
      </c>
      <c r="O86" s="13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39">
        <f t="shared" si="60"/>
        <v>11288.0025000009</v>
      </c>
      <c r="V86" s="93"/>
      <c r="W86" s="93">
        <f>SUM(W79:W85)</f>
        <v>97921.3</v>
      </c>
      <c r="X86" s="93">
        <v>97921.3</v>
      </c>
      <c r="Y86" s="122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58"/>
      <c r="E87" s="58"/>
      <c r="F87" s="133"/>
      <c r="G87" s="133"/>
      <c r="H87" s="133"/>
      <c r="I87" s="133"/>
      <c r="J87" s="133"/>
      <c r="K87" s="133"/>
      <c r="L87" s="133"/>
      <c r="M87" s="133"/>
      <c r="N87" s="44"/>
      <c r="O87" s="44"/>
      <c r="P87" s="133"/>
      <c r="Q87" s="133"/>
      <c r="R87" s="133"/>
      <c r="S87" s="133"/>
      <c r="T87" s="133"/>
      <c r="U87" s="122">
        <f t="shared" si="60"/>
        <v>0</v>
      </c>
      <c r="V87" s="133"/>
      <c r="W87" s="133"/>
      <c r="X87" s="133"/>
      <c r="Y87" s="122">
        <f t="shared" si="61"/>
        <v>0</v>
      </c>
      <c r="Z87" s="122"/>
      <c r="AA87" s="122"/>
      <c r="AB87" s="122"/>
    </row>
    <row r="88" customHeight="1" spans="1:28">
      <c r="A88" s="49"/>
      <c r="B88" s="159" t="s">
        <v>1735</v>
      </c>
      <c r="C88" s="160"/>
      <c r="D88" s="161"/>
      <c r="E88" s="58"/>
      <c r="F88" s="133"/>
      <c r="G88" s="133"/>
      <c r="H88" s="133"/>
      <c r="I88" s="133"/>
      <c r="J88" s="133"/>
      <c r="K88" s="133"/>
      <c r="L88" s="133"/>
      <c r="M88" s="133"/>
      <c r="N88" s="44"/>
      <c r="O88" s="44"/>
      <c r="P88" s="133"/>
      <c r="Q88" s="133"/>
      <c r="R88" s="133"/>
      <c r="S88" s="133"/>
      <c r="T88" s="133"/>
      <c r="U88" s="122">
        <f t="shared" si="60"/>
        <v>0</v>
      </c>
      <c r="V88" s="133"/>
      <c r="W88" s="133"/>
      <c r="X88" s="133"/>
      <c r="Y88" s="122">
        <f t="shared" si="61"/>
        <v>0</v>
      </c>
      <c r="Z88" s="122"/>
      <c r="AA88" s="122"/>
      <c r="AB88" s="122"/>
    </row>
    <row r="89" customHeight="1" spans="1:28">
      <c r="A89" s="49">
        <v>1</v>
      </c>
      <c r="B89" s="119" t="s">
        <v>1736</v>
      </c>
      <c r="C89" s="120"/>
      <c r="D89" s="43" t="s">
        <v>1703</v>
      </c>
      <c r="E89" s="49" t="s">
        <v>210</v>
      </c>
      <c r="F89" s="122">
        <f>41157.69</f>
        <v>41157.69</v>
      </c>
      <c r="G89" s="122"/>
      <c r="H89" s="122">
        <f t="shared" ref="H89:H98" si="79">F89*300%</f>
        <v>123473.07</v>
      </c>
      <c r="I89" s="122">
        <f t="shared" ref="I89:I98" si="80">F89*7.5%</f>
        <v>3086.82675</v>
      </c>
      <c r="J89" s="122">
        <v>40122.19</v>
      </c>
      <c r="K89" s="122">
        <f t="shared" ref="K89:K98" si="81">F89*50%</f>
        <v>20578.845</v>
      </c>
      <c r="L89" s="122">
        <f t="shared" ref="L89:L98" si="82">F89*350%</f>
        <v>144051.915</v>
      </c>
      <c r="M89" s="122">
        <f t="shared" ref="M89:M98" si="83">F89*100%</f>
        <v>41157.69</v>
      </c>
      <c r="N89" s="44">
        <f>180000</f>
        <v>180000</v>
      </c>
      <c r="O89" s="44"/>
      <c r="P89" s="122">
        <f t="shared" ref="P89:P98" si="84">F89*10%</f>
        <v>4115.769</v>
      </c>
      <c r="Q89" s="122">
        <v>20000</v>
      </c>
      <c r="R89" s="122"/>
      <c r="S89" s="122">
        <f t="shared" ref="S89:S98" si="85">SUM(F89:R89)</f>
        <v>617743.99575</v>
      </c>
      <c r="T89" s="122">
        <v>604023.33375</v>
      </c>
      <c r="U89" s="122">
        <f t="shared" si="60"/>
        <v>13720.662</v>
      </c>
      <c r="V89" s="122"/>
      <c r="W89" s="122">
        <f>21618.09</f>
        <v>21618.09</v>
      </c>
      <c r="X89" s="122">
        <v>21618.09</v>
      </c>
      <c r="Y89" s="122">
        <f t="shared" si="61"/>
        <v>0</v>
      </c>
      <c r="Z89" s="122"/>
      <c r="AA89" s="122"/>
      <c r="AB89" s="122"/>
    </row>
    <row r="90" customHeight="1" spans="1:28">
      <c r="A90" s="49">
        <v>2</v>
      </c>
      <c r="B90" s="119" t="s">
        <v>208</v>
      </c>
      <c r="C90" s="120"/>
      <c r="D90" s="43" t="s">
        <v>145</v>
      </c>
      <c r="E90" s="49" t="s">
        <v>39</v>
      </c>
      <c r="F90" s="122">
        <f>33507.5</f>
        <v>33507.5</v>
      </c>
      <c r="G90" s="122"/>
      <c r="H90" s="122">
        <f t="shared" si="79"/>
        <v>100522.5</v>
      </c>
      <c r="I90" s="122">
        <f t="shared" si="80"/>
        <v>2513.0625</v>
      </c>
      <c r="J90" s="122">
        <f>40122.19</f>
        <v>40122.19</v>
      </c>
      <c r="K90" s="122">
        <f t="shared" si="81"/>
        <v>16753.75</v>
      </c>
      <c r="L90" s="122">
        <f t="shared" si="82"/>
        <v>117276.25</v>
      </c>
      <c r="M90" s="122">
        <f t="shared" si="83"/>
        <v>33507.5</v>
      </c>
      <c r="N90" s="44">
        <f>160000</f>
        <v>160000</v>
      </c>
      <c r="O90" s="44"/>
      <c r="P90" s="122">
        <f t="shared" si="84"/>
        <v>3350.75</v>
      </c>
      <c r="Q90" s="122">
        <v>20000</v>
      </c>
      <c r="R90" s="122"/>
      <c r="S90" s="122">
        <f t="shared" si="85"/>
        <v>527553.5025</v>
      </c>
      <c r="T90" s="122">
        <v>516137.05</v>
      </c>
      <c r="U90" s="122">
        <f t="shared" si="60"/>
        <v>11416.4525</v>
      </c>
      <c r="V90" s="122"/>
      <c r="W90" s="122">
        <f>15548.33</f>
        <v>15548.33</v>
      </c>
      <c r="X90" s="122">
        <v>15548.33</v>
      </c>
      <c r="Y90" s="122">
        <f t="shared" si="61"/>
        <v>0</v>
      </c>
      <c r="Z90" s="122"/>
      <c r="AA90" s="122"/>
      <c r="AB90" s="122"/>
    </row>
    <row r="91" customHeight="1" spans="1:28">
      <c r="A91" s="49">
        <v>3</v>
      </c>
      <c r="B91" s="119" t="s">
        <v>206</v>
      </c>
      <c r="C91" s="120"/>
      <c r="D91" s="43" t="s">
        <v>145</v>
      </c>
      <c r="E91" s="49" t="s">
        <v>39</v>
      </c>
      <c r="F91" s="122">
        <f>33507.5</f>
        <v>33507.5</v>
      </c>
      <c r="G91" s="122"/>
      <c r="H91" s="122">
        <f t="shared" si="79"/>
        <v>100522.5</v>
      </c>
      <c r="I91" s="122">
        <f t="shared" si="80"/>
        <v>2513.0625</v>
      </c>
      <c r="J91" s="122">
        <f>40122.19</f>
        <v>40122.19</v>
      </c>
      <c r="K91" s="122">
        <f t="shared" si="81"/>
        <v>16753.75</v>
      </c>
      <c r="L91" s="122">
        <f t="shared" si="82"/>
        <v>117276.25</v>
      </c>
      <c r="M91" s="122">
        <f t="shared" si="83"/>
        <v>33507.5</v>
      </c>
      <c r="N91" s="44">
        <f>160000</f>
        <v>160000</v>
      </c>
      <c r="O91" s="44"/>
      <c r="P91" s="122">
        <f t="shared" si="84"/>
        <v>3350.75</v>
      </c>
      <c r="Q91" s="122">
        <v>20000</v>
      </c>
      <c r="R91" s="122"/>
      <c r="S91" s="122">
        <f t="shared" si="85"/>
        <v>527553.5025</v>
      </c>
      <c r="T91" s="122">
        <v>516137.05</v>
      </c>
      <c r="U91" s="122">
        <f t="shared" si="60"/>
        <v>11416.4525</v>
      </c>
      <c r="V91" s="122"/>
      <c r="W91" s="122">
        <f>15548.33</f>
        <v>15548.33</v>
      </c>
      <c r="X91" s="122">
        <v>15548.33</v>
      </c>
      <c r="Y91" s="122">
        <f t="shared" si="61"/>
        <v>0</v>
      </c>
      <c r="Z91" s="122"/>
      <c r="AA91" s="122"/>
      <c r="AB91" s="122"/>
    </row>
    <row r="92" customHeight="1" spans="1:28">
      <c r="A92" s="49">
        <v>4</v>
      </c>
      <c r="B92" s="119" t="s">
        <v>1774</v>
      </c>
      <c r="C92" s="120"/>
      <c r="D92" s="43" t="s">
        <v>46</v>
      </c>
      <c r="E92" s="49" t="s">
        <v>214</v>
      </c>
      <c r="F92" s="122">
        <f>26732.65</f>
        <v>26732.65</v>
      </c>
      <c r="G92" s="122"/>
      <c r="H92" s="122">
        <f t="shared" si="79"/>
        <v>80197.95</v>
      </c>
      <c r="I92" s="122">
        <f t="shared" si="80"/>
        <v>2004.94875</v>
      </c>
      <c r="J92" s="122">
        <v>0</v>
      </c>
      <c r="K92" s="122">
        <f t="shared" si="81"/>
        <v>13366.325</v>
      </c>
      <c r="L92" s="122">
        <f t="shared" si="82"/>
        <v>93564.275</v>
      </c>
      <c r="M92" s="122">
        <f t="shared" si="83"/>
        <v>26732.65</v>
      </c>
      <c r="N92" s="44">
        <v>140000</v>
      </c>
      <c r="O92" s="44"/>
      <c r="P92" s="122">
        <f t="shared" si="84"/>
        <v>2673.265</v>
      </c>
      <c r="Q92" s="122">
        <v>20000</v>
      </c>
      <c r="R92" s="122">
        <v>0</v>
      </c>
      <c r="S92" s="122">
        <f t="shared" si="85"/>
        <v>405272.06375</v>
      </c>
      <c r="T92" s="122">
        <v>397211.3675</v>
      </c>
      <c r="U92" s="122">
        <f t="shared" si="60"/>
        <v>8060.69624999998</v>
      </c>
      <c r="V92" s="122"/>
      <c r="W92" s="122">
        <f t="shared" si="17"/>
        <v>7709.76</v>
      </c>
      <c r="X92" s="122">
        <v>7709.76</v>
      </c>
      <c r="Y92" s="122">
        <f t="shared" si="61"/>
        <v>0</v>
      </c>
      <c r="Z92" s="122"/>
      <c r="AA92" s="122"/>
      <c r="AB92" s="122"/>
    </row>
    <row r="93" customHeight="1" spans="1:28">
      <c r="A93" s="49">
        <v>5</v>
      </c>
      <c r="B93" s="52" t="s">
        <v>165</v>
      </c>
      <c r="C93" s="54"/>
      <c r="D93" s="43" t="s">
        <v>52</v>
      </c>
      <c r="E93" s="49" t="s">
        <v>47</v>
      </c>
      <c r="F93" s="122">
        <f>27611.23</f>
        <v>27611.23</v>
      </c>
      <c r="G93" s="122"/>
      <c r="H93" s="122">
        <f t="shared" si="79"/>
        <v>82833.69</v>
      </c>
      <c r="I93" s="122">
        <f t="shared" si="80"/>
        <v>2070.84225</v>
      </c>
      <c r="J93" s="122"/>
      <c r="K93" s="122">
        <f t="shared" si="81"/>
        <v>13805.615</v>
      </c>
      <c r="L93" s="122">
        <f t="shared" si="82"/>
        <v>96639.305</v>
      </c>
      <c r="M93" s="122">
        <f t="shared" si="83"/>
        <v>27611.23</v>
      </c>
      <c r="N93" s="44">
        <v>140000</v>
      </c>
      <c r="O93" s="44"/>
      <c r="P93" s="122">
        <f t="shared" si="84"/>
        <v>2761.123</v>
      </c>
      <c r="Q93" s="122">
        <v>20000</v>
      </c>
      <c r="R93" s="122">
        <v>0</v>
      </c>
      <c r="S93" s="85">
        <f t="shared" si="85"/>
        <v>413333.03525</v>
      </c>
      <c r="T93" s="85">
        <v>405272.06375</v>
      </c>
      <c r="U93" s="122">
        <f t="shared" si="60"/>
        <v>8060.9715000001</v>
      </c>
      <c r="V93" s="122"/>
      <c r="W93" s="122">
        <f t="shared" si="17"/>
        <v>7709.76</v>
      </c>
      <c r="X93" s="122">
        <v>7709.76</v>
      </c>
      <c r="Y93" s="122">
        <f t="shared" si="61"/>
        <v>0</v>
      </c>
      <c r="Z93" s="122"/>
      <c r="AA93" s="85"/>
      <c r="AB93" s="85"/>
    </row>
    <row r="94" customHeight="1" spans="1:28">
      <c r="A94" s="49">
        <v>6</v>
      </c>
      <c r="B94" s="131" t="s">
        <v>479</v>
      </c>
      <c r="C94" s="132"/>
      <c r="D94" s="43" t="s">
        <v>46</v>
      </c>
      <c r="E94" s="49" t="s">
        <v>214</v>
      </c>
      <c r="F94" s="85">
        <f>26732.65</f>
        <v>26732.65</v>
      </c>
      <c r="G94" s="122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22">
        <f t="shared" si="85"/>
        <v>405272.06375</v>
      </c>
      <c r="T94" s="122">
        <v>397211.3675</v>
      </c>
      <c r="U94" s="122">
        <f t="shared" si="60"/>
        <v>8060.69624999998</v>
      </c>
      <c r="V94" s="85"/>
      <c r="W94" s="122">
        <f t="shared" si="17"/>
        <v>7709.76</v>
      </c>
      <c r="X94" s="85">
        <v>7709.76</v>
      </c>
      <c r="Y94" s="122">
        <f t="shared" si="61"/>
        <v>0</v>
      </c>
      <c r="Z94" s="122"/>
      <c r="AA94" s="122"/>
      <c r="AB94" s="122"/>
    </row>
    <row r="95" customHeight="1" spans="1:28">
      <c r="A95" s="49">
        <v>7</v>
      </c>
      <c r="B95" s="119" t="s">
        <v>1775</v>
      </c>
      <c r="C95" s="120"/>
      <c r="D95" s="121" t="s">
        <v>52</v>
      </c>
      <c r="E95" s="124" t="s">
        <v>53</v>
      </c>
      <c r="F95" s="122">
        <f>25854.1</f>
        <v>25854.1</v>
      </c>
      <c r="G95" s="122"/>
      <c r="H95" s="122">
        <f t="shared" si="79"/>
        <v>77562.3</v>
      </c>
      <c r="I95" s="122">
        <f t="shared" si="80"/>
        <v>1939.0575</v>
      </c>
      <c r="J95" s="122">
        <v>0</v>
      </c>
      <c r="K95" s="122">
        <f t="shared" si="81"/>
        <v>12927.05</v>
      </c>
      <c r="L95" s="122">
        <f t="shared" si="82"/>
        <v>90489.35</v>
      </c>
      <c r="M95" s="122">
        <f t="shared" si="83"/>
        <v>25854.1</v>
      </c>
      <c r="N95" s="44">
        <v>140000</v>
      </c>
      <c r="O95" s="44"/>
      <c r="P95" s="122">
        <f t="shared" si="84"/>
        <v>2585.41</v>
      </c>
      <c r="Q95" s="122">
        <v>20000</v>
      </c>
      <c r="R95" s="1208" t="s">
        <v>1776</v>
      </c>
      <c r="S95" s="122">
        <f t="shared" si="85"/>
        <v>397211.3675</v>
      </c>
      <c r="T95" s="122">
        <v>389153.05675</v>
      </c>
      <c r="U95" s="122">
        <f t="shared" si="60"/>
        <v>8058.31075</v>
      </c>
      <c r="V95" s="122"/>
      <c r="W95" s="122">
        <f t="shared" si="18"/>
        <v>7709.76</v>
      </c>
      <c r="X95" s="122">
        <v>7709.76</v>
      </c>
      <c r="Y95" s="122">
        <f t="shared" si="61"/>
        <v>0</v>
      </c>
      <c r="Z95" s="122"/>
      <c r="AA95" s="122"/>
      <c r="AB95" s="122"/>
    </row>
    <row r="96" ht="21.6" customHeight="1" spans="1:28">
      <c r="A96" s="49">
        <v>8</v>
      </c>
      <c r="B96" s="121" t="s">
        <v>211</v>
      </c>
      <c r="C96" s="121"/>
      <c r="D96" s="43" t="s">
        <v>927</v>
      </c>
      <c r="E96" s="124" t="s">
        <v>218</v>
      </c>
      <c r="F96" s="122">
        <f>24741.26</f>
        <v>24741.26</v>
      </c>
      <c r="G96" s="122"/>
      <c r="H96" s="122">
        <f t="shared" si="79"/>
        <v>74223.78</v>
      </c>
      <c r="I96" s="122">
        <f t="shared" si="80"/>
        <v>1855.5945</v>
      </c>
      <c r="J96" s="122">
        <v>0</v>
      </c>
      <c r="K96" s="122">
        <f t="shared" si="81"/>
        <v>12370.63</v>
      </c>
      <c r="L96" s="122">
        <f t="shared" si="82"/>
        <v>86594.41</v>
      </c>
      <c r="M96" s="122">
        <f t="shared" si="83"/>
        <v>24741.26</v>
      </c>
      <c r="N96" s="44">
        <f>120000</f>
        <v>120000</v>
      </c>
      <c r="O96" s="44"/>
      <c r="P96" s="122">
        <f t="shared" si="84"/>
        <v>2474.126</v>
      </c>
      <c r="Q96" s="122">
        <v>15000</v>
      </c>
      <c r="R96" s="122">
        <v>0</v>
      </c>
      <c r="S96" s="122">
        <f t="shared" si="85"/>
        <v>362001.0605</v>
      </c>
      <c r="T96" s="122">
        <v>354201.026</v>
      </c>
      <c r="U96" s="122">
        <f t="shared" si="60"/>
        <v>7800.03449999995</v>
      </c>
      <c r="V96" s="122"/>
      <c r="W96" s="122">
        <f t="shared" si="18"/>
        <v>7709.76</v>
      </c>
      <c r="X96" s="122">
        <v>7709.76</v>
      </c>
      <c r="Y96" s="122">
        <f t="shared" si="61"/>
        <v>0</v>
      </c>
      <c r="Z96" s="122"/>
      <c r="AA96" s="122"/>
      <c r="AB96" s="122"/>
    </row>
    <row r="97" ht="21.6" customHeight="1" spans="1:29">
      <c r="A97" s="49">
        <v>9</v>
      </c>
      <c r="B97" s="119" t="s">
        <v>212</v>
      </c>
      <c r="C97" s="120"/>
      <c r="D97" s="121" t="s">
        <v>217</v>
      </c>
      <c r="E97" s="124" t="s">
        <v>64</v>
      </c>
      <c r="F97" s="122">
        <f>23891.12</f>
        <v>23891.12</v>
      </c>
      <c r="G97" s="122"/>
      <c r="H97" s="122">
        <f t="shared" si="79"/>
        <v>71673.36</v>
      </c>
      <c r="I97" s="122">
        <f t="shared" si="80"/>
        <v>1791.834</v>
      </c>
      <c r="J97" s="122">
        <v>0</v>
      </c>
      <c r="K97" s="122">
        <f t="shared" si="81"/>
        <v>11945.56</v>
      </c>
      <c r="L97" s="122">
        <f t="shared" si="82"/>
        <v>83618.92</v>
      </c>
      <c r="M97" s="122">
        <f t="shared" si="83"/>
        <v>23891.12</v>
      </c>
      <c r="N97" s="44">
        <f t="shared" ref="N97:N98" si="86">120000</f>
        <v>120000</v>
      </c>
      <c r="O97" s="44"/>
      <c r="P97" s="122">
        <f t="shared" si="84"/>
        <v>2389.112</v>
      </c>
      <c r="Q97" s="122">
        <v>15000</v>
      </c>
      <c r="R97" s="122">
        <v>0</v>
      </c>
      <c r="S97" s="122">
        <f t="shared" si="85"/>
        <v>354201.026</v>
      </c>
      <c r="T97" s="122">
        <v>346713.03325</v>
      </c>
      <c r="U97" s="122">
        <f t="shared" si="60"/>
        <v>7487.99275000003</v>
      </c>
      <c r="V97" s="122"/>
      <c r="W97" s="122">
        <f t="shared" si="18"/>
        <v>7709.76</v>
      </c>
      <c r="X97" s="122">
        <v>7709.76</v>
      </c>
      <c r="Y97" s="122">
        <f t="shared" si="61"/>
        <v>0</v>
      </c>
      <c r="Z97" s="122"/>
      <c r="AA97" s="122"/>
      <c r="AB97" s="122"/>
    </row>
    <row r="98" ht="21.6" customHeight="1" spans="1:29">
      <c r="A98" s="49">
        <v>10</v>
      </c>
      <c r="B98" s="119" t="s">
        <v>213</v>
      </c>
      <c r="C98" s="120"/>
      <c r="D98" s="121" t="s">
        <v>217</v>
      </c>
      <c r="E98" s="124" t="s">
        <v>64</v>
      </c>
      <c r="F98" s="122">
        <f>23891.12</f>
        <v>23891.12</v>
      </c>
      <c r="G98" s="122"/>
      <c r="H98" s="122">
        <f t="shared" si="79"/>
        <v>71673.36</v>
      </c>
      <c r="I98" s="122">
        <f t="shared" si="80"/>
        <v>1791.834</v>
      </c>
      <c r="J98" s="122">
        <v>0</v>
      </c>
      <c r="K98" s="122">
        <f t="shared" si="81"/>
        <v>11945.56</v>
      </c>
      <c r="L98" s="122">
        <f t="shared" si="82"/>
        <v>83618.92</v>
      </c>
      <c r="M98" s="122">
        <f t="shared" si="83"/>
        <v>23891.12</v>
      </c>
      <c r="N98" s="44">
        <f t="shared" si="86"/>
        <v>120000</v>
      </c>
      <c r="O98" s="44"/>
      <c r="P98" s="122">
        <f t="shared" si="84"/>
        <v>2389.112</v>
      </c>
      <c r="Q98" s="122">
        <v>15000</v>
      </c>
      <c r="R98" s="122">
        <v>0</v>
      </c>
      <c r="S98" s="122">
        <f t="shared" si="85"/>
        <v>354201.026</v>
      </c>
      <c r="T98" s="122">
        <v>346713.03325</v>
      </c>
      <c r="U98" s="122">
        <f t="shared" si="60"/>
        <v>7487.99275000003</v>
      </c>
      <c r="V98" s="122"/>
      <c r="W98" s="122">
        <f t="shared" si="18"/>
        <v>7709.76</v>
      </c>
      <c r="X98" s="122">
        <v>7709.76</v>
      </c>
      <c r="Y98" s="122">
        <f t="shared" si="61"/>
        <v>0</v>
      </c>
      <c r="Z98" s="122"/>
      <c r="AA98" s="122"/>
      <c r="AB98" s="122"/>
    </row>
    <row r="99" customHeight="1" spans="1:29">
      <c r="A99" s="49"/>
      <c r="B99" s="136" t="s">
        <v>120</v>
      </c>
      <c r="C99" s="136"/>
      <c r="D99" s="58">
        <v>10</v>
      </c>
      <c r="E99" s="58"/>
      <c r="F99" s="139">
        <f>SUM(F89:F98)</f>
        <v>287626.82</v>
      </c>
      <c r="G99" s="139"/>
      <c r="H99" s="139">
        <f t="shared" ref="H99:N99" si="87">SUM(H89:H98)</f>
        <v>862880.46</v>
      </c>
      <c r="I99" s="139">
        <f t="shared" si="87"/>
        <v>21572.0115</v>
      </c>
      <c r="J99" s="139">
        <f t="shared" si="87"/>
        <v>120366.57</v>
      </c>
      <c r="K99" s="139">
        <f t="shared" si="87"/>
        <v>143813.41</v>
      </c>
      <c r="L99" s="139">
        <f t="shared" si="87"/>
        <v>1006693.87</v>
      </c>
      <c r="M99" s="139">
        <f t="shared" si="87"/>
        <v>287626.82</v>
      </c>
      <c r="N99" s="138">
        <f t="shared" si="87"/>
        <v>1420000</v>
      </c>
      <c r="O99" s="138"/>
      <c r="P99" s="139">
        <f>SUM(P89:P98)</f>
        <v>28762.682</v>
      </c>
      <c r="Q99" s="139">
        <f>SUM(Q89:Q98)</f>
        <v>185000</v>
      </c>
      <c r="R99" s="139">
        <f>SUM(R89:R98)</f>
        <v>0</v>
      </c>
      <c r="S99" s="139">
        <f>SUM(S89:S98)</f>
        <v>4364342.6435</v>
      </c>
      <c r="T99" s="139">
        <v>4272772.38175</v>
      </c>
      <c r="U99" s="139">
        <f t="shared" si="60"/>
        <v>91570.2617500005</v>
      </c>
      <c r="V99" s="139"/>
      <c r="W99" s="139">
        <f>SUM(W89:W98)</f>
        <v>106683.07</v>
      </c>
      <c r="X99" s="139">
        <v>106683.07</v>
      </c>
      <c r="Y99" s="122">
        <f t="shared" si="61"/>
        <v>0</v>
      </c>
      <c r="Z99" s="139"/>
      <c r="AA99" s="139"/>
      <c r="AB99" s="139"/>
    </row>
    <row r="100" customHeight="1" spans="1:29">
      <c r="A100" s="49"/>
      <c r="B100" s="136"/>
      <c r="C100" s="136"/>
      <c r="D100" s="58"/>
      <c r="E100" s="58"/>
      <c r="F100" s="133"/>
      <c r="G100" s="133"/>
      <c r="H100" s="133"/>
      <c r="I100" s="133"/>
      <c r="J100" s="133"/>
      <c r="K100" s="133"/>
      <c r="L100" s="133"/>
      <c r="M100" s="133"/>
      <c r="N100" s="44"/>
      <c r="O100" s="44"/>
      <c r="P100" s="133"/>
      <c r="Q100" s="133"/>
      <c r="R100" s="133"/>
      <c r="S100" s="133"/>
      <c r="T100" s="133"/>
      <c r="U100" s="122">
        <f t="shared" si="60"/>
        <v>0</v>
      </c>
      <c r="V100" s="133"/>
      <c r="W100" s="133"/>
      <c r="X100" s="133"/>
      <c r="Y100" s="122">
        <f t="shared" si="61"/>
        <v>0</v>
      </c>
      <c r="Z100" s="133"/>
      <c r="AA100" s="133"/>
      <c r="AB100" s="133"/>
    </row>
    <row r="101" customHeight="1" spans="1:29">
      <c r="A101" s="49"/>
      <c r="B101" s="136" t="s">
        <v>1738</v>
      </c>
      <c r="C101" s="136"/>
      <c r="D101" s="58"/>
      <c r="E101" s="58"/>
      <c r="F101" s="133"/>
      <c r="G101" s="133"/>
      <c r="H101" s="133"/>
      <c r="I101" s="133"/>
      <c r="J101" s="133"/>
      <c r="K101" s="133"/>
      <c r="L101" s="133"/>
      <c r="M101" s="133"/>
      <c r="N101" s="44"/>
      <c r="O101" s="44"/>
      <c r="P101" s="133"/>
      <c r="Q101" s="133"/>
      <c r="R101" s="133"/>
      <c r="S101" s="133"/>
      <c r="T101" s="133"/>
      <c r="U101" s="122">
        <f t="shared" si="60"/>
        <v>0</v>
      </c>
      <c r="V101" s="133"/>
      <c r="W101" s="133"/>
      <c r="X101" s="133"/>
      <c r="Y101" s="122">
        <f t="shared" si="61"/>
        <v>0</v>
      </c>
      <c r="Z101" s="133"/>
      <c r="AA101" s="133"/>
      <c r="AB101" s="133"/>
    </row>
    <row r="102" customHeight="1" spans="1:29">
      <c r="A102" s="49">
        <v>1</v>
      </c>
      <c r="B102" s="119" t="s">
        <v>908</v>
      </c>
      <c r="C102" s="120"/>
      <c r="D102" s="49" t="s">
        <v>909</v>
      </c>
      <c r="E102" s="124" t="s">
        <v>210</v>
      </c>
      <c r="F102" s="122">
        <f>41157.69</f>
        <v>41157.69</v>
      </c>
      <c r="G102" s="122"/>
      <c r="H102" s="122">
        <f t="shared" ref="H102:H103" si="88">F102*300%</f>
        <v>123473.07</v>
      </c>
      <c r="I102" s="122">
        <f t="shared" ref="I102:I103" si="89">F102*7.5%</f>
        <v>3086.82675</v>
      </c>
      <c r="J102" s="122">
        <v>40122.19</v>
      </c>
      <c r="K102" s="122">
        <f t="shared" ref="K102:K103" si="90">F102*50%</f>
        <v>20578.845</v>
      </c>
      <c r="L102" s="122">
        <f t="shared" ref="L102:L103" si="91">F102*350%</f>
        <v>144051.915</v>
      </c>
      <c r="M102" s="122">
        <f t="shared" ref="M102:M103" si="92">F102*100%</f>
        <v>41157.69</v>
      </c>
      <c r="N102" s="44"/>
      <c r="O102" s="44">
        <f>90000</f>
        <v>90000</v>
      </c>
      <c r="P102" s="122">
        <f t="shared" ref="P102:P103" si="93">F102*10%</f>
        <v>4115.769</v>
      </c>
      <c r="Q102" s="122">
        <v>20000</v>
      </c>
      <c r="R102" s="122"/>
      <c r="S102" s="122">
        <f>SUM(F102:R102)</f>
        <v>527743.99575</v>
      </c>
      <c r="T102" s="122">
        <v>514023.33375</v>
      </c>
      <c r="U102" s="122">
        <f t="shared" si="60"/>
        <v>13720.662</v>
      </c>
      <c r="V102" s="122"/>
      <c r="W102" s="122">
        <f>21618.09</f>
        <v>21618.09</v>
      </c>
      <c r="X102" s="122">
        <v>21618.09</v>
      </c>
      <c r="Y102" s="122">
        <f t="shared" si="61"/>
        <v>0</v>
      </c>
      <c r="Z102" s="122"/>
      <c r="AA102" s="122"/>
      <c r="AB102" s="122"/>
    </row>
    <row r="103" customHeight="1" spans="1:29">
      <c r="A103" s="49">
        <v>2</v>
      </c>
      <c r="B103" s="131" t="s">
        <v>37</v>
      </c>
      <c r="C103" s="132"/>
      <c r="D103" s="4" t="s">
        <v>230</v>
      </c>
      <c r="E103" s="10" t="s">
        <v>214</v>
      </c>
      <c r="F103" s="85">
        <f>26732.65</f>
        <v>26732.65</v>
      </c>
      <c r="G103" s="122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22">
        <f>SUM(F103:R103)</f>
        <v>335272.06375</v>
      </c>
      <c r="T103" s="122">
        <v>327211.3675</v>
      </c>
      <c r="U103" s="122">
        <f t="shared" si="60"/>
        <v>8060.69624999998</v>
      </c>
      <c r="V103" s="85"/>
      <c r="W103" s="122">
        <f t="shared" si="17"/>
        <v>7709.76</v>
      </c>
      <c r="X103" s="85">
        <v>7709.76</v>
      </c>
      <c r="Y103" s="122">
        <f t="shared" si="61"/>
        <v>0</v>
      </c>
      <c r="Z103" s="122"/>
      <c r="AA103" s="122"/>
      <c r="AB103" s="122"/>
      <c r="AC103" s="123"/>
    </row>
    <row r="104" customHeight="1" spans="1:29">
      <c r="A104" s="49">
        <v>3</v>
      </c>
      <c r="B104" s="131" t="s">
        <v>1704</v>
      </c>
      <c r="C104" s="132"/>
      <c r="D104" s="4" t="s">
        <v>1705</v>
      </c>
      <c r="E104" s="124" t="s">
        <v>64</v>
      </c>
      <c r="F104" s="122">
        <f>23891.12</f>
        <v>23891.12</v>
      </c>
      <c r="G104" s="122"/>
      <c r="H104" s="122">
        <f t="shared" ref="H104:H105" si="94">F104*300%</f>
        <v>71673.36</v>
      </c>
      <c r="I104" s="122">
        <f t="shared" ref="I104:I105" si="95">F104*7.5%</f>
        <v>1791.834</v>
      </c>
      <c r="J104" s="122">
        <v>0</v>
      </c>
      <c r="K104" s="122">
        <f t="shared" ref="K104:K105" si="96">F104*50%</f>
        <v>11945.56</v>
      </c>
      <c r="L104" s="122">
        <f t="shared" ref="L104:L105" si="97">F104*350%</f>
        <v>83618.92</v>
      </c>
      <c r="M104" s="122">
        <f t="shared" ref="M104:M105" si="98">F104*100%</f>
        <v>23891.12</v>
      </c>
      <c r="N104" s="44"/>
      <c r="O104" s="44">
        <v>70000</v>
      </c>
      <c r="P104" s="122">
        <f t="shared" ref="P104:P105" si="99">F104*10%</f>
        <v>2389.112</v>
      </c>
      <c r="Q104" s="122">
        <v>15000</v>
      </c>
      <c r="R104" s="122">
        <v>0</v>
      </c>
      <c r="S104" s="122">
        <f t="shared" ref="S104:S105" si="100">SUM(F104:R104)</f>
        <v>304201.026</v>
      </c>
      <c r="T104" s="122">
        <v>296713.03325</v>
      </c>
      <c r="U104" s="122">
        <f t="shared" si="60"/>
        <v>7487.99275000003</v>
      </c>
      <c r="V104" s="122"/>
      <c r="W104" s="122">
        <f t="shared" si="17"/>
        <v>7709.76</v>
      </c>
      <c r="X104" s="122">
        <v>7709.76</v>
      </c>
      <c r="Y104" s="122">
        <f t="shared" si="61"/>
        <v>0</v>
      </c>
      <c r="Z104" s="122"/>
      <c r="AA104" s="122"/>
      <c r="AB104" s="122"/>
      <c r="AC104" s="123"/>
    </row>
    <row r="105" customHeight="1" spans="1:29">
      <c r="A105" s="49">
        <v>4</v>
      </c>
      <c r="B105" s="119" t="s">
        <v>235</v>
      </c>
      <c r="C105" s="120"/>
      <c r="D105" s="43" t="s">
        <v>1739</v>
      </c>
      <c r="E105" s="124" t="s">
        <v>1740</v>
      </c>
      <c r="F105" s="85">
        <f>19276.95</f>
        <v>19276.95</v>
      </c>
      <c r="G105" s="122"/>
      <c r="H105" s="122">
        <f t="shared" si="94"/>
        <v>57830.85</v>
      </c>
      <c r="I105" s="122">
        <f t="shared" si="95"/>
        <v>1445.77125</v>
      </c>
      <c r="J105" s="122"/>
      <c r="K105" s="122">
        <f t="shared" si="96"/>
        <v>9638.475</v>
      </c>
      <c r="L105" s="122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22">
        <f t="shared" si="99"/>
        <v>1927.695</v>
      </c>
      <c r="Q105" s="122">
        <v>10000</v>
      </c>
      <c r="R105" s="122"/>
      <c r="S105" s="122">
        <f t="shared" si="100"/>
        <v>246866.01625</v>
      </c>
      <c r="T105" s="122">
        <v>237734.047</v>
      </c>
      <c r="U105" s="122">
        <f t="shared" si="60"/>
        <v>9131.96925000005</v>
      </c>
      <c r="V105" s="122"/>
      <c r="W105" s="122">
        <v>3369.51</v>
      </c>
      <c r="X105" s="122">
        <v>3369.51</v>
      </c>
      <c r="Y105" s="122">
        <f t="shared" si="61"/>
        <v>0</v>
      </c>
      <c r="Z105" s="122"/>
      <c r="AA105" s="122"/>
      <c r="AB105" s="122"/>
      <c r="AC105" s="123"/>
    </row>
    <row r="106" customHeight="1" spans="1:29">
      <c r="A106" s="43"/>
      <c r="B106" s="136" t="s">
        <v>120</v>
      </c>
      <c r="C106" s="136"/>
      <c r="D106" s="5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38"/>
      <c r="O106" s="13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39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22">
        <f t="shared" si="61"/>
        <v>0</v>
      </c>
      <c r="Z106" s="93"/>
      <c r="AA106" s="93"/>
      <c r="AB106" s="93"/>
      <c r="AC106" s="123"/>
    </row>
    <row r="107" customHeight="1" spans="1:29">
      <c r="A107" s="43"/>
      <c r="B107" s="136"/>
      <c r="C107" s="136"/>
      <c r="D107" s="58"/>
      <c r="E107" s="162"/>
      <c r="F107" s="156"/>
      <c r="G107" s="156"/>
      <c r="H107" s="156"/>
      <c r="I107" s="156"/>
      <c r="J107" s="156"/>
      <c r="K107" s="156"/>
      <c r="L107" s="156"/>
      <c r="M107" s="156"/>
      <c r="N107" s="44"/>
      <c r="O107" s="44"/>
      <c r="P107" s="156"/>
      <c r="Q107" s="156"/>
      <c r="R107" s="156"/>
      <c r="S107" s="156"/>
      <c r="T107" s="156"/>
      <c r="U107" s="122">
        <f t="shared" si="60"/>
        <v>0</v>
      </c>
      <c r="V107" s="156"/>
      <c r="W107" s="156"/>
      <c r="X107" s="156"/>
      <c r="Y107" s="122">
        <f t="shared" si="61"/>
        <v>0</v>
      </c>
      <c r="Z107" s="156"/>
      <c r="AA107" s="156"/>
      <c r="AB107" s="156"/>
    </row>
    <row r="108" customHeight="1" spans="1:29">
      <c r="A108" s="43"/>
      <c r="B108" s="136" t="s">
        <v>1741</v>
      </c>
      <c r="C108" s="136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22">
        <f t="shared" si="60"/>
        <v>0</v>
      </c>
      <c r="V108" s="43"/>
      <c r="W108" s="43"/>
      <c r="X108" s="43"/>
      <c r="Y108" s="122">
        <f t="shared" si="61"/>
        <v>0</v>
      </c>
      <c r="Z108" s="43"/>
      <c r="AA108" s="43"/>
      <c r="AB108" s="43"/>
    </row>
    <row r="109" customHeight="1" spans="1:29">
      <c r="A109" s="43">
        <v>1</v>
      </c>
      <c r="B109" s="119" t="s">
        <v>652</v>
      </c>
      <c r="C109" s="120"/>
      <c r="D109" s="121" t="s">
        <v>241</v>
      </c>
      <c r="E109" s="124" t="s">
        <v>124</v>
      </c>
      <c r="F109" s="122">
        <f>81740.02</f>
        <v>81740.02</v>
      </c>
      <c r="G109" s="122"/>
      <c r="H109" s="122">
        <f>F109*300%</f>
        <v>245220.06</v>
      </c>
      <c r="I109" s="122">
        <f>F109*7.5%</f>
        <v>6130.5015</v>
      </c>
      <c r="J109" s="122">
        <v>80244.38</v>
      </c>
      <c r="K109" s="122">
        <f>F109*50%</f>
        <v>40870.01</v>
      </c>
      <c r="L109" s="122">
        <f>F109*350%</f>
        <v>286090.07</v>
      </c>
      <c r="M109" s="122">
        <f>F109*100%</f>
        <v>81740.02</v>
      </c>
      <c r="N109" s="44">
        <f>200000</f>
        <v>200000</v>
      </c>
      <c r="O109" s="44"/>
      <c r="P109" s="122">
        <f>F109*10%</f>
        <v>8174.002</v>
      </c>
      <c r="Q109" s="122">
        <v>20000</v>
      </c>
      <c r="R109" s="122">
        <v>0</v>
      </c>
      <c r="S109" s="122">
        <f>SUM(F109:R109)</f>
        <v>1050209.0635</v>
      </c>
      <c r="T109" s="122">
        <v>1025433.077</v>
      </c>
      <c r="U109" s="122">
        <f t="shared" si="60"/>
        <v>24775.9865000001</v>
      </c>
      <c r="V109" s="122"/>
      <c r="W109" s="122">
        <f>52776.63</f>
        <v>52776.63</v>
      </c>
      <c r="X109" s="122">
        <v>52776.63</v>
      </c>
      <c r="Y109" s="122">
        <f t="shared" si="61"/>
        <v>0</v>
      </c>
      <c r="Z109" s="122"/>
      <c r="AA109" s="122"/>
      <c r="AB109" s="122"/>
    </row>
    <row r="110" customHeight="1" spans="1:29">
      <c r="A110" s="43">
        <v>2</v>
      </c>
      <c r="B110" s="163" t="s">
        <v>242</v>
      </c>
      <c r="C110" s="164"/>
      <c r="D110" s="43" t="s">
        <v>243</v>
      </c>
      <c r="E110" s="49" t="s">
        <v>39</v>
      </c>
      <c r="F110" s="122">
        <f>33507.5</f>
        <v>33507.5</v>
      </c>
      <c r="G110" s="122"/>
      <c r="H110" s="122">
        <f>F110*300%</f>
        <v>100522.5</v>
      </c>
      <c r="I110" s="122">
        <f>F110*7.5%</f>
        <v>2513.0625</v>
      </c>
      <c r="J110" s="122">
        <v>40122.19</v>
      </c>
      <c r="K110" s="122">
        <f>F110*50%</f>
        <v>16753.75</v>
      </c>
      <c r="L110" s="122">
        <f>F110*350%</f>
        <v>117276.25</v>
      </c>
      <c r="M110" s="122">
        <f>F110*100%</f>
        <v>33507.5</v>
      </c>
      <c r="N110" s="44">
        <f>160000</f>
        <v>160000</v>
      </c>
      <c r="O110" s="44"/>
      <c r="P110" s="122">
        <f>F110*10%</f>
        <v>3350.75</v>
      </c>
      <c r="Q110" s="122">
        <v>20000</v>
      </c>
      <c r="R110" s="122">
        <v>0</v>
      </c>
      <c r="S110" s="122">
        <f>SUM(F110:R110)</f>
        <v>527553.5025</v>
      </c>
      <c r="T110" s="122">
        <v>527553.5025</v>
      </c>
      <c r="U110" s="122">
        <f t="shared" si="60"/>
        <v>0</v>
      </c>
      <c r="V110" s="122"/>
      <c r="W110" s="122">
        <v>15548.33</v>
      </c>
      <c r="X110" s="122">
        <v>15548.33</v>
      </c>
      <c r="Y110" s="122">
        <f t="shared" si="61"/>
        <v>0</v>
      </c>
      <c r="Z110" s="122"/>
      <c r="AA110" s="122"/>
      <c r="AB110" s="122"/>
    </row>
    <row r="111" customHeight="1" spans="1:29">
      <c r="A111" s="43">
        <v>3</v>
      </c>
      <c r="B111" s="119" t="s">
        <v>244</v>
      </c>
      <c r="C111" s="120"/>
      <c r="D111" s="43" t="s">
        <v>653</v>
      </c>
      <c r="E111" s="49" t="s">
        <v>56</v>
      </c>
      <c r="F111" s="122">
        <f>26339.3</f>
        <v>26339.3</v>
      </c>
      <c r="G111" s="122"/>
      <c r="H111" s="122">
        <f>F111*300%</f>
        <v>79017.9</v>
      </c>
      <c r="I111" s="122">
        <f>F111*7.5%</f>
        <v>1975.4475</v>
      </c>
      <c r="J111" s="122">
        <v>0</v>
      </c>
      <c r="K111" s="122">
        <f>F111*50%</f>
        <v>13169.65</v>
      </c>
      <c r="L111" s="122">
        <f>F111*350%</f>
        <v>92187.55</v>
      </c>
      <c r="M111" s="122">
        <f>F111*100%</f>
        <v>26339.3</v>
      </c>
      <c r="N111" s="44">
        <f>120000</f>
        <v>120000</v>
      </c>
      <c r="O111" s="44"/>
      <c r="P111" s="122">
        <f>F111*10%</f>
        <v>2633.93</v>
      </c>
      <c r="Q111" s="122">
        <v>15000</v>
      </c>
      <c r="R111" s="122" t="e">
        <f>#REF!</f>
        <v>#REF!</v>
      </c>
      <c r="S111" s="122" t="e">
        <f>SUM(F111:R111)</f>
        <v>#REF!</v>
      </c>
      <c r="T111" s="122">
        <v>418096.016025</v>
      </c>
      <c r="U111" s="122" t="e">
        <f t="shared" si="60"/>
        <v>#REF!</v>
      </c>
      <c r="V111" s="122"/>
      <c r="W111" s="122">
        <f>7709.76</f>
        <v>7709.76</v>
      </c>
      <c r="X111" s="122">
        <v>7709.76</v>
      </c>
      <c r="Y111" s="122">
        <f t="shared" si="61"/>
        <v>0</v>
      </c>
      <c r="Z111" s="122"/>
      <c r="AA111" s="122"/>
      <c r="AB111" s="122"/>
    </row>
    <row r="112" customHeight="1" spans="1:29">
      <c r="A112" s="43">
        <v>4</v>
      </c>
      <c r="B112" s="131" t="s">
        <v>246</v>
      </c>
      <c r="C112" s="132"/>
      <c r="D112" s="43" t="s">
        <v>653</v>
      </c>
      <c r="E112" s="10" t="s">
        <v>601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22" t="e">
        <f>SUM(F112:R112)</f>
        <v>#REF!</v>
      </c>
      <c r="T112" s="122">
        <v>401821.177155</v>
      </c>
      <c r="U112" s="122" t="e">
        <f t="shared" si="60"/>
        <v>#REF!</v>
      </c>
      <c r="V112" s="85"/>
      <c r="W112" s="85">
        <f>7709.76</f>
        <v>7709.76</v>
      </c>
      <c r="X112" s="85">
        <v>7709.76</v>
      </c>
      <c r="Y112" s="122">
        <f t="shared" si="61"/>
        <v>0</v>
      </c>
      <c r="Z112" s="122"/>
      <c r="AA112" s="122"/>
      <c r="AB112" s="122"/>
    </row>
    <row r="113" customHeight="1" spans="1:28">
      <c r="A113" s="43">
        <v>5</v>
      </c>
      <c r="B113" s="119" t="s">
        <v>249</v>
      </c>
      <c r="C113" s="120"/>
      <c r="D113" s="46" t="s">
        <v>250</v>
      </c>
      <c r="E113" s="124" t="s">
        <v>105</v>
      </c>
      <c r="F113" s="135">
        <f>13492.21</f>
        <v>13492.21</v>
      </c>
      <c r="G113" s="122"/>
      <c r="H113" s="122">
        <f>F113*300%</f>
        <v>40476.63</v>
      </c>
      <c r="I113" s="122">
        <f>F113*7.5%</f>
        <v>1011.91575</v>
      </c>
      <c r="J113" s="122"/>
      <c r="K113" s="122">
        <f>F113*50%</f>
        <v>6746.105</v>
      </c>
      <c r="L113" s="122">
        <f>F113*350%</f>
        <v>47222.735</v>
      </c>
      <c r="M113" s="122">
        <f>F113*100%</f>
        <v>13492.21</v>
      </c>
      <c r="N113" s="44">
        <f>100000</f>
        <v>100000</v>
      </c>
      <c r="O113" s="44"/>
      <c r="P113" s="122">
        <f>F113*10%</f>
        <v>1349.221</v>
      </c>
      <c r="Q113" s="122">
        <v>10000</v>
      </c>
      <c r="R113" s="122" t="e">
        <f>#REF!</f>
        <v>#REF!</v>
      </c>
      <c r="S113" s="122" t="e">
        <f>SUM(F113:R113)</f>
        <v>#REF!</v>
      </c>
      <c r="T113" s="122">
        <v>255637.51548</v>
      </c>
      <c r="U113" s="122" t="e">
        <f t="shared" si="60"/>
        <v>#REF!</v>
      </c>
      <c r="V113" s="122"/>
      <c r="W113" s="122">
        <v>1484.37</v>
      </c>
      <c r="X113" s="122">
        <v>1484.37</v>
      </c>
      <c r="Y113" s="122">
        <f t="shared" si="61"/>
        <v>0</v>
      </c>
      <c r="Z113" s="122"/>
      <c r="AA113" s="122"/>
      <c r="AB113" s="122"/>
    </row>
    <row r="114" customHeight="1" spans="1:28">
      <c r="A114" s="43">
        <v>6</v>
      </c>
      <c r="B114" s="131" t="s">
        <v>252</v>
      </c>
      <c r="C114" s="132"/>
      <c r="D114" s="46" t="s">
        <v>250</v>
      </c>
      <c r="E114" s="49" t="s">
        <v>108</v>
      </c>
      <c r="F114" s="122">
        <f>13112.16</f>
        <v>13112.16</v>
      </c>
      <c r="G114" s="122"/>
      <c r="H114" s="122">
        <f t="shared" ref="H114:H116" si="103">F114*300%</f>
        <v>39336.48</v>
      </c>
      <c r="I114" s="122">
        <f t="shared" ref="I114:I116" si="104">F114*7.5%</f>
        <v>983.412</v>
      </c>
      <c r="J114" s="122"/>
      <c r="K114" s="122">
        <f t="shared" ref="K114:K116" si="105">F114*50%</f>
        <v>6556.08</v>
      </c>
      <c r="L114" s="122">
        <f t="shared" ref="L114:L116" si="106">F114*350%</f>
        <v>45892.56</v>
      </c>
      <c r="M114" s="122">
        <f t="shared" ref="M114:M116" si="107">F114*100%</f>
        <v>13112.16</v>
      </c>
      <c r="N114" s="44">
        <f>100000</f>
        <v>100000</v>
      </c>
      <c r="O114" s="44"/>
      <c r="P114" s="122">
        <f t="shared" ref="P114:P116" si="108">F114*10%</f>
        <v>1311.216</v>
      </c>
      <c r="Q114" s="122">
        <v>10000</v>
      </c>
      <c r="R114" s="122" t="e">
        <f>#REF!</f>
        <v>#REF!</v>
      </c>
      <c r="S114" s="122" t="e">
        <f t="shared" ref="S114:S116" si="109">SUM(F114:R114)</f>
        <v>#REF!</v>
      </c>
      <c r="T114" s="122">
        <v>251765.871</v>
      </c>
      <c r="U114" s="122" t="e">
        <f t="shared" si="60"/>
        <v>#REF!</v>
      </c>
      <c r="V114" s="122"/>
      <c r="W114" s="122">
        <v>1484.37</v>
      </c>
      <c r="X114" s="122">
        <v>1484.37</v>
      </c>
      <c r="Y114" s="122">
        <f t="shared" si="61"/>
        <v>0</v>
      </c>
      <c r="Z114" s="122"/>
      <c r="AA114" s="122"/>
      <c r="AB114" s="122"/>
    </row>
    <row r="115" customHeight="1" spans="1:28">
      <c r="A115" s="43">
        <v>7</v>
      </c>
      <c r="B115" s="119" t="s">
        <v>253</v>
      </c>
      <c r="C115" s="120"/>
      <c r="D115" s="46" t="s">
        <v>250</v>
      </c>
      <c r="E115" s="124" t="s">
        <v>275</v>
      </c>
      <c r="F115" s="135">
        <f>12351.94</f>
        <v>12351.94</v>
      </c>
      <c r="G115" s="122"/>
      <c r="H115" s="122">
        <f t="shared" si="103"/>
        <v>37055.82</v>
      </c>
      <c r="I115" s="122">
        <f t="shared" si="104"/>
        <v>926.3955</v>
      </c>
      <c r="J115" s="122"/>
      <c r="K115" s="122">
        <f t="shared" si="105"/>
        <v>6175.97</v>
      </c>
      <c r="L115" s="122">
        <f t="shared" si="106"/>
        <v>43231.79</v>
      </c>
      <c r="M115" s="122">
        <f t="shared" si="107"/>
        <v>12351.94</v>
      </c>
      <c r="N115" s="44">
        <f t="shared" ref="N115:N116" si="110">100000</f>
        <v>100000</v>
      </c>
      <c r="O115" s="44"/>
      <c r="P115" s="122">
        <f t="shared" si="108"/>
        <v>1235.194</v>
      </c>
      <c r="Q115" s="122">
        <v>10000</v>
      </c>
      <c r="R115" s="122" t="e">
        <f>#REF!</f>
        <v>#REF!</v>
      </c>
      <c r="S115" s="122" t="e">
        <f t="shared" si="109"/>
        <v>#REF!</v>
      </c>
      <c r="T115" s="122">
        <v>247895.244945</v>
      </c>
      <c r="U115" s="122" t="e">
        <f t="shared" si="60"/>
        <v>#REF!</v>
      </c>
      <c r="V115" s="122"/>
      <c r="W115" s="122">
        <v>1484.37</v>
      </c>
      <c r="X115" s="122">
        <v>1484.37</v>
      </c>
      <c r="Y115" s="122">
        <f t="shared" si="61"/>
        <v>0</v>
      </c>
      <c r="Z115" s="122"/>
      <c r="AA115" s="122"/>
      <c r="AB115" s="122"/>
    </row>
    <row r="116" customHeight="1" spans="1:28">
      <c r="A116" s="43">
        <v>8</v>
      </c>
      <c r="B116" s="119" t="s">
        <v>1777</v>
      </c>
      <c r="C116" s="120"/>
      <c r="D116" s="46" t="s">
        <v>250</v>
      </c>
      <c r="E116" s="124" t="s">
        <v>275</v>
      </c>
      <c r="F116" s="135">
        <f>12351.94</f>
        <v>12351.94</v>
      </c>
      <c r="G116" s="122"/>
      <c r="H116" s="122">
        <f t="shared" si="103"/>
        <v>37055.82</v>
      </c>
      <c r="I116" s="122">
        <f t="shared" si="104"/>
        <v>926.3955</v>
      </c>
      <c r="J116" s="122"/>
      <c r="K116" s="122">
        <f t="shared" si="105"/>
        <v>6175.97</v>
      </c>
      <c r="L116" s="122">
        <f t="shared" si="106"/>
        <v>43231.79</v>
      </c>
      <c r="M116" s="122">
        <f t="shared" si="107"/>
        <v>12351.94</v>
      </c>
      <c r="N116" s="44">
        <f t="shared" si="110"/>
        <v>100000</v>
      </c>
      <c r="O116" s="44"/>
      <c r="P116" s="122">
        <f t="shared" si="108"/>
        <v>1235.194</v>
      </c>
      <c r="Q116" s="122">
        <v>10000</v>
      </c>
      <c r="R116" s="122" t="e">
        <f>#REF!</f>
        <v>#REF!</v>
      </c>
      <c r="S116" s="122" t="e">
        <f t="shared" si="109"/>
        <v>#REF!</v>
      </c>
      <c r="T116" s="122">
        <v>247895.244945</v>
      </c>
      <c r="U116" s="122" t="e">
        <f t="shared" si="60"/>
        <v>#REF!</v>
      </c>
      <c r="V116" s="122"/>
      <c r="W116" s="122">
        <v>1484.37</v>
      </c>
      <c r="X116" s="122">
        <v>1484.37</v>
      </c>
      <c r="Y116" s="122">
        <f t="shared" si="61"/>
        <v>0</v>
      </c>
      <c r="Z116" s="122"/>
      <c r="AA116" s="122"/>
      <c r="AB116" s="122"/>
    </row>
    <row r="117" customHeight="1" spans="1:28">
      <c r="A117" s="43"/>
      <c r="B117" s="136" t="s">
        <v>120</v>
      </c>
      <c r="C117" s="136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38">
        <f t="shared" si="111"/>
        <v>1000000</v>
      </c>
      <c r="O117" s="13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39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22">
        <f t="shared" si="61"/>
        <v>0</v>
      </c>
      <c r="Z117" s="165"/>
      <c r="AA117" s="165"/>
      <c r="AB117" s="165"/>
    </row>
    <row r="118" customHeight="1" spans="1:28">
      <c r="A118" s="43"/>
      <c r="B118" s="136"/>
      <c r="C118" s="136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22">
        <f t="shared" si="60"/>
        <v>0</v>
      </c>
      <c r="V118" s="56"/>
      <c r="W118" s="56"/>
      <c r="X118" s="56"/>
      <c r="Y118" s="122">
        <f t="shared" si="61"/>
        <v>0</v>
      </c>
      <c r="Z118" s="56"/>
      <c r="AA118" s="56"/>
      <c r="AB118" s="56"/>
    </row>
    <row r="119" customHeight="1" spans="1:28">
      <c r="A119" s="43"/>
      <c r="B119" s="136" t="s">
        <v>1742</v>
      </c>
      <c r="C119" s="136"/>
      <c r="D119" s="58"/>
      <c r="E119" s="58"/>
      <c r="F119" s="133"/>
      <c r="G119" s="133"/>
      <c r="H119" s="133"/>
      <c r="I119" s="133"/>
      <c r="J119" s="133"/>
      <c r="K119" s="133"/>
      <c r="L119" s="133"/>
      <c r="M119" s="133"/>
      <c r="N119" s="44"/>
      <c r="O119" s="44"/>
      <c r="P119" s="133"/>
      <c r="Q119" s="133"/>
      <c r="R119" s="133"/>
      <c r="S119" s="133"/>
      <c r="T119" s="133"/>
      <c r="U119" s="122">
        <f t="shared" si="60"/>
        <v>0</v>
      </c>
      <c r="V119" s="133"/>
      <c r="W119" s="133"/>
      <c r="X119" s="133"/>
      <c r="Y119" s="122">
        <f t="shared" si="61"/>
        <v>0</v>
      </c>
      <c r="Z119" s="122"/>
      <c r="AA119" s="122"/>
      <c r="AB119" s="122"/>
    </row>
    <row r="120" customHeight="1" spans="1:28">
      <c r="A120" s="43">
        <v>1</v>
      </c>
      <c r="B120" s="121" t="s">
        <v>279</v>
      </c>
      <c r="C120" s="121"/>
      <c r="D120" s="121" t="s">
        <v>280</v>
      </c>
      <c r="E120" s="124" t="s">
        <v>124</v>
      </c>
      <c r="F120" s="122">
        <f>81740.02</f>
        <v>81740.02</v>
      </c>
      <c r="G120" s="122"/>
      <c r="H120" s="122">
        <f t="shared" ref="H120:H128" si="113">F120*300%</f>
        <v>245220.06</v>
      </c>
      <c r="I120" s="122">
        <f t="shared" ref="I120:I128" si="114">F120*7.5%</f>
        <v>6130.5015</v>
      </c>
      <c r="J120" s="122">
        <f>80244.38</f>
        <v>80244.38</v>
      </c>
      <c r="K120" s="122">
        <f t="shared" ref="K120:K128" si="115">F120*50%</f>
        <v>40870.01</v>
      </c>
      <c r="L120" s="122">
        <f t="shared" ref="L120:L128" si="116">F120*350%</f>
        <v>286090.07</v>
      </c>
      <c r="M120" s="122">
        <f t="shared" ref="M120:M128" si="117">F120*100%</f>
        <v>81740.02</v>
      </c>
      <c r="N120" s="44"/>
      <c r="O120" s="44">
        <f>100000</f>
        <v>100000</v>
      </c>
      <c r="P120" s="122">
        <f t="shared" ref="P120:P128" si="118">F120*10%</f>
        <v>8174.002</v>
      </c>
      <c r="Q120" s="122">
        <v>20000</v>
      </c>
      <c r="R120" s="122">
        <v>100000</v>
      </c>
      <c r="S120" s="122">
        <f t="shared" ref="S120:S128" si="119">SUM(F120:R120)</f>
        <v>1050209.0635</v>
      </c>
      <c r="T120" s="122">
        <v>1050209.0635</v>
      </c>
      <c r="U120" s="122">
        <f t="shared" si="60"/>
        <v>0</v>
      </c>
      <c r="V120" s="122"/>
      <c r="W120" s="122">
        <f>52776.63</f>
        <v>52776.63</v>
      </c>
      <c r="X120" s="122">
        <v>52776.63</v>
      </c>
      <c r="Y120" s="122">
        <f t="shared" si="61"/>
        <v>0</v>
      </c>
      <c r="Z120" s="122"/>
      <c r="AA120" s="122"/>
      <c r="AB120" s="122"/>
    </row>
    <row r="121" customHeight="1" spans="1:28">
      <c r="A121" s="43">
        <v>2</v>
      </c>
      <c r="B121" s="121" t="s">
        <v>1707</v>
      </c>
      <c r="C121" s="121"/>
      <c r="D121" s="121" t="s">
        <v>1708</v>
      </c>
      <c r="E121" s="124" t="s">
        <v>36</v>
      </c>
      <c r="F121" s="122">
        <f>42653.17</f>
        <v>42653.17</v>
      </c>
      <c r="G121" s="122"/>
      <c r="H121" s="122">
        <f t="shared" si="113"/>
        <v>127959.51</v>
      </c>
      <c r="I121" s="122">
        <f t="shared" si="114"/>
        <v>3198.98775</v>
      </c>
      <c r="J121" s="122">
        <v>40122.19</v>
      </c>
      <c r="K121" s="122">
        <f t="shared" si="115"/>
        <v>21326.585</v>
      </c>
      <c r="L121" s="122">
        <f t="shared" si="116"/>
        <v>149286.095</v>
      </c>
      <c r="M121" s="122">
        <f t="shared" si="117"/>
        <v>42653.17</v>
      </c>
      <c r="N121" s="44"/>
      <c r="O121" s="44">
        <f>90000</f>
        <v>90000</v>
      </c>
      <c r="P121" s="122">
        <f t="shared" si="118"/>
        <v>4265.317</v>
      </c>
      <c r="Q121" s="122">
        <v>20000</v>
      </c>
      <c r="R121" s="122">
        <f>100000</f>
        <v>100000</v>
      </c>
      <c r="S121" s="122">
        <f t="shared" si="119"/>
        <v>641465.02475</v>
      </c>
      <c r="T121" s="122">
        <v>641465.02475</v>
      </c>
      <c r="U121" s="122">
        <f t="shared" si="60"/>
        <v>0</v>
      </c>
      <c r="V121" s="122"/>
      <c r="W121" s="122">
        <f>21618.09</f>
        <v>21618.09</v>
      </c>
      <c r="X121" s="122">
        <v>21618.09</v>
      </c>
      <c r="Y121" s="122">
        <f t="shared" si="61"/>
        <v>0</v>
      </c>
      <c r="Z121" s="122"/>
      <c r="AA121" s="122"/>
      <c r="AB121" s="122"/>
    </row>
    <row r="122" customHeight="1" spans="1:28">
      <c r="A122" s="43">
        <v>3</v>
      </c>
      <c r="B122" s="121" t="s">
        <v>281</v>
      </c>
      <c r="C122" s="121"/>
      <c r="D122" s="121" t="s">
        <v>655</v>
      </c>
      <c r="E122" s="124" t="s">
        <v>39</v>
      </c>
      <c r="F122" s="85">
        <f>33507.5</f>
        <v>33507.5</v>
      </c>
      <c r="G122" s="122"/>
      <c r="H122" s="122">
        <f t="shared" si="113"/>
        <v>100522.5</v>
      </c>
      <c r="I122" s="122">
        <f t="shared" si="114"/>
        <v>2513.0625</v>
      </c>
      <c r="J122" s="122">
        <v>40122.19</v>
      </c>
      <c r="K122" s="122">
        <f t="shared" si="115"/>
        <v>16753.75</v>
      </c>
      <c r="L122" s="122">
        <f t="shared" si="116"/>
        <v>117276.25</v>
      </c>
      <c r="M122" s="122">
        <f t="shared" si="117"/>
        <v>33507.5</v>
      </c>
      <c r="N122" s="44"/>
      <c r="O122" s="44">
        <f>80000</f>
        <v>80000</v>
      </c>
      <c r="P122" s="122">
        <f t="shared" si="118"/>
        <v>3350.75</v>
      </c>
      <c r="Q122" s="122">
        <v>20000</v>
      </c>
      <c r="R122" s="122">
        <v>0</v>
      </c>
      <c r="S122" s="122">
        <f t="shared" si="119"/>
        <v>447553.5025</v>
      </c>
      <c r="T122" s="122">
        <v>447553.5025</v>
      </c>
      <c r="U122" s="122">
        <f t="shared" si="60"/>
        <v>0</v>
      </c>
      <c r="V122" s="122"/>
      <c r="W122" s="122">
        <v>15548.33</v>
      </c>
      <c r="X122" s="122">
        <v>15548.33</v>
      </c>
      <c r="Y122" s="122">
        <f t="shared" si="61"/>
        <v>0</v>
      </c>
      <c r="Z122" s="122"/>
      <c r="AA122" s="122"/>
      <c r="AB122" s="122"/>
    </row>
    <row r="123" customHeight="1" spans="1:28">
      <c r="A123" s="43">
        <v>4</v>
      </c>
      <c r="B123" s="48" t="s">
        <v>283</v>
      </c>
      <c r="C123" s="48"/>
      <c r="D123" s="121" t="s">
        <v>655</v>
      </c>
      <c r="E123" s="124" t="s">
        <v>39</v>
      </c>
      <c r="F123" s="122">
        <f>33507.5</f>
        <v>33507.5</v>
      </c>
      <c r="G123" s="122"/>
      <c r="H123" s="122">
        <f t="shared" si="113"/>
        <v>100522.5</v>
      </c>
      <c r="I123" s="122">
        <f t="shared" si="114"/>
        <v>2513.0625</v>
      </c>
      <c r="J123" s="122">
        <f>40122.19</f>
        <v>40122.19</v>
      </c>
      <c r="K123" s="122">
        <f t="shared" si="115"/>
        <v>16753.75</v>
      </c>
      <c r="L123" s="122">
        <f t="shared" si="116"/>
        <v>117276.25</v>
      </c>
      <c r="M123" s="122">
        <f t="shared" si="117"/>
        <v>33507.5</v>
      </c>
      <c r="N123" s="44"/>
      <c r="O123" s="44">
        <f t="shared" si="9"/>
        <v>80000</v>
      </c>
      <c r="P123" s="122">
        <f t="shared" si="118"/>
        <v>3350.75</v>
      </c>
      <c r="Q123" s="122">
        <v>20000</v>
      </c>
      <c r="R123" s="122">
        <f>100000</f>
        <v>100000</v>
      </c>
      <c r="S123" s="122">
        <f t="shared" si="119"/>
        <v>547553.5025</v>
      </c>
      <c r="T123" s="122">
        <v>536137.05</v>
      </c>
      <c r="U123" s="122">
        <f t="shared" si="60"/>
        <v>11416.4524999999</v>
      </c>
      <c r="V123" s="122"/>
      <c r="W123" s="122">
        <f>15548.33</f>
        <v>15548.33</v>
      </c>
      <c r="X123" s="122">
        <v>15548.33</v>
      </c>
      <c r="Y123" s="122">
        <f t="shared" si="61"/>
        <v>0</v>
      </c>
      <c r="Z123" s="122"/>
      <c r="AA123" s="122"/>
      <c r="AB123" s="122"/>
    </row>
    <row r="124" customHeight="1" spans="1:28">
      <c r="A124" s="43">
        <v>5</v>
      </c>
      <c r="B124" s="46" t="s">
        <v>930</v>
      </c>
      <c r="D124" s="121" t="s">
        <v>655</v>
      </c>
      <c r="E124" s="124" t="s">
        <v>42</v>
      </c>
      <c r="F124" s="85">
        <f>31018.84</f>
        <v>31018.84</v>
      </c>
      <c r="G124" s="122"/>
      <c r="H124" s="122">
        <f t="shared" ref="H124" si="120">F124*300%</f>
        <v>93056.52</v>
      </c>
      <c r="I124" s="122">
        <f t="shared" ref="I124" si="121">F124*7.5%</f>
        <v>2326.413</v>
      </c>
      <c r="J124" s="122">
        <v>40122.19</v>
      </c>
      <c r="K124" s="122">
        <f t="shared" ref="K124" si="122">F124*50%</f>
        <v>15509.42</v>
      </c>
      <c r="L124" s="122">
        <f t="shared" ref="L124" si="123">F124*350%</f>
        <v>108565.94</v>
      </c>
      <c r="M124" s="122">
        <f t="shared" ref="M124" si="124">F124*100%</f>
        <v>31018.84</v>
      </c>
      <c r="N124" s="44"/>
      <c r="O124" s="44">
        <f t="shared" si="9"/>
        <v>80000</v>
      </c>
      <c r="P124" s="122">
        <f t="shared" ref="P124" si="125">F124*10%</f>
        <v>3101.884</v>
      </c>
      <c r="Q124" s="122">
        <v>20000</v>
      </c>
      <c r="R124" s="122">
        <v>0</v>
      </c>
      <c r="S124" s="122">
        <f t="shared" si="119"/>
        <v>424720.047</v>
      </c>
      <c r="T124" s="122">
        <v>424720.047</v>
      </c>
      <c r="U124" s="122">
        <f t="shared" si="60"/>
        <v>0</v>
      </c>
      <c r="V124" s="122"/>
      <c r="W124" s="122">
        <f>(15548.33)</f>
        <v>15548.33</v>
      </c>
      <c r="X124" s="122">
        <v>15548.33</v>
      </c>
      <c r="Y124" s="122">
        <f t="shared" si="61"/>
        <v>0</v>
      </c>
      <c r="Z124" s="122"/>
      <c r="AA124" s="122"/>
      <c r="AB124" s="122"/>
    </row>
    <row r="125" customHeight="1" spans="1:28">
      <c r="A125" s="43">
        <v>6</v>
      </c>
      <c r="B125" s="166" t="s">
        <v>286</v>
      </c>
      <c r="C125" s="166"/>
      <c r="D125" s="121" t="s">
        <v>1710</v>
      </c>
      <c r="E125" s="124" t="s">
        <v>601</v>
      </c>
      <c r="F125" s="122">
        <f>25523.45</f>
        <v>25523.45</v>
      </c>
      <c r="G125" s="122"/>
      <c r="H125" s="122">
        <f t="shared" si="113"/>
        <v>76570.35</v>
      </c>
      <c r="I125" s="122">
        <f t="shared" si="114"/>
        <v>1914.25875</v>
      </c>
      <c r="J125" s="122">
        <v>0</v>
      </c>
      <c r="K125" s="122">
        <f t="shared" si="115"/>
        <v>12761.725</v>
      </c>
      <c r="L125" s="122">
        <f t="shared" si="116"/>
        <v>89332.075</v>
      </c>
      <c r="M125" s="122">
        <f t="shared" si="117"/>
        <v>25523.45</v>
      </c>
      <c r="N125" s="44"/>
      <c r="O125" s="44">
        <f>70000</f>
        <v>70000</v>
      </c>
      <c r="P125" s="122">
        <f t="shared" si="118"/>
        <v>2552.345</v>
      </c>
      <c r="Q125" s="122">
        <v>15000</v>
      </c>
      <c r="R125" s="122">
        <v>0</v>
      </c>
      <c r="S125" s="122">
        <f t="shared" si="119"/>
        <v>319177.65375</v>
      </c>
      <c r="T125" s="122">
        <v>312001.0605</v>
      </c>
      <c r="U125" s="122">
        <f t="shared" si="60"/>
        <v>7176.59324999998</v>
      </c>
      <c r="V125" s="122"/>
      <c r="W125" s="122">
        <f>7709.76</f>
        <v>7709.76</v>
      </c>
      <c r="X125" s="122">
        <v>7709.76</v>
      </c>
      <c r="Y125" s="122">
        <f t="shared" si="61"/>
        <v>0</v>
      </c>
      <c r="Z125" s="122"/>
      <c r="AA125" s="122"/>
      <c r="AB125" s="122"/>
    </row>
    <row r="126" customHeight="1" spans="1:28">
      <c r="A126" s="43">
        <v>7</v>
      </c>
      <c r="B126" s="121" t="s">
        <v>287</v>
      </c>
      <c r="C126" s="121"/>
      <c r="D126" s="121" t="s">
        <v>656</v>
      </c>
      <c r="E126" s="124" t="s">
        <v>218</v>
      </c>
      <c r="F126" s="122">
        <f>24741.26</f>
        <v>24741.26</v>
      </c>
      <c r="G126" s="122"/>
      <c r="H126" s="122">
        <f t="shared" si="113"/>
        <v>74223.78</v>
      </c>
      <c r="I126" s="122">
        <f t="shared" si="114"/>
        <v>1855.5945</v>
      </c>
      <c r="J126" s="122"/>
      <c r="K126" s="122">
        <f t="shared" si="115"/>
        <v>12370.63</v>
      </c>
      <c r="L126" s="122">
        <f t="shared" si="116"/>
        <v>86594.41</v>
      </c>
      <c r="M126" s="122">
        <f t="shared" si="117"/>
        <v>24741.26</v>
      </c>
      <c r="N126" s="44"/>
      <c r="O126" s="44">
        <f t="shared" ref="O126:O128" si="126">70000</f>
        <v>70000</v>
      </c>
      <c r="P126" s="122">
        <f t="shared" si="118"/>
        <v>2474.126</v>
      </c>
      <c r="Q126" s="122">
        <v>15000</v>
      </c>
      <c r="R126" s="122">
        <f>30000</f>
        <v>30000</v>
      </c>
      <c r="S126" s="122">
        <f t="shared" si="119"/>
        <v>342001.0605</v>
      </c>
      <c r="T126" s="122">
        <v>334201.026</v>
      </c>
      <c r="U126" s="122">
        <f t="shared" si="60"/>
        <v>7800.03449999995</v>
      </c>
      <c r="V126" s="122"/>
      <c r="W126" s="122">
        <f>7709.76</f>
        <v>7709.76</v>
      </c>
      <c r="X126" s="122">
        <v>7709.76</v>
      </c>
      <c r="Y126" s="122">
        <f t="shared" si="61"/>
        <v>0</v>
      </c>
      <c r="Z126" s="122"/>
      <c r="AA126" s="122"/>
      <c r="AB126" s="122"/>
    </row>
    <row r="127" customHeight="1" spans="1:28">
      <c r="A127" s="43">
        <v>8</v>
      </c>
      <c r="B127" s="121" t="s">
        <v>289</v>
      </c>
      <c r="C127" s="121"/>
      <c r="D127" s="121" t="s">
        <v>1547</v>
      </c>
      <c r="E127" s="124" t="s">
        <v>218</v>
      </c>
      <c r="F127" s="122">
        <f>24741.26</f>
        <v>24741.26</v>
      </c>
      <c r="G127" s="122"/>
      <c r="H127" s="122">
        <f t="shared" si="113"/>
        <v>74223.78</v>
      </c>
      <c r="I127" s="122">
        <f t="shared" si="114"/>
        <v>1855.5945</v>
      </c>
      <c r="J127" s="122"/>
      <c r="K127" s="122">
        <f t="shared" si="115"/>
        <v>12370.63</v>
      </c>
      <c r="L127" s="122">
        <f t="shared" si="116"/>
        <v>86594.41</v>
      </c>
      <c r="M127" s="122">
        <f t="shared" si="117"/>
        <v>24741.26</v>
      </c>
      <c r="N127" s="44"/>
      <c r="O127" s="44">
        <f t="shared" si="126"/>
        <v>70000</v>
      </c>
      <c r="P127" s="122">
        <f t="shared" si="118"/>
        <v>2474.126</v>
      </c>
      <c r="Q127" s="122">
        <v>15000</v>
      </c>
      <c r="R127" s="122"/>
      <c r="S127" s="122">
        <f t="shared" si="119"/>
        <v>312001.0605</v>
      </c>
      <c r="T127" s="122">
        <v>304201.026</v>
      </c>
      <c r="U127" s="122">
        <f t="shared" si="60"/>
        <v>7800.03449999995</v>
      </c>
      <c r="V127" s="122"/>
      <c r="W127" s="122">
        <f>7709.76</f>
        <v>7709.76</v>
      </c>
      <c r="X127" s="122">
        <v>7709.76</v>
      </c>
      <c r="Y127" s="122">
        <f t="shared" si="61"/>
        <v>0</v>
      </c>
      <c r="Z127" s="122"/>
      <c r="AA127" s="122"/>
      <c r="AB127" s="122"/>
    </row>
    <row r="128" customHeight="1" spans="1:28">
      <c r="A128" s="43">
        <v>9</v>
      </c>
      <c r="B128" s="119" t="s">
        <v>1709</v>
      </c>
      <c r="C128" s="120"/>
      <c r="D128" s="121" t="s">
        <v>1710</v>
      </c>
      <c r="E128" s="124" t="s">
        <v>602</v>
      </c>
      <c r="F128" s="122">
        <f>23891.12</f>
        <v>23891.12</v>
      </c>
      <c r="G128" s="122"/>
      <c r="H128" s="122">
        <f t="shared" si="113"/>
        <v>71673.36</v>
      </c>
      <c r="I128" s="122">
        <f t="shared" si="114"/>
        <v>1791.834</v>
      </c>
      <c r="J128" s="122"/>
      <c r="K128" s="122">
        <f t="shared" si="115"/>
        <v>11945.56</v>
      </c>
      <c r="L128" s="122">
        <f t="shared" si="116"/>
        <v>83618.92</v>
      </c>
      <c r="M128" s="122">
        <f t="shared" si="117"/>
        <v>23891.12</v>
      </c>
      <c r="N128" s="44"/>
      <c r="O128" s="44">
        <f t="shared" si="126"/>
        <v>70000</v>
      </c>
      <c r="P128" s="122">
        <f t="shared" si="118"/>
        <v>2389.112</v>
      </c>
      <c r="Q128" s="122">
        <v>15000</v>
      </c>
      <c r="R128" s="122"/>
      <c r="S128" s="122">
        <f t="shared" si="119"/>
        <v>304201.026</v>
      </c>
      <c r="T128" s="122">
        <v>296713.03325</v>
      </c>
      <c r="U128" s="122">
        <f t="shared" si="60"/>
        <v>7487.99275000003</v>
      </c>
      <c r="V128" s="122"/>
      <c r="W128" s="122">
        <f>7709.76</f>
        <v>7709.76</v>
      </c>
      <c r="X128" s="122">
        <v>7709.76</v>
      </c>
      <c r="Y128" s="122">
        <f t="shared" si="61"/>
        <v>0</v>
      </c>
      <c r="Z128" s="122"/>
      <c r="AA128" s="122"/>
      <c r="AB128" s="122"/>
    </row>
    <row r="129" customHeight="1" spans="1:28">
      <c r="A129" s="43"/>
      <c r="B129" s="136" t="s">
        <v>120</v>
      </c>
      <c r="C129" s="136"/>
      <c r="D129" s="162" t="s">
        <v>1689</v>
      </c>
      <c r="E129" s="124"/>
      <c r="F129" s="133">
        <f>SUM(F120:F128)</f>
        <v>321324.12</v>
      </c>
      <c r="G129" s="133"/>
      <c r="H129" s="133">
        <f t="shared" ref="H129:M129" si="127">SUM(H120:H128)</f>
        <v>963972.36</v>
      </c>
      <c r="I129" s="133">
        <f t="shared" si="127"/>
        <v>24099.309</v>
      </c>
      <c r="J129" s="133">
        <f t="shared" si="127"/>
        <v>240733.14</v>
      </c>
      <c r="K129" s="133">
        <f t="shared" si="127"/>
        <v>160662.06</v>
      </c>
      <c r="L129" s="133">
        <f t="shared" si="127"/>
        <v>1124634.42</v>
      </c>
      <c r="M129" s="133">
        <f t="shared" si="127"/>
        <v>321324.12</v>
      </c>
      <c r="N129" s="138"/>
      <c r="O129" s="138">
        <f>SUM(O120:O128)</f>
        <v>710000</v>
      </c>
      <c r="P129" s="133">
        <f>SUM(P120:P128)</f>
        <v>32132.412</v>
      </c>
      <c r="Q129" s="133">
        <f>SUM(Q120:Q128)</f>
        <v>160000</v>
      </c>
      <c r="R129" s="133">
        <f>SUM(R120:R128)</f>
        <v>330000</v>
      </c>
      <c r="S129" s="133">
        <f>SUM(S120:S128)</f>
        <v>4388881.941</v>
      </c>
      <c r="T129" s="133">
        <v>4347200.8335</v>
      </c>
      <c r="U129" s="139">
        <f t="shared" si="60"/>
        <v>41681.1075000009</v>
      </c>
      <c r="V129" s="133"/>
      <c r="W129" s="133">
        <f t="shared" ref="W129" si="128">SUM(W120:W128)</f>
        <v>151878.75</v>
      </c>
      <c r="X129" s="133">
        <v>151878.75</v>
      </c>
      <c r="Y129" s="122">
        <f t="shared" si="61"/>
        <v>0</v>
      </c>
      <c r="Z129" s="133"/>
      <c r="AA129" s="133"/>
      <c r="AB129" s="133"/>
    </row>
    <row r="130" customHeight="1" spans="1:28">
      <c r="A130" s="43"/>
      <c r="B130" s="136"/>
      <c r="C130" s="136"/>
      <c r="D130" s="162"/>
      <c r="E130" s="124"/>
      <c r="F130" s="133"/>
      <c r="G130" s="133"/>
      <c r="H130" s="133"/>
      <c r="I130" s="133"/>
      <c r="J130" s="133"/>
      <c r="K130" s="133"/>
      <c r="L130" s="133"/>
      <c r="M130" s="133"/>
      <c r="N130" s="44"/>
      <c r="O130" s="44"/>
      <c r="P130" s="133"/>
      <c r="Q130" s="133"/>
      <c r="R130" s="133"/>
      <c r="S130" s="133"/>
      <c r="T130" s="133"/>
      <c r="U130" s="122">
        <f t="shared" si="60"/>
        <v>0</v>
      </c>
      <c r="V130" s="133"/>
      <c r="W130" s="133"/>
      <c r="X130" s="133"/>
      <c r="Y130" s="122">
        <f t="shared" si="61"/>
        <v>0</v>
      </c>
      <c r="Z130" s="133"/>
      <c r="AA130" s="133"/>
      <c r="AB130" s="133"/>
    </row>
    <row r="131" customHeight="1" spans="1:28">
      <c r="A131" s="43"/>
      <c r="B131" s="136" t="s">
        <v>1743</v>
      </c>
      <c r="C131" s="136"/>
      <c r="D131" s="121"/>
      <c r="E131" s="124"/>
      <c r="F131" s="122"/>
      <c r="G131" s="122"/>
      <c r="H131" s="122"/>
      <c r="I131" s="122"/>
      <c r="J131" s="122"/>
      <c r="K131" s="122"/>
      <c r="L131" s="122"/>
      <c r="M131" s="122"/>
      <c r="N131" s="44"/>
      <c r="O131" s="44"/>
      <c r="P131" s="122"/>
      <c r="Q131" s="122"/>
      <c r="R131" s="122"/>
      <c r="S131" s="122"/>
      <c r="T131" s="122"/>
      <c r="U131" s="122">
        <f t="shared" si="60"/>
        <v>0</v>
      </c>
      <c r="V131" s="122"/>
      <c r="W131" s="122"/>
      <c r="X131" s="122"/>
      <c r="Y131" s="122">
        <f t="shared" si="61"/>
        <v>0</v>
      </c>
      <c r="Z131" s="122"/>
      <c r="AA131" s="122"/>
      <c r="AB131" s="122"/>
    </row>
    <row r="132" customHeight="1" spans="1:28">
      <c r="A132" s="43">
        <v>1</v>
      </c>
      <c r="B132" s="121" t="s">
        <v>1744</v>
      </c>
      <c r="C132" s="121"/>
      <c r="D132" s="121" t="s">
        <v>1745</v>
      </c>
      <c r="E132" s="124" t="s">
        <v>124</v>
      </c>
      <c r="F132" s="122">
        <v>81740.02</v>
      </c>
      <c r="G132" s="122"/>
      <c r="H132" s="122">
        <f>F132*300%</f>
        <v>245220.06</v>
      </c>
      <c r="I132" s="122">
        <f>F132*7.5%</f>
        <v>6130.5015</v>
      </c>
      <c r="J132" s="122">
        <v>80244.38</v>
      </c>
      <c r="K132" s="122">
        <f>F132*50%</f>
        <v>40870.01</v>
      </c>
      <c r="L132" s="122">
        <f>F132*350%</f>
        <v>286090.07</v>
      </c>
      <c r="M132" s="122">
        <f>F132*100%</f>
        <v>81740.02</v>
      </c>
      <c r="N132" s="44"/>
      <c r="O132" s="44">
        <f>100000</f>
        <v>100000</v>
      </c>
      <c r="P132" s="122">
        <f>F132*10%</f>
        <v>8174.002</v>
      </c>
      <c r="Q132" s="122">
        <v>20000</v>
      </c>
      <c r="R132" s="122">
        <v>0</v>
      </c>
      <c r="S132" s="122">
        <f>SUM(F132:R132)</f>
        <v>950209.0635</v>
      </c>
      <c r="T132" s="122">
        <v>950209.0635</v>
      </c>
      <c r="U132" s="122">
        <f t="shared" si="60"/>
        <v>0</v>
      </c>
      <c r="V132" s="122"/>
      <c r="W132" s="122">
        <v>52776.63</v>
      </c>
      <c r="X132" s="122">
        <v>52776.63</v>
      </c>
      <c r="Y132" s="122">
        <f t="shared" si="61"/>
        <v>0</v>
      </c>
      <c r="Z132" s="122"/>
      <c r="AA132" s="122"/>
      <c r="AB132" s="122"/>
    </row>
    <row r="133" customHeight="1" spans="1:28">
      <c r="A133" s="43">
        <v>2</v>
      </c>
      <c r="B133" s="121" t="s">
        <v>931</v>
      </c>
      <c r="C133" s="121"/>
      <c r="D133" s="121" t="s">
        <v>932</v>
      </c>
      <c r="E133" s="124" t="s">
        <v>124</v>
      </c>
      <c r="F133" s="122">
        <f>81740.02</f>
        <v>81740.02</v>
      </c>
      <c r="G133" s="122"/>
      <c r="H133" s="122">
        <f>F133*300%</f>
        <v>245220.06</v>
      </c>
      <c r="I133" s="122">
        <f>F133*7.5%</f>
        <v>6130.5015</v>
      </c>
      <c r="J133" s="122">
        <f>80244.38</f>
        <v>80244.38</v>
      </c>
      <c r="K133" s="122">
        <f>F133*50%</f>
        <v>40870.01</v>
      </c>
      <c r="L133" s="122">
        <f>F133*350%</f>
        <v>286090.07</v>
      </c>
      <c r="M133" s="122">
        <f>F133*100%</f>
        <v>81740.02</v>
      </c>
      <c r="N133" s="44"/>
      <c r="O133" s="44">
        <f>100000</f>
        <v>100000</v>
      </c>
      <c r="P133" s="122">
        <f>F133*10%</f>
        <v>8174.002</v>
      </c>
      <c r="Q133" s="122">
        <v>20000</v>
      </c>
      <c r="R133" s="122">
        <v>0</v>
      </c>
      <c r="S133" s="122">
        <f>SUM(F133:R133)</f>
        <v>950209.0635</v>
      </c>
      <c r="T133" s="122">
        <v>950209.0635</v>
      </c>
      <c r="U133" s="122">
        <f t="shared" si="60"/>
        <v>0</v>
      </c>
      <c r="V133" s="122"/>
      <c r="W133" s="122">
        <f>52776.63</f>
        <v>52776.63</v>
      </c>
      <c r="X133" s="122">
        <v>52776.63</v>
      </c>
      <c r="Y133" s="122">
        <f t="shared" si="61"/>
        <v>0</v>
      </c>
      <c r="Z133" s="122"/>
      <c r="AA133" s="122"/>
      <c r="AB133" s="122"/>
    </row>
    <row r="134" customHeight="1" spans="1:28">
      <c r="A134" s="43">
        <v>3</v>
      </c>
      <c r="B134" s="166" t="s">
        <v>933</v>
      </c>
      <c r="C134" s="166"/>
      <c r="D134" s="121" t="s">
        <v>934</v>
      </c>
      <c r="E134" s="124" t="s">
        <v>36</v>
      </c>
      <c r="F134" s="122">
        <f>42653.17</f>
        <v>42653.17</v>
      </c>
      <c r="G134" s="122"/>
      <c r="H134" s="122">
        <f t="shared" ref="H134:H186" si="129">F134*300%</f>
        <v>127959.51</v>
      </c>
      <c r="I134" s="122">
        <f t="shared" ref="I134:I186" si="130">F134*7.5%</f>
        <v>3198.98775</v>
      </c>
      <c r="J134" s="122">
        <v>40122.19</v>
      </c>
      <c r="K134" s="122">
        <f t="shared" ref="K134:K186" si="131">F134*50%</f>
        <v>21326.585</v>
      </c>
      <c r="L134" s="122">
        <f t="shared" ref="L134:L186" si="132">F134*350%</f>
        <v>149286.095</v>
      </c>
      <c r="M134" s="122">
        <f t="shared" ref="M134:M155" si="133">F134*100%</f>
        <v>42653.17</v>
      </c>
      <c r="N134" s="44"/>
      <c r="O134" s="44">
        <f>90000</f>
        <v>90000</v>
      </c>
      <c r="P134" s="122">
        <f t="shared" ref="P134:P155" si="134">F134*10%</f>
        <v>4265.317</v>
      </c>
      <c r="Q134" s="122">
        <v>20000</v>
      </c>
      <c r="R134" s="122">
        <v>0</v>
      </c>
      <c r="S134" s="122">
        <f t="shared" ref="S134:S154" si="135">SUM(F134:R134)</f>
        <v>541465.02475</v>
      </c>
      <c r="T134" s="122">
        <v>541465.02475</v>
      </c>
      <c r="U134" s="122">
        <f t="shared" si="60"/>
        <v>0</v>
      </c>
      <c r="V134" s="122"/>
      <c r="W134" s="122">
        <f>21618.09</f>
        <v>21618.09</v>
      </c>
      <c r="X134" s="122">
        <v>21618.09</v>
      </c>
      <c r="Y134" s="122">
        <f t="shared" si="61"/>
        <v>0</v>
      </c>
      <c r="Z134" s="122"/>
      <c r="AA134" s="122"/>
      <c r="AB134" s="122"/>
    </row>
    <row r="135" customHeight="1" spans="1:28">
      <c r="A135" s="43">
        <v>4</v>
      </c>
      <c r="B135" s="145" t="s">
        <v>302</v>
      </c>
      <c r="C135" s="146"/>
      <c r="D135" s="4" t="s">
        <v>1746</v>
      </c>
      <c r="E135" s="16" t="s">
        <v>39</v>
      </c>
      <c r="F135" s="122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22">
        <f t="shared" si="135"/>
        <v>497553.5025</v>
      </c>
      <c r="T135" s="122">
        <v>497553.5025</v>
      </c>
      <c r="U135" s="122">
        <f t="shared" si="60"/>
        <v>0</v>
      </c>
      <c r="V135" s="85"/>
      <c r="W135" s="85">
        <v>15548.33</v>
      </c>
      <c r="X135" s="85">
        <v>15548.33</v>
      </c>
      <c r="Y135" s="122">
        <f t="shared" si="61"/>
        <v>0</v>
      </c>
      <c r="Z135" s="122"/>
      <c r="AA135" s="122"/>
      <c r="AB135" s="122"/>
    </row>
    <row r="136" customHeight="1" spans="1:28">
      <c r="A136" s="43">
        <v>5</v>
      </c>
      <c r="B136" s="145" t="s">
        <v>1747</v>
      </c>
      <c r="C136" s="146"/>
      <c r="D136" s="4" t="s">
        <v>1748</v>
      </c>
      <c r="E136" s="16" t="s">
        <v>39</v>
      </c>
      <c r="F136" s="122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22">
        <f t="shared" si="135"/>
        <v>447553.5025</v>
      </c>
      <c r="T136" s="122">
        <v>447553.5025</v>
      </c>
      <c r="U136" s="122">
        <f t="shared" si="60"/>
        <v>0</v>
      </c>
      <c r="V136" s="85"/>
      <c r="W136" s="85">
        <v>15548.33</v>
      </c>
      <c r="X136" s="85">
        <v>15548.33</v>
      </c>
      <c r="Y136" s="122">
        <f t="shared" si="61"/>
        <v>0</v>
      </c>
      <c r="Z136" s="122"/>
      <c r="AA136" s="122"/>
      <c r="AB136" s="122"/>
    </row>
    <row r="137" customHeight="1" spans="1:28">
      <c r="A137" s="43">
        <v>6</v>
      </c>
      <c r="B137" s="121" t="s">
        <v>305</v>
      </c>
      <c r="C137" s="121"/>
      <c r="D137" s="121" t="s">
        <v>935</v>
      </c>
      <c r="E137" s="124" t="s">
        <v>214</v>
      </c>
      <c r="F137" s="122">
        <f>26732.65</f>
        <v>26732.65</v>
      </c>
      <c r="G137" s="122"/>
      <c r="H137" s="122">
        <f t="shared" si="129"/>
        <v>80197.95</v>
      </c>
      <c r="I137" s="122">
        <f t="shared" si="130"/>
        <v>2004.94875</v>
      </c>
      <c r="J137" s="122">
        <v>0</v>
      </c>
      <c r="K137" s="122">
        <f t="shared" si="131"/>
        <v>13366.325</v>
      </c>
      <c r="L137" s="122">
        <f t="shared" si="132"/>
        <v>93564.275</v>
      </c>
      <c r="M137" s="122">
        <f t="shared" si="133"/>
        <v>26732.65</v>
      </c>
      <c r="N137" s="44"/>
      <c r="O137" s="44">
        <v>70000</v>
      </c>
      <c r="P137" s="122">
        <f t="shared" si="134"/>
        <v>2673.265</v>
      </c>
      <c r="Q137" s="85">
        <v>20000</v>
      </c>
      <c r="R137" s="122"/>
      <c r="S137" s="122">
        <f t="shared" si="135"/>
        <v>335272.06375</v>
      </c>
      <c r="T137" s="122">
        <v>327211.3675</v>
      </c>
      <c r="U137" s="122">
        <f t="shared" si="60"/>
        <v>8060.69624999998</v>
      </c>
      <c r="V137" s="122"/>
      <c r="W137" s="122">
        <v>7709.76</v>
      </c>
      <c r="X137" s="122">
        <v>7709.76</v>
      </c>
      <c r="Y137" s="122">
        <f t="shared" si="61"/>
        <v>0</v>
      </c>
      <c r="Z137" s="122"/>
      <c r="AA137" s="122"/>
      <c r="AB137" s="122"/>
    </row>
    <row r="138" customHeight="1" spans="1:28">
      <c r="A138" s="43">
        <v>7</v>
      </c>
      <c r="B138" s="121" t="s">
        <v>307</v>
      </c>
      <c r="C138" s="121"/>
      <c r="D138" s="43" t="s">
        <v>311</v>
      </c>
      <c r="E138" s="124" t="s">
        <v>214</v>
      </c>
      <c r="F138" s="122">
        <f t="shared" ref="F138:F139" si="136">26732.65</f>
        <v>26732.65</v>
      </c>
      <c r="G138" s="122"/>
      <c r="H138" s="122">
        <f t="shared" si="129"/>
        <v>80197.95</v>
      </c>
      <c r="I138" s="122">
        <f t="shared" si="130"/>
        <v>2004.94875</v>
      </c>
      <c r="J138" s="122">
        <v>0</v>
      </c>
      <c r="K138" s="122">
        <f t="shared" si="131"/>
        <v>13366.325</v>
      </c>
      <c r="L138" s="122">
        <f t="shared" si="132"/>
        <v>93564.275</v>
      </c>
      <c r="M138" s="122">
        <f t="shared" si="133"/>
        <v>26732.65</v>
      </c>
      <c r="N138" s="44"/>
      <c r="O138" s="44">
        <v>70000</v>
      </c>
      <c r="P138" s="122">
        <f t="shared" si="134"/>
        <v>2673.265</v>
      </c>
      <c r="Q138" s="85">
        <v>20000</v>
      </c>
      <c r="R138" s="122">
        <v>0</v>
      </c>
      <c r="S138" s="122">
        <f t="shared" si="135"/>
        <v>335272.06375</v>
      </c>
      <c r="T138" s="122">
        <v>327211.3675</v>
      </c>
      <c r="U138" s="122">
        <f t="shared" ref="U138:U186" si="137">S138-T138</f>
        <v>8060.69624999998</v>
      </c>
      <c r="V138" s="122"/>
      <c r="W138" s="122">
        <v>7709.76</v>
      </c>
      <c r="X138" s="122">
        <v>7709.76</v>
      </c>
      <c r="Y138" s="122">
        <f t="shared" ref="Y138:Y186" si="138">X138-W138</f>
        <v>0</v>
      </c>
      <c r="Z138" s="122"/>
      <c r="AA138" s="122"/>
      <c r="AB138" s="122"/>
    </row>
    <row r="139" customHeight="1" spans="1:28">
      <c r="A139" s="43">
        <v>8</v>
      </c>
      <c r="B139" s="121" t="s">
        <v>309</v>
      </c>
      <c r="C139" s="121"/>
      <c r="D139" s="43" t="s">
        <v>311</v>
      </c>
      <c r="E139" s="124" t="s">
        <v>214</v>
      </c>
      <c r="F139" s="122">
        <f t="shared" si="136"/>
        <v>26732.65</v>
      </c>
      <c r="G139" s="122"/>
      <c r="H139" s="122">
        <f t="shared" si="129"/>
        <v>80197.95</v>
      </c>
      <c r="I139" s="122">
        <f t="shared" si="130"/>
        <v>2004.94875</v>
      </c>
      <c r="J139" s="122">
        <v>0</v>
      </c>
      <c r="K139" s="122">
        <f t="shared" si="131"/>
        <v>13366.325</v>
      </c>
      <c r="L139" s="122">
        <f t="shared" si="132"/>
        <v>93564.275</v>
      </c>
      <c r="M139" s="122">
        <f t="shared" si="133"/>
        <v>26732.65</v>
      </c>
      <c r="N139" s="44"/>
      <c r="O139" s="44">
        <v>70000</v>
      </c>
      <c r="P139" s="122">
        <f t="shared" si="134"/>
        <v>2673.265</v>
      </c>
      <c r="Q139" s="85">
        <v>20000</v>
      </c>
      <c r="R139" s="122">
        <v>0</v>
      </c>
      <c r="S139" s="122">
        <f t="shared" si="135"/>
        <v>335272.06375</v>
      </c>
      <c r="T139" s="122">
        <v>327211.3675</v>
      </c>
      <c r="U139" s="122">
        <v>0</v>
      </c>
      <c r="V139" s="122"/>
      <c r="W139" s="122">
        <v>7709.76</v>
      </c>
      <c r="X139" s="122">
        <v>7709.76</v>
      </c>
      <c r="Y139" s="122">
        <f t="shared" si="138"/>
        <v>0</v>
      </c>
      <c r="Z139" s="122"/>
      <c r="AA139" s="122"/>
      <c r="AB139" s="122"/>
    </row>
    <row r="140" customHeight="1" spans="1:28">
      <c r="A140" s="43">
        <v>9</v>
      </c>
      <c r="B140" s="121" t="s">
        <v>229</v>
      </c>
      <c r="C140" s="121"/>
      <c r="D140" s="43" t="s">
        <v>937</v>
      </c>
      <c r="E140" s="124" t="s">
        <v>218</v>
      </c>
      <c r="F140" s="122">
        <f>24741.26</f>
        <v>24741.26</v>
      </c>
      <c r="G140" s="122"/>
      <c r="H140" s="122">
        <f t="shared" si="129"/>
        <v>74223.78</v>
      </c>
      <c r="I140" s="122">
        <f t="shared" si="130"/>
        <v>1855.5945</v>
      </c>
      <c r="J140" s="122">
        <v>0</v>
      </c>
      <c r="K140" s="122">
        <f t="shared" si="131"/>
        <v>12370.63</v>
      </c>
      <c r="L140" s="122">
        <f t="shared" si="132"/>
        <v>86594.41</v>
      </c>
      <c r="M140" s="122">
        <f t="shared" si="133"/>
        <v>24741.26</v>
      </c>
      <c r="N140" s="44"/>
      <c r="O140" s="44">
        <v>70000</v>
      </c>
      <c r="P140" s="122">
        <f t="shared" si="134"/>
        <v>2474.126</v>
      </c>
      <c r="Q140" s="122">
        <v>15000</v>
      </c>
      <c r="R140" s="122">
        <v>0</v>
      </c>
      <c r="S140" s="122">
        <f t="shared" si="135"/>
        <v>312001.0605</v>
      </c>
      <c r="T140" s="122">
        <v>304201.026</v>
      </c>
      <c r="U140" s="122">
        <f t="shared" si="137"/>
        <v>7800.03449999995</v>
      </c>
      <c r="V140" s="122"/>
      <c r="W140" s="122">
        <f>7709.76</f>
        <v>7709.76</v>
      </c>
      <c r="X140" s="122">
        <v>7709.76</v>
      </c>
      <c r="Y140" s="122">
        <f t="shared" si="138"/>
        <v>0</v>
      </c>
      <c r="Z140" s="122"/>
      <c r="AA140" s="122"/>
      <c r="AB140" s="122"/>
    </row>
    <row r="141" customHeight="1" spans="1:28">
      <c r="A141" s="43">
        <v>10</v>
      </c>
      <c r="B141" s="119" t="s">
        <v>231</v>
      </c>
      <c r="C141" s="120"/>
      <c r="D141" s="121" t="s">
        <v>936</v>
      </c>
      <c r="E141" s="124" t="s">
        <v>131</v>
      </c>
      <c r="F141" s="122">
        <f>21520.88</f>
        <v>21520.88</v>
      </c>
      <c r="G141" s="122"/>
      <c r="H141" s="122">
        <f t="shared" si="129"/>
        <v>64562.64</v>
      </c>
      <c r="I141" s="122">
        <f t="shared" si="130"/>
        <v>1614.066</v>
      </c>
      <c r="J141" s="122">
        <v>0</v>
      </c>
      <c r="K141" s="122">
        <f t="shared" si="131"/>
        <v>10760.44</v>
      </c>
      <c r="L141" s="122">
        <f t="shared" si="132"/>
        <v>75323.08</v>
      </c>
      <c r="M141" s="122">
        <f t="shared" si="133"/>
        <v>21520.88</v>
      </c>
      <c r="N141" s="44"/>
      <c r="O141" s="44">
        <f t="shared" ref="O141:O149" si="139">60000</f>
        <v>60000</v>
      </c>
      <c r="P141" s="122">
        <f t="shared" si="134"/>
        <v>2152.088</v>
      </c>
      <c r="Q141" s="122">
        <v>15000</v>
      </c>
      <c r="R141" s="122">
        <v>0</v>
      </c>
      <c r="S141" s="122">
        <f t="shared" si="135"/>
        <v>272454.074</v>
      </c>
      <c r="T141" s="122">
        <v>265372.075</v>
      </c>
      <c r="U141" s="122">
        <f t="shared" si="137"/>
        <v>7081.99900000001</v>
      </c>
      <c r="V141" s="122"/>
      <c r="W141" s="122">
        <f>3369.51</f>
        <v>3369.51</v>
      </c>
      <c r="X141" s="122">
        <v>3369.51</v>
      </c>
      <c r="Y141" s="122">
        <f t="shared" si="138"/>
        <v>0</v>
      </c>
      <c r="Z141" s="122"/>
      <c r="AA141" s="122"/>
      <c r="AB141" s="122"/>
    </row>
    <row r="142" customHeight="1" spans="1:28">
      <c r="A142" s="43">
        <v>11</v>
      </c>
      <c r="B142" s="121" t="s">
        <v>312</v>
      </c>
      <c r="C142" s="121"/>
      <c r="D142" s="121" t="s">
        <v>936</v>
      </c>
      <c r="E142" s="124" t="s">
        <v>131</v>
      </c>
      <c r="F142" s="122">
        <f t="shared" ref="F142:F143" si="140">21520.88</f>
        <v>21520.88</v>
      </c>
      <c r="G142" s="122"/>
      <c r="H142" s="122">
        <f t="shared" si="129"/>
        <v>64562.64</v>
      </c>
      <c r="I142" s="122">
        <f t="shared" si="130"/>
        <v>1614.066</v>
      </c>
      <c r="J142" s="122">
        <v>0</v>
      </c>
      <c r="K142" s="122">
        <f t="shared" si="131"/>
        <v>10760.44</v>
      </c>
      <c r="L142" s="122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22">
        <f t="shared" si="134"/>
        <v>2152.088</v>
      </c>
      <c r="Q142" s="122">
        <v>15000</v>
      </c>
      <c r="R142" s="122">
        <v>0</v>
      </c>
      <c r="S142" s="122">
        <f t="shared" si="135"/>
        <v>272454.074</v>
      </c>
      <c r="T142" s="122">
        <v>265372.075</v>
      </c>
      <c r="U142" s="122">
        <f t="shared" si="137"/>
        <v>7081.99900000001</v>
      </c>
      <c r="V142" s="122"/>
      <c r="W142" s="122">
        <v>3369.51</v>
      </c>
      <c r="X142" s="122">
        <v>3369.51</v>
      </c>
      <c r="Y142" s="122">
        <f t="shared" si="138"/>
        <v>0</v>
      </c>
      <c r="Z142" s="122"/>
      <c r="AA142" s="122"/>
      <c r="AB142" s="122"/>
    </row>
    <row r="143" customHeight="1" spans="1:28">
      <c r="A143" s="43">
        <v>12</v>
      </c>
      <c r="B143" s="119" t="s">
        <v>313</v>
      </c>
      <c r="C143" s="120"/>
      <c r="D143" s="43" t="s">
        <v>937</v>
      </c>
      <c r="E143" s="124" t="s">
        <v>131</v>
      </c>
      <c r="F143" s="122">
        <f t="shared" si="140"/>
        <v>21520.88</v>
      </c>
      <c r="G143" s="122"/>
      <c r="H143" s="122">
        <f t="shared" si="129"/>
        <v>64562.64</v>
      </c>
      <c r="I143" s="122">
        <f t="shared" si="130"/>
        <v>1614.066</v>
      </c>
      <c r="J143" s="122"/>
      <c r="K143" s="122">
        <f t="shared" si="131"/>
        <v>10760.44</v>
      </c>
      <c r="L143" s="122">
        <f t="shared" si="132"/>
        <v>75323.08</v>
      </c>
      <c r="M143" s="122">
        <f t="shared" si="133"/>
        <v>21520.88</v>
      </c>
      <c r="N143" s="44"/>
      <c r="O143" s="44">
        <f t="shared" si="139"/>
        <v>60000</v>
      </c>
      <c r="P143" s="122">
        <f t="shared" si="134"/>
        <v>2152.088</v>
      </c>
      <c r="Q143" s="122">
        <v>15000</v>
      </c>
      <c r="R143" s="122"/>
      <c r="S143" s="122">
        <f t="shared" si="135"/>
        <v>272454.074</v>
      </c>
      <c r="T143" s="122">
        <v>265372.075</v>
      </c>
      <c r="U143" s="122">
        <f t="shared" si="137"/>
        <v>7081.99900000001</v>
      </c>
      <c r="V143" s="122"/>
      <c r="W143" s="122">
        <v>3369.51</v>
      </c>
      <c r="X143" s="122">
        <v>3369.51</v>
      </c>
      <c r="Y143" s="122">
        <f t="shared" si="138"/>
        <v>0</v>
      </c>
      <c r="Z143" s="122"/>
      <c r="AA143" s="122"/>
      <c r="AB143" s="122"/>
    </row>
    <row r="144" customHeight="1" spans="1:28">
      <c r="A144" s="43">
        <v>13</v>
      </c>
      <c r="B144" s="119" t="s">
        <v>315</v>
      </c>
      <c r="C144" s="120"/>
      <c r="D144" s="43" t="s">
        <v>939</v>
      </c>
      <c r="E144" s="124" t="s">
        <v>153</v>
      </c>
      <c r="F144" s="85">
        <f>18779.3</f>
        <v>18779.3</v>
      </c>
      <c r="G144" s="122"/>
      <c r="H144" s="122">
        <f t="shared" si="129"/>
        <v>56337.9</v>
      </c>
      <c r="I144" s="122">
        <f t="shared" si="130"/>
        <v>1408.4475</v>
      </c>
      <c r="J144" s="122"/>
      <c r="K144" s="122">
        <f t="shared" si="131"/>
        <v>9389.65</v>
      </c>
      <c r="L144" s="122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22">
        <f t="shared" si="134"/>
        <v>1877.93</v>
      </c>
      <c r="Q144" s="122">
        <v>10000</v>
      </c>
      <c r="R144" s="122"/>
      <c r="S144" s="122">
        <f t="shared" si="135"/>
        <v>242300.0775</v>
      </c>
      <c r="T144" s="122">
        <v>237734.047</v>
      </c>
      <c r="U144" s="122">
        <f t="shared" si="137"/>
        <v>4566.03049999996</v>
      </c>
      <c r="V144" s="122"/>
      <c r="W144" s="122">
        <v>3369.51</v>
      </c>
      <c r="X144" s="122">
        <v>3369.51</v>
      </c>
      <c r="Y144" s="122">
        <f t="shared" si="138"/>
        <v>0</v>
      </c>
      <c r="Z144" s="122"/>
      <c r="AA144" s="122"/>
      <c r="AB144" s="122"/>
    </row>
    <row r="145" customHeight="1" spans="1:28">
      <c r="A145" s="43">
        <v>14</v>
      </c>
      <c r="B145" s="119" t="s">
        <v>317</v>
      </c>
      <c r="C145" s="120"/>
      <c r="D145" s="121" t="s">
        <v>1549</v>
      </c>
      <c r="E145" s="124" t="s">
        <v>78</v>
      </c>
      <c r="F145" s="85">
        <f>18281.64</f>
        <v>18281.64</v>
      </c>
      <c r="G145" s="122"/>
      <c r="H145" s="122">
        <f t="shared" si="129"/>
        <v>54844.92</v>
      </c>
      <c r="I145" s="122">
        <f t="shared" si="130"/>
        <v>1371.123</v>
      </c>
      <c r="J145" s="122"/>
      <c r="K145" s="122">
        <f t="shared" si="131"/>
        <v>9140.82</v>
      </c>
      <c r="L145" s="122">
        <f t="shared" si="132"/>
        <v>63985.74</v>
      </c>
      <c r="M145" s="122">
        <f t="shared" si="133"/>
        <v>18281.64</v>
      </c>
      <c r="N145" s="44"/>
      <c r="O145" s="44">
        <f t="shared" si="139"/>
        <v>60000</v>
      </c>
      <c r="P145" s="122">
        <f t="shared" si="134"/>
        <v>1828.164</v>
      </c>
      <c r="Q145" s="122">
        <v>10000</v>
      </c>
      <c r="R145" s="122"/>
      <c r="S145" s="122">
        <f t="shared" si="135"/>
        <v>237734.047</v>
      </c>
      <c r="T145" s="122">
        <v>233168.2</v>
      </c>
      <c r="U145" s="122">
        <f t="shared" si="137"/>
        <v>4565.84699999995</v>
      </c>
      <c r="V145" s="122"/>
      <c r="W145" s="122">
        <f>3369.51</f>
        <v>3369.51</v>
      </c>
      <c r="X145" s="122">
        <v>3369.51</v>
      </c>
      <c r="Y145" s="122">
        <f t="shared" si="138"/>
        <v>0</v>
      </c>
      <c r="Z145" s="122"/>
      <c r="AA145" s="122"/>
      <c r="AB145" s="122"/>
    </row>
    <row r="146" customHeight="1" spans="1:28">
      <c r="A146" s="43">
        <v>15</v>
      </c>
      <c r="B146" s="119" t="s">
        <v>62</v>
      </c>
      <c r="C146" s="120"/>
      <c r="D146" s="121" t="s">
        <v>344</v>
      </c>
      <c r="E146" s="124" t="s">
        <v>153</v>
      </c>
      <c r="F146" s="85">
        <f>18779.3</f>
        <v>18779.3</v>
      </c>
      <c r="G146" s="122"/>
      <c r="H146" s="122">
        <f t="shared" si="129"/>
        <v>56337.9</v>
      </c>
      <c r="I146" s="122">
        <f t="shared" si="130"/>
        <v>1408.4475</v>
      </c>
      <c r="J146" s="122"/>
      <c r="K146" s="122">
        <f t="shared" si="131"/>
        <v>9389.65</v>
      </c>
      <c r="L146" s="122">
        <f t="shared" si="132"/>
        <v>65727.55</v>
      </c>
      <c r="M146" s="122">
        <f t="shared" si="133"/>
        <v>18779.3</v>
      </c>
      <c r="N146" s="44"/>
      <c r="O146" s="44">
        <f t="shared" si="139"/>
        <v>60000</v>
      </c>
      <c r="P146" s="122">
        <f t="shared" si="134"/>
        <v>1877.93</v>
      </c>
      <c r="Q146" s="122">
        <v>10000</v>
      </c>
      <c r="R146" s="122"/>
      <c r="S146" s="122">
        <f t="shared" si="135"/>
        <v>242300.0775</v>
      </c>
      <c r="T146" s="122">
        <v>237734.047</v>
      </c>
      <c r="U146" s="122">
        <f t="shared" si="137"/>
        <v>4566.03049999996</v>
      </c>
      <c r="V146" s="122"/>
      <c r="W146" s="122">
        <v>3369.51</v>
      </c>
      <c r="X146" s="122">
        <v>3369.51</v>
      </c>
      <c r="Y146" s="122">
        <f t="shared" si="138"/>
        <v>0</v>
      </c>
      <c r="Z146" s="122"/>
      <c r="AA146" s="122"/>
      <c r="AB146" s="122"/>
    </row>
    <row r="147" customHeight="1" spans="1:28">
      <c r="A147" s="43">
        <v>16</v>
      </c>
      <c r="B147" s="119" t="s">
        <v>1749</v>
      </c>
      <c r="C147" s="120"/>
      <c r="D147" s="43" t="s">
        <v>939</v>
      </c>
      <c r="E147" s="124" t="s">
        <v>75</v>
      </c>
      <c r="F147" s="135">
        <f>17784.1</f>
        <v>17784.1</v>
      </c>
      <c r="G147" s="122"/>
      <c r="H147" s="122">
        <f t="shared" si="129"/>
        <v>53352.3</v>
      </c>
      <c r="I147" s="122">
        <f t="shared" si="130"/>
        <v>1333.8075</v>
      </c>
      <c r="J147" s="122"/>
      <c r="K147" s="122">
        <f t="shared" si="131"/>
        <v>8892.05</v>
      </c>
      <c r="L147" s="122">
        <f t="shared" si="132"/>
        <v>62244.35</v>
      </c>
      <c r="M147" s="122">
        <f t="shared" si="133"/>
        <v>17784.1</v>
      </c>
      <c r="N147" s="44"/>
      <c r="O147" s="44">
        <f t="shared" si="139"/>
        <v>60000</v>
      </c>
      <c r="P147" s="122">
        <f t="shared" si="134"/>
        <v>1778.41</v>
      </c>
      <c r="Q147" s="122">
        <v>10000</v>
      </c>
      <c r="R147" s="122"/>
      <c r="S147" s="122">
        <f t="shared" si="135"/>
        <v>233169.1175</v>
      </c>
      <c r="T147" s="122">
        <v>228602.07775</v>
      </c>
      <c r="U147" s="122">
        <f t="shared" si="137"/>
        <v>4567.03975</v>
      </c>
      <c r="V147" s="122"/>
      <c r="W147" s="122">
        <v>1484.37</v>
      </c>
      <c r="X147" s="122">
        <v>1484.37</v>
      </c>
      <c r="Y147" s="122">
        <f t="shared" si="138"/>
        <v>0</v>
      </c>
      <c r="Z147" s="122"/>
      <c r="AA147" s="122"/>
      <c r="AB147" s="122"/>
    </row>
    <row r="148" customHeight="1" spans="1:28">
      <c r="A148" s="43">
        <v>17</v>
      </c>
      <c r="B148" s="119" t="s">
        <v>994</v>
      </c>
      <c r="C148" s="120"/>
      <c r="D148" s="43" t="s">
        <v>939</v>
      </c>
      <c r="E148" s="124" t="s">
        <v>75</v>
      </c>
      <c r="F148" s="135">
        <f t="shared" ref="F148:F149" si="141">17784.1</f>
        <v>17784.1</v>
      </c>
      <c r="G148" s="122"/>
      <c r="H148" s="122">
        <f t="shared" si="129"/>
        <v>53352.3</v>
      </c>
      <c r="I148" s="122">
        <f t="shared" si="130"/>
        <v>1333.8075</v>
      </c>
      <c r="J148" s="122"/>
      <c r="K148" s="122">
        <f t="shared" si="131"/>
        <v>8892.05</v>
      </c>
      <c r="L148" s="122">
        <f t="shared" si="132"/>
        <v>62244.35</v>
      </c>
      <c r="M148" s="122">
        <f t="shared" si="133"/>
        <v>17784.1</v>
      </c>
      <c r="N148" s="44"/>
      <c r="O148" s="44">
        <f t="shared" si="139"/>
        <v>60000</v>
      </c>
      <c r="P148" s="122">
        <f t="shared" si="134"/>
        <v>1778.41</v>
      </c>
      <c r="Q148" s="122">
        <v>10000</v>
      </c>
      <c r="R148" s="122"/>
      <c r="S148" s="122">
        <f t="shared" si="135"/>
        <v>233169.1175</v>
      </c>
      <c r="T148" s="122">
        <v>228602.07775</v>
      </c>
      <c r="U148" s="122">
        <f t="shared" si="137"/>
        <v>4567.03975</v>
      </c>
      <c r="V148" s="122"/>
      <c r="W148" s="122">
        <v>1484.37</v>
      </c>
      <c r="X148" s="122">
        <v>1484.37</v>
      </c>
      <c r="Y148" s="122">
        <f t="shared" si="138"/>
        <v>0</v>
      </c>
      <c r="Z148" s="122"/>
      <c r="AA148" s="122"/>
      <c r="AB148" s="122"/>
    </row>
    <row r="149" customHeight="1" spans="1:28">
      <c r="A149" s="43">
        <v>18</v>
      </c>
      <c r="B149" s="119" t="s">
        <v>324</v>
      </c>
      <c r="C149" s="120"/>
      <c r="D149" s="43" t="s">
        <v>939</v>
      </c>
      <c r="E149" s="124" t="s">
        <v>75</v>
      </c>
      <c r="F149" s="135">
        <f t="shared" si="141"/>
        <v>17784.1</v>
      </c>
      <c r="G149" s="122"/>
      <c r="H149" s="122">
        <f t="shared" si="129"/>
        <v>53352.3</v>
      </c>
      <c r="I149" s="122">
        <f t="shared" si="130"/>
        <v>1333.8075</v>
      </c>
      <c r="J149" s="122"/>
      <c r="K149" s="122">
        <f t="shared" si="131"/>
        <v>8892.05</v>
      </c>
      <c r="L149" s="122">
        <f t="shared" si="132"/>
        <v>62244.35</v>
      </c>
      <c r="M149" s="122">
        <f t="shared" si="133"/>
        <v>17784.1</v>
      </c>
      <c r="N149" s="44"/>
      <c r="O149" s="44">
        <f t="shared" si="139"/>
        <v>60000</v>
      </c>
      <c r="P149" s="122">
        <f t="shared" si="134"/>
        <v>1778.41</v>
      </c>
      <c r="Q149" s="122">
        <v>10000</v>
      </c>
      <c r="R149" s="122"/>
      <c r="S149" s="122">
        <f t="shared" si="135"/>
        <v>233169.1175</v>
      </c>
      <c r="T149" s="122">
        <v>228602.07775</v>
      </c>
      <c r="U149" s="122">
        <f t="shared" si="137"/>
        <v>4567.03975</v>
      </c>
      <c r="V149" s="122"/>
      <c r="W149" s="122">
        <v>1484.37</v>
      </c>
      <c r="X149" s="122">
        <v>1484.37</v>
      </c>
      <c r="Y149" s="122">
        <f t="shared" si="138"/>
        <v>0</v>
      </c>
      <c r="Z149" s="122"/>
      <c r="AA149" s="122"/>
      <c r="AB149" s="122"/>
    </row>
    <row r="150" customHeight="1" spans="1:28">
      <c r="A150" s="43">
        <v>19</v>
      </c>
      <c r="B150" s="119" t="s">
        <v>329</v>
      </c>
      <c r="C150" s="120"/>
      <c r="D150" s="121" t="s">
        <v>344</v>
      </c>
      <c r="E150" s="124" t="s">
        <v>105</v>
      </c>
      <c r="F150" s="135">
        <f>13492.21</f>
        <v>13492.21</v>
      </c>
      <c r="G150" s="122"/>
      <c r="H150" s="122">
        <f t="shared" si="129"/>
        <v>40476.63</v>
      </c>
      <c r="I150" s="122">
        <f t="shared" si="130"/>
        <v>1011.91575</v>
      </c>
      <c r="J150" s="122"/>
      <c r="K150" s="122">
        <f t="shared" si="131"/>
        <v>6746.105</v>
      </c>
      <c r="L150" s="122">
        <f t="shared" si="132"/>
        <v>47222.735</v>
      </c>
      <c r="M150" s="122">
        <f t="shared" si="133"/>
        <v>13492.21</v>
      </c>
      <c r="N150" s="44"/>
      <c r="O150" s="44">
        <f t="shared" ref="O150:O157" si="142">50000</f>
        <v>50000</v>
      </c>
      <c r="P150" s="122">
        <f t="shared" si="134"/>
        <v>1349.221</v>
      </c>
      <c r="Q150" s="122">
        <v>10000</v>
      </c>
      <c r="R150" s="122"/>
      <c r="S150" s="122">
        <f t="shared" si="135"/>
        <v>183791.02675</v>
      </c>
      <c r="T150" s="122">
        <v>180304.068</v>
      </c>
      <c r="U150" s="122">
        <f t="shared" si="137"/>
        <v>3486.95874999999</v>
      </c>
      <c r="V150" s="122"/>
      <c r="W150" s="122">
        <v>1484.37</v>
      </c>
      <c r="X150" s="122">
        <v>1484.37</v>
      </c>
      <c r="Y150" s="122">
        <f t="shared" si="138"/>
        <v>0</v>
      </c>
      <c r="Z150" s="122"/>
      <c r="AA150" s="122"/>
      <c r="AB150" s="122"/>
    </row>
    <row r="151" customHeight="1" spans="1:28">
      <c r="A151" s="43">
        <v>20</v>
      </c>
      <c r="B151" s="119" t="s">
        <v>331</v>
      </c>
      <c r="C151" s="120"/>
      <c r="D151" s="121" t="s">
        <v>1750</v>
      </c>
      <c r="E151" s="124" t="s">
        <v>105</v>
      </c>
      <c r="F151" s="135">
        <f t="shared" ref="F151:F153" si="143">13492.21</f>
        <v>13492.21</v>
      </c>
      <c r="G151" s="122"/>
      <c r="H151" s="122">
        <f t="shared" si="129"/>
        <v>40476.63</v>
      </c>
      <c r="I151" s="122">
        <f t="shared" si="130"/>
        <v>1011.91575</v>
      </c>
      <c r="J151" s="122"/>
      <c r="K151" s="122">
        <f t="shared" si="131"/>
        <v>6746.105</v>
      </c>
      <c r="L151" s="122">
        <f t="shared" si="132"/>
        <v>47222.735</v>
      </c>
      <c r="M151" s="122">
        <f t="shared" si="133"/>
        <v>13492.21</v>
      </c>
      <c r="N151" s="44"/>
      <c r="O151" s="44">
        <f t="shared" si="142"/>
        <v>50000</v>
      </c>
      <c r="P151" s="122">
        <f t="shared" si="134"/>
        <v>1349.221</v>
      </c>
      <c r="Q151" s="122">
        <v>10000</v>
      </c>
      <c r="R151" s="122"/>
      <c r="S151" s="122">
        <f t="shared" si="135"/>
        <v>183791.02675</v>
      </c>
      <c r="T151" s="122">
        <v>180304.068</v>
      </c>
      <c r="U151" s="122">
        <f t="shared" si="137"/>
        <v>3486.95874999999</v>
      </c>
      <c r="V151" s="122"/>
      <c r="W151" s="122">
        <v>1484.37</v>
      </c>
      <c r="X151" s="122">
        <v>1484.37</v>
      </c>
      <c r="Y151" s="122">
        <f t="shared" si="138"/>
        <v>0</v>
      </c>
      <c r="Z151" s="122"/>
      <c r="AA151" s="122"/>
      <c r="AB151" s="122"/>
    </row>
    <row r="152" customHeight="1" spans="1:28">
      <c r="A152" s="43">
        <v>21</v>
      </c>
      <c r="B152" s="119" t="s">
        <v>333</v>
      </c>
      <c r="C152" s="120"/>
      <c r="D152" s="121" t="s">
        <v>344</v>
      </c>
      <c r="E152" s="124" t="s">
        <v>105</v>
      </c>
      <c r="F152" s="135">
        <f t="shared" si="143"/>
        <v>13492.21</v>
      </c>
      <c r="G152" s="122"/>
      <c r="H152" s="122">
        <f t="shared" si="129"/>
        <v>40476.63</v>
      </c>
      <c r="I152" s="122">
        <f t="shared" si="130"/>
        <v>1011.91575</v>
      </c>
      <c r="J152" s="122"/>
      <c r="K152" s="122">
        <f t="shared" si="131"/>
        <v>6746.105</v>
      </c>
      <c r="L152" s="122">
        <f t="shared" si="132"/>
        <v>47222.735</v>
      </c>
      <c r="M152" s="122">
        <f t="shared" si="133"/>
        <v>13492.21</v>
      </c>
      <c r="N152" s="44"/>
      <c r="O152" s="44">
        <f t="shared" si="142"/>
        <v>50000</v>
      </c>
      <c r="P152" s="122">
        <f t="shared" si="134"/>
        <v>1349.221</v>
      </c>
      <c r="Q152" s="122">
        <v>10000</v>
      </c>
      <c r="R152" s="122"/>
      <c r="S152" s="122">
        <f t="shared" si="135"/>
        <v>183791.02675</v>
      </c>
      <c r="T152" s="122">
        <v>180304.068</v>
      </c>
      <c r="U152" s="122">
        <f t="shared" si="137"/>
        <v>3486.95874999999</v>
      </c>
      <c r="V152" s="122"/>
      <c r="W152" s="122">
        <v>1484.37</v>
      </c>
      <c r="X152" s="122">
        <v>1484.37</v>
      </c>
      <c r="Y152" s="122">
        <f t="shared" si="138"/>
        <v>0</v>
      </c>
      <c r="Z152" s="122"/>
      <c r="AA152" s="122"/>
      <c r="AB152" s="122"/>
    </row>
    <row r="153" customHeight="1" spans="1:28">
      <c r="A153" s="43">
        <v>22</v>
      </c>
      <c r="B153" s="119" t="s">
        <v>334</v>
      </c>
      <c r="C153" s="120"/>
      <c r="D153" s="121" t="s">
        <v>664</v>
      </c>
      <c r="E153" s="124" t="s">
        <v>105</v>
      </c>
      <c r="F153" s="135">
        <f t="shared" si="143"/>
        <v>13492.21</v>
      </c>
      <c r="G153" s="122"/>
      <c r="H153" s="122">
        <f t="shared" si="129"/>
        <v>40476.63</v>
      </c>
      <c r="I153" s="122">
        <f t="shared" si="130"/>
        <v>1011.91575</v>
      </c>
      <c r="J153" s="122"/>
      <c r="K153" s="122">
        <f t="shared" si="131"/>
        <v>6746.105</v>
      </c>
      <c r="L153" s="122">
        <f t="shared" si="132"/>
        <v>47222.735</v>
      </c>
      <c r="M153" s="122">
        <f t="shared" si="133"/>
        <v>13492.21</v>
      </c>
      <c r="N153" s="44"/>
      <c r="O153" s="44">
        <f t="shared" si="142"/>
        <v>50000</v>
      </c>
      <c r="P153" s="122">
        <f t="shared" si="134"/>
        <v>1349.221</v>
      </c>
      <c r="Q153" s="122">
        <v>10000</v>
      </c>
      <c r="R153" s="122"/>
      <c r="S153" s="122">
        <f t="shared" si="135"/>
        <v>183791.02675</v>
      </c>
      <c r="T153" s="122">
        <v>180304.068</v>
      </c>
      <c r="U153" s="122">
        <f t="shared" si="137"/>
        <v>3486.95874999999</v>
      </c>
      <c r="V153" s="122"/>
      <c r="W153" s="122">
        <v>1484.37</v>
      </c>
      <c r="X153" s="122">
        <v>1484.37</v>
      </c>
      <c r="Y153" s="122">
        <f t="shared" si="138"/>
        <v>0</v>
      </c>
      <c r="Z153" s="122"/>
      <c r="AA153" s="122"/>
      <c r="AB153" s="122"/>
    </row>
    <row r="154" customHeight="1" spans="1:28">
      <c r="A154" s="43">
        <v>23</v>
      </c>
      <c r="B154" s="119" t="s">
        <v>336</v>
      </c>
      <c r="C154" s="120"/>
      <c r="D154" s="121" t="s">
        <v>346</v>
      </c>
      <c r="E154" s="124" t="s">
        <v>1730</v>
      </c>
      <c r="F154" s="135">
        <f>13112.16</f>
        <v>13112.16</v>
      </c>
      <c r="G154" s="122"/>
      <c r="H154" s="122">
        <f t="shared" si="129"/>
        <v>39336.48</v>
      </c>
      <c r="I154" s="122">
        <f t="shared" si="130"/>
        <v>983.412</v>
      </c>
      <c r="J154" s="122"/>
      <c r="K154" s="122">
        <f t="shared" si="131"/>
        <v>6556.08</v>
      </c>
      <c r="L154" s="122">
        <f t="shared" si="132"/>
        <v>45892.56</v>
      </c>
      <c r="M154" s="122">
        <f t="shared" si="133"/>
        <v>13112.16</v>
      </c>
      <c r="N154" s="44"/>
      <c r="O154" s="44">
        <f t="shared" si="142"/>
        <v>50000</v>
      </c>
      <c r="P154" s="122">
        <f t="shared" si="134"/>
        <v>1311.216</v>
      </c>
      <c r="Q154" s="122">
        <v>10000</v>
      </c>
      <c r="S154" s="122">
        <f t="shared" si="135"/>
        <v>180304.068</v>
      </c>
      <c r="T154" s="122">
        <v>223168.2</v>
      </c>
      <c r="U154" s="122">
        <f t="shared" si="137"/>
        <v>-42864.132</v>
      </c>
      <c r="V154" s="122"/>
      <c r="W154" s="122">
        <f>3369.51</f>
        <v>3369.51</v>
      </c>
      <c r="X154" s="122">
        <v>3369.51</v>
      </c>
      <c r="Y154" s="122">
        <f t="shared" si="138"/>
        <v>0</v>
      </c>
      <c r="Z154" s="122"/>
      <c r="AA154" s="122"/>
      <c r="AB154" s="122"/>
    </row>
    <row r="155" customHeight="1" spans="1:28">
      <c r="A155" s="43">
        <v>24</v>
      </c>
      <c r="B155" s="119" t="s">
        <v>1711</v>
      </c>
      <c r="C155" s="120"/>
      <c r="D155" s="121" t="s">
        <v>344</v>
      </c>
      <c r="E155" s="124" t="s">
        <v>275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22">
        <f t="shared" ref="S155:S157" si="144">R155+Q155+P155+O155+N155+M155+L155+K155+J155+I155+H155+G155+F155</f>
        <v>173329.0495</v>
      </c>
      <c r="T155" s="122">
        <v>173329.0495</v>
      </c>
      <c r="U155" s="122">
        <f t="shared" si="137"/>
        <v>0</v>
      </c>
      <c r="V155" s="122"/>
      <c r="W155" s="122">
        <v>1484.37</v>
      </c>
      <c r="X155" s="122">
        <v>1484.37</v>
      </c>
      <c r="Y155" s="122">
        <f t="shared" si="138"/>
        <v>0</v>
      </c>
      <c r="Z155" s="122"/>
      <c r="AA155" s="122"/>
      <c r="AB155" s="122"/>
    </row>
    <row r="156" customHeight="1" spans="1:28">
      <c r="A156" s="43">
        <v>25</v>
      </c>
      <c r="B156" s="119" t="s">
        <v>224</v>
      </c>
      <c r="C156" s="120"/>
      <c r="D156" s="121" t="s">
        <v>346</v>
      </c>
      <c r="E156" s="124" t="s">
        <v>275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22">
        <f t="shared" si="144"/>
        <v>173329.0495</v>
      </c>
      <c r="T156" s="122">
        <v>173329.0495</v>
      </c>
      <c r="U156" s="122">
        <f t="shared" si="137"/>
        <v>0</v>
      </c>
      <c r="V156" s="122"/>
      <c r="W156" s="122">
        <v>1484.37</v>
      </c>
      <c r="X156" s="122">
        <v>1484.37</v>
      </c>
      <c r="Y156" s="122">
        <f t="shared" si="138"/>
        <v>0</v>
      </c>
      <c r="Z156" s="122"/>
      <c r="AA156" s="122"/>
      <c r="AB156" s="122"/>
    </row>
    <row r="157" customHeight="1" spans="1:28">
      <c r="A157" s="43">
        <v>26</v>
      </c>
      <c r="B157" s="119" t="s">
        <v>343</v>
      </c>
      <c r="C157" s="120"/>
      <c r="D157" s="121" t="s">
        <v>344</v>
      </c>
      <c r="E157" s="124" t="s">
        <v>275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22">
        <f t="shared" si="144"/>
        <v>173329.0495</v>
      </c>
      <c r="T157" s="122">
        <v>173329.0495</v>
      </c>
      <c r="U157" s="122">
        <f t="shared" si="137"/>
        <v>0</v>
      </c>
      <c r="V157" s="122"/>
      <c r="W157" s="122">
        <v>1484.37</v>
      </c>
      <c r="X157" s="122">
        <v>1484.37</v>
      </c>
      <c r="Y157" s="122">
        <f t="shared" si="138"/>
        <v>0</v>
      </c>
      <c r="Z157" s="122"/>
      <c r="AA157" s="122"/>
      <c r="AB157" s="122"/>
    </row>
    <row r="158" customHeight="1" spans="1:28">
      <c r="A158" s="43">
        <v>27</v>
      </c>
      <c r="B158" s="121" t="s">
        <v>359</v>
      </c>
      <c r="C158" s="121"/>
      <c r="D158" s="121" t="s">
        <v>512</v>
      </c>
      <c r="E158" s="124" t="s">
        <v>606</v>
      </c>
      <c r="F158" s="135">
        <f>9050.14</f>
        <v>9050.14</v>
      </c>
      <c r="G158" s="44"/>
      <c r="H158" s="122">
        <f t="shared" si="129"/>
        <v>27150.42</v>
      </c>
      <c r="I158" s="122">
        <f t="shared" si="130"/>
        <v>678.7605</v>
      </c>
      <c r="J158" s="135">
        <v>0</v>
      </c>
      <c r="K158" s="122">
        <f t="shared" si="131"/>
        <v>4525.07</v>
      </c>
      <c r="L158" s="122">
        <f t="shared" si="132"/>
        <v>31675.49</v>
      </c>
      <c r="M158" s="122">
        <f t="shared" si="150"/>
        <v>9050.14</v>
      </c>
      <c r="N158" s="44"/>
      <c r="O158" s="44">
        <f t="shared" ref="O158:O164" si="152">30000</f>
        <v>30000</v>
      </c>
      <c r="P158" s="122">
        <f t="shared" si="151"/>
        <v>905.014</v>
      </c>
      <c r="Q158" s="135">
        <v>5000</v>
      </c>
      <c r="R158" s="122">
        <f>4000</f>
        <v>4000</v>
      </c>
      <c r="S158" s="122">
        <f t="shared" ref="S158:S182" si="153">SUM(F158:R158)</f>
        <v>122035.0345</v>
      </c>
      <c r="T158" s="122">
        <v>119104.99825</v>
      </c>
      <c r="U158" s="122">
        <f t="shared" si="137"/>
        <v>2930.03624999999</v>
      </c>
      <c r="V158" s="122"/>
      <c r="W158" s="122">
        <v>236.04</v>
      </c>
      <c r="X158" s="122">
        <v>236.04</v>
      </c>
      <c r="Y158" s="122">
        <f t="shared" si="138"/>
        <v>0</v>
      </c>
      <c r="Z158" s="122"/>
      <c r="AA158" s="122"/>
      <c r="AB158" s="122"/>
    </row>
    <row r="159" customHeight="1" spans="1:28">
      <c r="A159" s="43">
        <v>28</v>
      </c>
      <c r="B159" s="121" t="s">
        <v>362</v>
      </c>
      <c r="C159" s="121"/>
      <c r="D159" s="121" t="s">
        <v>512</v>
      </c>
      <c r="E159" s="124" t="s">
        <v>606</v>
      </c>
      <c r="F159" s="135">
        <f t="shared" ref="F159:F164" si="154">9050.14</f>
        <v>9050.14</v>
      </c>
      <c r="G159" s="44"/>
      <c r="H159" s="122">
        <f t="shared" si="129"/>
        <v>27150.42</v>
      </c>
      <c r="I159" s="122">
        <f t="shared" si="130"/>
        <v>678.7605</v>
      </c>
      <c r="J159" s="135">
        <v>0</v>
      </c>
      <c r="K159" s="122">
        <f t="shared" si="131"/>
        <v>4525.07</v>
      </c>
      <c r="L159" s="122">
        <f t="shared" si="132"/>
        <v>31675.49</v>
      </c>
      <c r="M159" s="122">
        <f t="shared" si="150"/>
        <v>9050.14</v>
      </c>
      <c r="N159" s="44"/>
      <c r="O159" s="44">
        <f t="shared" si="152"/>
        <v>30000</v>
      </c>
      <c r="P159" s="122">
        <f t="shared" si="151"/>
        <v>905.014</v>
      </c>
      <c r="Q159" s="135">
        <v>5000</v>
      </c>
      <c r="R159" s="122">
        <f>7000</f>
        <v>7000</v>
      </c>
      <c r="S159" s="122">
        <f t="shared" si="153"/>
        <v>125035.0345</v>
      </c>
      <c r="T159" s="122">
        <v>122104.99825</v>
      </c>
      <c r="U159" s="122">
        <f t="shared" si="137"/>
        <v>2930.03624999999</v>
      </c>
      <c r="V159" s="122"/>
      <c r="W159" s="122">
        <v>236.04</v>
      </c>
      <c r="X159" s="122">
        <v>236.04</v>
      </c>
      <c r="Y159" s="122">
        <f t="shared" si="138"/>
        <v>0</v>
      </c>
      <c r="Z159" s="122"/>
      <c r="AA159" s="122"/>
      <c r="AB159" s="122"/>
    </row>
    <row r="160" customHeight="1" spans="1:28">
      <c r="A160" s="43">
        <v>29</v>
      </c>
      <c r="B160" s="121" t="s">
        <v>666</v>
      </c>
      <c r="C160" s="121"/>
      <c r="D160" s="121" t="s">
        <v>512</v>
      </c>
      <c r="E160" s="124" t="s">
        <v>606</v>
      </c>
      <c r="F160" s="135">
        <f t="shared" si="154"/>
        <v>9050.14</v>
      </c>
      <c r="G160" s="44"/>
      <c r="H160" s="122">
        <f t="shared" si="129"/>
        <v>27150.42</v>
      </c>
      <c r="I160" s="122">
        <f t="shared" si="130"/>
        <v>678.7605</v>
      </c>
      <c r="J160" s="122">
        <v>0</v>
      </c>
      <c r="K160" s="122">
        <f t="shared" si="131"/>
        <v>4525.07</v>
      </c>
      <c r="L160" s="122">
        <f t="shared" si="132"/>
        <v>31675.49</v>
      </c>
      <c r="M160" s="122">
        <f t="shared" si="150"/>
        <v>9050.14</v>
      </c>
      <c r="N160" s="44"/>
      <c r="O160" s="44">
        <f t="shared" si="152"/>
        <v>30000</v>
      </c>
      <c r="P160" s="122">
        <f t="shared" si="151"/>
        <v>905.014</v>
      </c>
      <c r="Q160" s="122">
        <v>5000</v>
      </c>
      <c r="R160" s="122">
        <f>4000</f>
        <v>4000</v>
      </c>
      <c r="S160" s="122">
        <f t="shared" si="153"/>
        <v>122035.0345</v>
      </c>
      <c r="T160" s="122">
        <v>119104.99825</v>
      </c>
      <c r="U160" s="122">
        <f t="shared" si="137"/>
        <v>2930.03624999999</v>
      </c>
      <c r="V160" s="122"/>
      <c r="W160" s="122">
        <v>236.04</v>
      </c>
      <c r="X160" s="122">
        <v>236.04</v>
      </c>
      <c r="Y160" s="122">
        <f t="shared" si="138"/>
        <v>0</v>
      </c>
      <c r="Z160" s="122"/>
      <c r="AA160" s="122"/>
      <c r="AB160" s="122"/>
    </row>
    <row r="161" customHeight="1" spans="1:28">
      <c r="A161" s="43">
        <v>30</v>
      </c>
      <c r="B161" s="121" t="s">
        <v>1259</v>
      </c>
      <c r="C161" s="121"/>
      <c r="D161" s="121" t="s">
        <v>512</v>
      </c>
      <c r="E161" s="124" t="s">
        <v>606</v>
      </c>
      <c r="F161" s="135">
        <f t="shared" si="154"/>
        <v>9050.14</v>
      </c>
      <c r="G161" s="44"/>
      <c r="H161" s="122">
        <f t="shared" si="129"/>
        <v>27150.42</v>
      </c>
      <c r="I161" s="122">
        <f t="shared" si="130"/>
        <v>678.7605</v>
      </c>
      <c r="J161" s="122">
        <v>0</v>
      </c>
      <c r="K161" s="122">
        <f t="shared" si="131"/>
        <v>4525.07</v>
      </c>
      <c r="L161" s="122">
        <f t="shared" si="132"/>
        <v>31675.49</v>
      </c>
      <c r="M161" s="122">
        <f t="shared" si="150"/>
        <v>9050.14</v>
      </c>
      <c r="N161" s="44"/>
      <c r="O161" s="44">
        <f t="shared" si="152"/>
        <v>30000</v>
      </c>
      <c r="P161" s="122">
        <f t="shared" si="151"/>
        <v>905.014</v>
      </c>
      <c r="Q161" s="122">
        <v>5000</v>
      </c>
      <c r="R161" s="122">
        <f>4000</f>
        <v>4000</v>
      </c>
      <c r="S161" s="122">
        <f t="shared" si="153"/>
        <v>122035.0345</v>
      </c>
      <c r="T161" s="122">
        <v>119104.99825</v>
      </c>
      <c r="U161" s="122">
        <f t="shared" si="137"/>
        <v>2930.03624999999</v>
      </c>
      <c r="V161" s="122"/>
      <c r="W161" s="122">
        <v>236.04</v>
      </c>
      <c r="X161" s="122">
        <v>236.04</v>
      </c>
      <c r="Y161" s="122">
        <f t="shared" si="138"/>
        <v>0</v>
      </c>
      <c r="Z161" s="122"/>
      <c r="AA161" s="122"/>
      <c r="AB161" s="122"/>
    </row>
    <row r="162" customHeight="1" spans="1:28">
      <c r="A162" s="43">
        <v>31</v>
      </c>
      <c r="B162" s="121" t="s">
        <v>1257</v>
      </c>
      <c r="C162" s="121"/>
      <c r="D162" s="121" t="s">
        <v>512</v>
      </c>
      <c r="E162" s="124" t="s">
        <v>606</v>
      </c>
      <c r="F162" s="135">
        <f t="shared" si="154"/>
        <v>9050.14</v>
      </c>
      <c r="G162" s="44"/>
      <c r="H162" s="122">
        <f t="shared" si="129"/>
        <v>27150.42</v>
      </c>
      <c r="I162" s="122">
        <f t="shared" si="130"/>
        <v>678.7605</v>
      </c>
      <c r="J162" s="122">
        <v>0</v>
      </c>
      <c r="K162" s="122">
        <f t="shared" si="131"/>
        <v>4525.07</v>
      </c>
      <c r="L162" s="122">
        <f t="shared" si="132"/>
        <v>31675.49</v>
      </c>
      <c r="M162" s="122">
        <f t="shared" si="150"/>
        <v>9050.14</v>
      </c>
      <c r="N162" s="44"/>
      <c r="O162" s="44">
        <f t="shared" si="152"/>
        <v>30000</v>
      </c>
      <c r="P162" s="122">
        <f t="shared" si="151"/>
        <v>905.014</v>
      </c>
      <c r="Q162" s="122">
        <v>5000</v>
      </c>
      <c r="R162" s="122">
        <f>4000</f>
        <v>4000</v>
      </c>
      <c r="S162" s="122">
        <f t="shared" si="153"/>
        <v>122035.0345</v>
      </c>
      <c r="T162" s="122">
        <v>119104.99825</v>
      </c>
      <c r="U162" s="122">
        <f t="shared" si="137"/>
        <v>2930.03624999999</v>
      </c>
      <c r="V162" s="122"/>
      <c r="W162" s="122">
        <v>236.04</v>
      </c>
      <c r="X162" s="122">
        <v>236.04</v>
      </c>
      <c r="Y162" s="122">
        <f t="shared" si="138"/>
        <v>0</v>
      </c>
      <c r="Z162" s="122"/>
      <c r="AA162" s="122"/>
      <c r="AB162" s="122"/>
    </row>
    <row r="163" customHeight="1" spans="1:28">
      <c r="A163" s="43">
        <v>32</v>
      </c>
      <c r="B163" s="121" t="s">
        <v>363</v>
      </c>
      <c r="C163" s="121"/>
      <c r="D163" s="121" t="s">
        <v>512</v>
      </c>
      <c r="E163" s="124" t="s">
        <v>606</v>
      </c>
      <c r="F163" s="135">
        <f t="shared" si="154"/>
        <v>9050.14</v>
      </c>
      <c r="G163" s="44"/>
      <c r="H163" s="122">
        <f t="shared" si="129"/>
        <v>27150.42</v>
      </c>
      <c r="I163" s="122">
        <f t="shared" si="130"/>
        <v>678.7605</v>
      </c>
      <c r="J163" s="122">
        <v>0</v>
      </c>
      <c r="K163" s="122">
        <f t="shared" si="131"/>
        <v>4525.07</v>
      </c>
      <c r="L163" s="122">
        <f t="shared" si="132"/>
        <v>31675.49</v>
      </c>
      <c r="M163" s="122">
        <f t="shared" si="150"/>
        <v>9050.14</v>
      </c>
      <c r="N163" s="44"/>
      <c r="O163" s="44">
        <f t="shared" si="152"/>
        <v>30000</v>
      </c>
      <c r="P163" s="122">
        <f t="shared" si="151"/>
        <v>905.014</v>
      </c>
      <c r="Q163" s="122">
        <v>5000</v>
      </c>
      <c r="R163" s="122">
        <f>4000</f>
        <v>4000</v>
      </c>
      <c r="S163" s="122">
        <f t="shared" si="153"/>
        <v>122035.0345</v>
      </c>
      <c r="T163" s="122">
        <v>119104.99825</v>
      </c>
      <c r="U163" s="122">
        <f t="shared" si="137"/>
        <v>2930.03624999999</v>
      </c>
      <c r="V163" s="122"/>
      <c r="W163" s="122">
        <v>236.04</v>
      </c>
      <c r="X163" s="122">
        <v>236.04</v>
      </c>
      <c r="Y163" s="122">
        <f t="shared" si="138"/>
        <v>0</v>
      </c>
      <c r="Z163" s="122"/>
      <c r="AA163" s="122"/>
      <c r="AB163" s="122"/>
    </row>
    <row r="164" customHeight="1" spans="1:28">
      <c r="A164" s="43">
        <v>33</v>
      </c>
      <c r="B164" s="121" t="s">
        <v>364</v>
      </c>
      <c r="C164" s="121"/>
      <c r="D164" s="121" t="s">
        <v>512</v>
      </c>
      <c r="E164" s="124" t="s">
        <v>606</v>
      </c>
      <c r="F164" s="135">
        <f t="shared" si="154"/>
        <v>9050.14</v>
      </c>
      <c r="G164" s="44"/>
      <c r="H164" s="122">
        <f t="shared" si="129"/>
        <v>27150.42</v>
      </c>
      <c r="I164" s="122">
        <f t="shared" si="130"/>
        <v>678.7605</v>
      </c>
      <c r="J164" s="122">
        <v>0</v>
      </c>
      <c r="K164" s="122">
        <f t="shared" si="131"/>
        <v>4525.07</v>
      </c>
      <c r="L164" s="122">
        <f t="shared" si="132"/>
        <v>31675.49</v>
      </c>
      <c r="M164" s="122">
        <f t="shared" si="150"/>
        <v>9050.14</v>
      </c>
      <c r="N164" s="44"/>
      <c r="O164" s="44">
        <f t="shared" si="152"/>
        <v>30000</v>
      </c>
      <c r="P164" s="122">
        <f t="shared" si="151"/>
        <v>905.014</v>
      </c>
      <c r="Q164" s="122">
        <v>5000</v>
      </c>
      <c r="R164" s="122">
        <f>4000</f>
        <v>4000</v>
      </c>
      <c r="S164" s="122">
        <f t="shared" si="153"/>
        <v>122035.0345</v>
      </c>
      <c r="T164" s="122">
        <v>119104.99825</v>
      </c>
      <c r="U164" s="122">
        <f t="shared" si="137"/>
        <v>2930.03624999999</v>
      </c>
      <c r="V164" s="122"/>
      <c r="W164" s="122">
        <v>236.04</v>
      </c>
      <c r="X164" s="122">
        <v>236.04</v>
      </c>
      <c r="Y164" s="122">
        <f t="shared" si="138"/>
        <v>0</v>
      </c>
      <c r="Z164" s="122"/>
      <c r="AA164" s="122"/>
      <c r="AB164" s="122"/>
    </row>
    <row r="165" customHeight="1" spans="1:28">
      <c r="A165" s="43">
        <v>34</v>
      </c>
      <c r="B165" s="121" t="s">
        <v>365</v>
      </c>
      <c r="C165" s="121"/>
      <c r="D165" s="121" t="s">
        <v>387</v>
      </c>
      <c r="E165" s="124" t="s">
        <v>1751</v>
      </c>
      <c r="F165" s="122">
        <f>5769.6</f>
        <v>5769.6</v>
      </c>
      <c r="G165" s="44"/>
      <c r="H165" s="122">
        <f t="shared" si="129"/>
        <v>17308.8</v>
      </c>
      <c r="I165" s="122">
        <f t="shared" si="130"/>
        <v>432.72</v>
      </c>
      <c r="J165" s="122">
        <v>0</v>
      </c>
      <c r="K165" s="122">
        <f t="shared" si="131"/>
        <v>2884.8</v>
      </c>
      <c r="L165" s="122">
        <f t="shared" si="132"/>
        <v>20193.6</v>
      </c>
      <c r="M165" s="122">
        <f t="shared" si="150"/>
        <v>5769.6</v>
      </c>
      <c r="N165" s="44"/>
      <c r="O165" s="44">
        <f t="shared" ref="O165:O180" si="155">20000</f>
        <v>20000</v>
      </c>
      <c r="P165" s="122">
        <f t="shared" si="151"/>
        <v>576.96</v>
      </c>
      <c r="Q165" s="122">
        <v>5000</v>
      </c>
      <c r="R165" s="122">
        <f>7000</f>
        <v>7000</v>
      </c>
      <c r="S165" s="122">
        <f t="shared" si="153"/>
        <v>84936.08</v>
      </c>
      <c r="T165" s="122">
        <v>83370.091</v>
      </c>
      <c r="U165" s="122">
        <f t="shared" si="137"/>
        <v>1565.989</v>
      </c>
      <c r="V165" s="122"/>
      <c r="W165" s="122">
        <v>236.04</v>
      </c>
      <c r="X165" s="122">
        <v>236.04</v>
      </c>
      <c r="Y165" s="122">
        <f t="shared" si="138"/>
        <v>0</v>
      </c>
      <c r="Z165" s="122"/>
      <c r="AA165" s="122"/>
      <c r="AB165" s="122"/>
    </row>
    <row r="166" customHeight="1" spans="1:28">
      <c r="A166" s="43">
        <v>35</v>
      </c>
      <c r="B166" s="121" t="s">
        <v>367</v>
      </c>
      <c r="C166" s="121"/>
      <c r="D166" s="121" t="s">
        <v>387</v>
      </c>
      <c r="E166" s="124" t="s">
        <v>1751</v>
      </c>
      <c r="F166" s="122">
        <f t="shared" ref="F166:F171" si="156">5769.6</f>
        <v>5769.6</v>
      </c>
      <c r="G166" s="44"/>
      <c r="H166" s="122">
        <f t="shared" si="129"/>
        <v>17308.8</v>
      </c>
      <c r="I166" s="122">
        <f t="shared" si="130"/>
        <v>432.72</v>
      </c>
      <c r="J166" s="122">
        <v>0</v>
      </c>
      <c r="K166" s="122">
        <f t="shared" si="131"/>
        <v>2884.8</v>
      </c>
      <c r="L166" s="122">
        <f t="shared" si="132"/>
        <v>20193.6</v>
      </c>
      <c r="M166" s="122">
        <f t="shared" si="150"/>
        <v>5769.6</v>
      </c>
      <c r="N166" s="44"/>
      <c r="O166" s="44">
        <f t="shared" si="155"/>
        <v>20000</v>
      </c>
      <c r="P166" s="122">
        <f t="shared" si="151"/>
        <v>576.96</v>
      </c>
      <c r="Q166" s="122">
        <v>5000</v>
      </c>
      <c r="R166" s="122">
        <f>4000</f>
        <v>4000</v>
      </c>
      <c r="S166" s="122">
        <f t="shared" si="153"/>
        <v>81936.08</v>
      </c>
      <c r="T166" s="122">
        <v>80370.091</v>
      </c>
      <c r="U166" s="122">
        <f t="shared" si="137"/>
        <v>1565.989</v>
      </c>
      <c r="V166" s="122"/>
      <c r="W166" s="122">
        <v>236.04</v>
      </c>
      <c r="X166" s="122">
        <v>236.04</v>
      </c>
      <c r="Y166" s="122">
        <f t="shared" si="138"/>
        <v>0</v>
      </c>
      <c r="Z166" s="122"/>
      <c r="AA166" s="122"/>
      <c r="AB166" s="122"/>
    </row>
    <row r="167" customHeight="1" spans="1:28">
      <c r="A167" s="43">
        <v>36</v>
      </c>
      <c r="B167" s="121" t="s">
        <v>1690</v>
      </c>
      <c r="C167" s="121"/>
      <c r="D167" s="121" t="s">
        <v>387</v>
      </c>
      <c r="E167" s="124" t="s">
        <v>1751</v>
      </c>
      <c r="F167" s="122">
        <f t="shared" si="156"/>
        <v>5769.6</v>
      </c>
      <c r="G167" s="44"/>
      <c r="H167" s="122">
        <f t="shared" si="129"/>
        <v>17308.8</v>
      </c>
      <c r="I167" s="122">
        <f t="shared" si="130"/>
        <v>432.72</v>
      </c>
      <c r="J167" s="122">
        <v>0</v>
      </c>
      <c r="K167" s="122">
        <f t="shared" si="131"/>
        <v>2884.8</v>
      </c>
      <c r="L167" s="122">
        <f t="shared" si="132"/>
        <v>20193.6</v>
      </c>
      <c r="M167" s="122">
        <f t="shared" si="150"/>
        <v>5769.6</v>
      </c>
      <c r="N167" s="44"/>
      <c r="O167" s="44">
        <f t="shared" si="155"/>
        <v>20000</v>
      </c>
      <c r="P167" s="122">
        <f t="shared" si="151"/>
        <v>576.96</v>
      </c>
      <c r="Q167" s="122">
        <v>5000</v>
      </c>
      <c r="R167" s="122">
        <f>4000</f>
        <v>4000</v>
      </c>
      <c r="S167" s="122">
        <f t="shared" si="153"/>
        <v>81936.08</v>
      </c>
      <c r="T167" s="122">
        <v>80370.091</v>
      </c>
      <c r="U167" s="122">
        <f t="shared" si="137"/>
        <v>1565.989</v>
      </c>
      <c r="V167" s="122"/>
      <c r="W167" s="122">
        <v>236.04</v>
      </c>
      <c r="X167" s="122">
        <v>236.04</v>
      </c>
      <c r="Y167" s="122">
        <f t="shared" si="138"/>
        <v>0</v>
      </c>
      <c r="Z167" s="122"/>
      <c r="AA167" s="122"/>
      <c r="AB167" s="122"/>
    </row>
    <row r="168" customHeight="1" spans="1:28">
      <c r="A168" s="43">
        <v>37</v>
      </c>
      <c r="B168" s="43" t="s">
        <v>368</v>
      </c>
      <c r="C168" s="43"/>
      <c r="D168" s="121" t="s">
        <v>387</v>
      </c>
      <c r="E168" s="124" t="s">
        <v>1751</v>
      </c>
      <c r="F168" s="122">
        <f t="shared" si="156"/>
        <v>5769.6</v>
      </c>
      <c r="G168" s="44"/>
      <c r="H168" s="122">
        <f t="shared" si="129"/>
        <v>17308.8</v>
      </c>
      <c r="I168" s="122">
        <f t="shared" si="130"/>
        <v>432.72</v>
      </c>
      <c r="J168" s="122">
        <v>0</v>
      </c>
      <c r="K168" s="122">
        <f t="shared" si="131"/>
        <v>2884.8</v>
      </c>
      <c r="L168" s="122">
        <f t="shared" si="132"/>
        <v>20193.6</v>
      </c>
      <c r="M168" s="122">
        <f>F167*100%</f>
        <v>5769.6</v>
      </c>
      <c r="N168" s="44"/>
      <c r="O168" s="44">
        <f t="shared" si="155"/>
        <v>20000</v>
      </c>
      <c r="P168" s="122">
        <f t="shared" si="151"/>
        <v>576.96</v>
      </c>
      <c r="Q168" s="122">
        <v>5000</v>
      </c>
      <c r="R168" s="122">
        <f>7000</f>
        <v>7000</v>
      </c>
      <c r="S168" s="122">
        <f t="shared" si="153"/>
        <v>84936.08</v>
      </c>
      <c r="T168" s="122">
        <v>83370.091</v>
      </c>
      <c r="U168" s="122">
        <f t="shared" si="137"/>
        <v>1565.989</v>
      </c>
      <c r="V168" s="122"/>
      <c r="W168" s="122">
        <v>236.04</v>
      </c>
      <c r="X168" s="122">
        <v>236.04</v>
      </c>
      <c r="Y168" s="122">
        <f t="shared" si="138"/>
        <v>0</v>
      </c>
      <c r="Z168" s="122"/>
      <c r="AA168" s="122"/>
      <c r="AB168" s="122"/>
    </row>
    <row r="169" customHeight="1" spans="1:28">
      <c r="A169" s="43">
        <v>38</v>
      </c>
      <c r="B169" s="119" t="s">
        <v>369</v>
      </c>
      <c r="C169" s="120"/>
      <c r="D169" s="121" t="s">
        <v>387</v>
      </c>
      <c r="E169" s="124" t="s">
        <v>1751</v>
      </c>
      <c r="F169" s="122">
        <f t="shared" si="156"/>
        <v>5769.6</v>
      </c>
      <c r="G169" s="44"/>
      <c r="H169" s="122">
        <f t="shared" si="129"/>
        <v>17308.8</v>
      </c>
      <c r="I169" s="122">
        <f t="shared" si="130"/>
        <v>432.72</v>
      </c>
      <c r="J169" s="122"/>
      <c r="K169" s="122">
        <f t="shared" si="131"/>
        <v>2884.8</v>
      </c>
      <c r="L169" s="122">
        <f t="shared" si="132"/>
        <v>20193.6</v>
      </c>
      <c r="M169" s="122">
        <f t="shared" ref="M169:M186" si="157">F169*100%</f>
        <v>5769.6</v>
      </c>
      <c r="N169" s="44"/>
      <c r="O169" s="44">
        <f t="shared" si="155"/>
        <v>20000</v>
      </c>
      <c r="P169" s="122">
        <f t="shared" si="151"/>
        <v>576.96</v>
      </c>
      <c r="Q169" s="122">
        <v>5000</v>
      </c>
      <c r="R169" s="122">
        <f>4000</f>
        <v>4000</v>
      </c>
      <c r="S169" s="122">
        <f t="shared" si="153"/>
        <v>81936.08</v>
      </c>
      <c r="T169" s="122">
        <v>80370.091</v>
      </c>
      <c r="U169" s="122">
        <f t="shared" si="137"/>
        <v>1565.989</v>
      </c>
      <c r="V169" s="122"/>
      <c r="W169" s="122">
        <v>236.04</v>
      </c>
      <c r="X169" s="122">
        <v>236.04</v>
      </c>
      <c r="Y169" s="122">
        <f t="shared" si="138"/>
        <v>0</v>
      </c>
      <c r="Z169" s="122"/>
      <c r="AA169" s="122"/>
      <c r="AB169" s="122"/>
    </row>
    <row r="170" customHeight="1" spans="1:28">
      <c r="A170" s="43">
        <v>39</v>
      </c>
      <c r="B170" s="121" t="s">
        <v>370</v>
      </c>
      <c r="C170" s="43"/>
      <c r="D170" s="121" t="s">
        <v>387</v>
      </c>
      <c r="E170" s="124" t="s">
        <v>1751</v>
      </c>
      <c r="F170" s="122">
        <f t="shared" si="156"/>
        <v>5769.6</v>
      </c>
      <c r="G170" s="44"/>
      <c r="H170" s="122">
        <f t="shared" si="129"/>
        <v>17308.8</v>
      </c>
      <c r="I170" s="122">
        <f t="shared" si="130"/>
        <v>432.72</v>
      </c>
      <c r="J170" s="122"/>
      <c r="K170" s="122">
        <f t="shared" si="131"/>
        <v>2884.8</v>
      </c>
      <c r="L170" s="122">
        <f t="shared" si="132"/>
        <v>20193.6</v>
      </c>
      <c r="M170" s="122">
        <f t="shared" si="157"/>
        <v>5769.6</v>
      </c>
      <c r="N170" s="44"/>
      <c r="O170" s="44">
        <f t="shared" si="155"/>
        <v>20000</v>
      </c>
      <c r="P170" s="122">
        <f t="shared" si="151"/>
        <v>576.96</v>
      </c>
      <c r="Q170" s="122">
        <v>5000</v>
      </c>
      <c r="R170" s="122">
        <f>4000</f>
        <v>4000</v>
      </c>
      <c r="S170" s="122">
        <f t="shared" si="153"/>
        <v>81936.08</v>
      </c>
      <c r="T170" s="122">
        <v>80370.091</v>
      </c>
      <c r="U170" s="122">
        <f t="shared" si="137"/>
        <v>1565.989</v>
      </c>
      <c r="V170" s="122"/>
      <c r="W170" s="122">
        <v>236.04</v>
      </c>
      <c r="X170" s="122">
        <v>236.04</v>
      </c>
      <c r="Y170" s="122">
        <f t="shared" si="138"/>
        <v>0</v>
      </c>
      <c r="Z170" s="122"/>
      <c r="AA170" s="122"/>
      <c r="AB170" s="122"/>
    </row>
    <row r="171" customHeight="1" spans="1:28">
      <c r="A171" s="43">
        <v>40</v>
      </c>
      <c r="B171" s="121" t="s">
        <v>357</v>
      </c>
      <c r="C171" s="43"/>
      <c r="D171" s="121" t="s">
        <v>387</v>
      </c>
      <c r="E171" s="124" t="s">
        <v>1751</v>
      </c>
      <c r="F171" s="122">
        <f t="shared" si="156"/>
        <v>5769.6</v>
      </c>
      <c r="G171" s="44"/>
      <c r="H171" s="122">
        <f t="shared" si="129"/>
        <v>17308.8</v>
      </c>
      <c r="I171" s="122">
        <f t="shared" si="130"/>
        <v>432.72</v>
      </c>
      <c r="J171" s="122"/>
      <c r="K171" s="122">
        <f t="shared" si="131"/>
        <v>2884.8</v>
      </c>
      <c r="L171" s="122">
        <f t="shared" si="132"/>
        <v>20193.6</v>
      </c>
      <c r="M171" s="122">
        <f t="shared" si="157"/>
        <v>5769.6</v>
      </c>
      <c r="N171" s="44"/>
      <c r="O171" s="44">
        <f t="shared" si="155"/>
        <v>20000</v>
      </c>
      <c r="P171" s="122">
        <f t="shared" si="151"/>
        <v>576.96</v>
      </c>
      <c r="Q171" s="122">
        <v>5000</v>
      </c>
      <c r="R171" s="122">
        <f t="shared" ref="R171:R176" si="158">7000</f>
        <v>7000</v>
      </c>
      <c r="S171" s="122">
        <f t="shared" si="153"/>
        <v>84936.08</v>
      </c>
      <c r="T171" s="122">
        <v>83370.091</v>
      </c>
      <c r="U171" s="122">
        <f t="shared" si="137"/>
        <v>1565.989</v>
      </c>
      <c r="V171" s="122"/>
      <c r="W171" s="122">
        <v>236.04</v>
      </c>
      <c r="X171" s="122">
        <v>236.04</v>
      </c>
      <c r="Y171" s="122">
        <f t="shared" si="138"/>
        <v>0</v>
      </c>
      <c r="Z171" s="122"/>
      <c r="AA171" s="122"/>
      <c r="AB171" s="122"/>
    </row>
    <row r="172" customHeight="1" spans="1:28">
      <c r="A172" s="43">
        <v>41</v>
      </c>
      <c r="B172" s="119" t="s">
        <v>371</v>
      </c>
      <c r="C172" s="120"/>
      <c r="D172" s="121" t="s">
        <v>387</v>
      </c>
      <c r="E172" s="124" t="s">
        <v>403</v>
      </c>
      <c r="F172" s="122">
        <f t="shared" ref="F172:F173" si="159">5257.44</f>
        <v>5257.44</v>
      </c>
      <c r="G172" s="44"/>
      <c r="H172" s="122">
        <f t="shared" si="129"/>
        <v>15772.32</v>
      </c>
      <c r="I172" s="122">
        <f t="shared" si="130"/>
        <v>394.308</v>
      </c>
      <c r="J172" s="122"/>
      <c r="K172" s="122">
        <f t="shared" si="131"/>
        <v>2628.72</v>
      </c>
      <c r="L172" s="122">
        <f t="shared" si="132"/>
        <v>18401.04</v>
      </c>
      <c r="M172" s="122">
        <f t="shared" si="157"/>
        <v>5257.44</v>
      </c>
      <c r="N172" s="44"/>
      <c r="O172" s="44">
        <f t="shared" si="155"/>
        <v>20000</v>
      </c>
      <c r="P172" s="122">
        <f t="shared" si="151"/>
        <v>525.744</v>
      </c>
      <c r="Q172" s="122">
        <v>5000</v>
      </c>
      <c r="R172" s="122">
        <f t="shared" si="158"/>
        <v>7000</v>
      </c>
      <c r="S172" s="122">
        <f t="shared" si="153"/>
        <v>80237.012</v>
      </c>
      <c r="T172" s="122">
        <v>78671.023</v>
      </c>
      <c r="U172" s="122">
        <f t="shared" si="137"/>
        <v>1565.989</v>
      </c>
      <c r="V172" s="122"/>
      <c r="W172" s="122">
        <v>236.04</v>
      </c>
      <c r="X172" s="122">
        <v>236.04</v>
      </c>
      <c r="Y172" s="122">
        <f t="shared" si="138"/>
        <v>0</v>
      </c>
      <c r="Z172" s="122"/>
      <c r="AA172" s="122"/>
      <c r="AB172" s="122"/>
    </row>
    <row r="173" customHeight="1" spans="1:28">
      <c r="A173" s="43">
        <v>42</v>
      </c>
      <c r="B173" s="119" t="s">
        <v>373</v>
      </c>
      <c r="C173" s="120"/>
      <c r="D173" s="121" t="s">
        <v>387</v>
      </c>
      <c r="E173" s="124" t="s">
        <v>403</v>
      </c>
      <c r="F173" s="122">
        <f t="shared" si="159"/>
        <v>5257.44</v>
      </c>
      <c r="G173" s="44"/>
      <c r="H173" s="122">
        <f t="shared" si="129"/>
        <v>15772.32</v>
      </c>
      <c r="I173" s="122">
        <f t="shared" si="130"/>
        <v>394.308</v>
      </c>
      <c r="J173" s="122"/>
      <c r="K173" s="122">
        <f t="shared" si="131"/>
        <v>2628.72</v>
      </c>
      <c r="L173" s="122">
        <f t="shared" si="132"/>
        <v>18401.04</v>
      </c>
      <c r="M173" s="122">
        <f t="shared" si="157"/>
        <v>5257.44</v>
      </c>
      <c r="N173" s="44"/>
      <c r="O173" s="44">
        <f t="shared" si="155"/>
        <v>20000</v>
      </c>
      <c r="P173" s="122">
        <f t="shared" si="151"/>
        <v>525.744</v>
      </c>
      <c r="Q173" s="122">
        <v>5000</v>
      </c>
      <c r="R173" s="122">
        <f t="shared" si="158"/>
        <v>7000</v>
      </c>
      <c r="S173" s="122">
        <f t="shared" si="153"/>
        <v>80237.012</v>
      </c>
      <c r="T173" s="122">
        <v>78671.023</v>
      </c>
      <c r="U173" s="122">
        <f t="shared" si="137"/>
        <v>1565.989</v>
      </c>
      <c r="V173" s="122"/>
      <c r="W173" s="122">
        <v>236.04</v>
      </c>
      <c r="X173" s="122">
        <v>236.04</v>
      </c>
      <c r="Y173" s="122">
        <f t="shared" si="138"/>
        <v>0</v>
      </c>
      <c r="Z173" s="122"/>
      <c r="AA173" s="122"/>
      <c r="AB173" s="122"/>
    </row>
    <row r="174" customHeight="1" spans="1:28">
      <c r="A174" s="43">
        <v>43</v>
      </c>
      <c r="B174" s="121" t="s">
        <v>374</v>
      </c>
      <c r="C174" s="43"/>
      <c r="D174" s="121" t="s">
        <v>387</v>
      </c>
      <c r="E174" s="124" t="s">
        <v>608</v>
      </c>
      <c r="F174" s="122">
        <f>5428.12</f>
        <v>5428.12</v>
      </c>
      <c r="G174" s="44"/>
      <c r="H174" s="122">
        <f t="shared" si="129"/>
        <v>16284.36</v>
      </c>
      <c r="I174" s="122">
        <f t="shared" si="130"/>
        <v>407.109</v>
      </c>
      <c r="J174" s="122"/>
      <c r="K174" s="122">
        <f t="shared" si="131"/>
        <v>2714.06</v>
      </c>
      <c r="L174" s="122">
        <f t="shared" si="132"/>
        <v>18998.42</v>
      </c>
      <c r="M174" s="122">
        <f t="shared" si="157"/>
        <v>5428.12</v>
      </c>
      <c r="N174" s="44"/>
      <c r="O174" s="44">
        <f t="shared" si="155"/>
        <v>20000</v>
      </c>
      <c r="P174" s="122">
        <f t="shared" si="151"/>
        <v>542.812</v>
      </c>
      <c r="Q174" s="122">
        <v>5000</v>
      </c>
      <c r="R174" s="122">
        <f t="shared" si="158"/>
        <v>7000</v>
      </c>
      <c r="S174" s="122">
        <f t="shared" si="153"/>
        <v>81803.001</v>
      </c>
      <c r="T174" s="122">
        <v>80237.012</v>
      </c>
      <c r="U174" s="122">
        <f t="shared" si="137"/>
        <v>1565.98900000002</v>
      </c>
      <c r="V174" s="122"/>
      <c r="W174" s="122">
        <f>236.04</f>
        <v>236.04</v>
      </c>
      <c r="X174" s="122">
        <v>236.04</v>
      </c>
      <c r="Y174" s="122">
        <f t="shared" si="138"/>
        <v>0</v>
      </c>
      <c r="Z174" s="122"/>
      <c r="AA174" s="122"/>
      <c r="AB174" s="122"/>
    </row>
    <row r="175" customHeight="1" spans="1:28">
      <c r="A175" s="43">
        <v>44</v>
      </c>
      <c r="B175" s="119" t="s">
        <v>376</v>
      </c>
      <c r="C175" s="120"/>
      <c r="D175" s="121" t="s">
        <v>387</v>
      </c>
      <c r="E175" s="124" t="s">
        <v>391</v>
      </c>
      <c r="F175" s="122">
        <f>5086.76</f>
        <v>5086.76</v>
      </c>
      <c r="G175" s="44"/>
      <c r="H175" s="122">
        <f t="shared" si="129"/>
        <v>15260.28</v>
      </c>
      <c r="I175" s="122">
        <f t="shared" si="130"/>
        <v>381.507</v>
      </c>
      <c r="J175" s="122"/>
      <c r="K175" s="122">
        <f t="shared" si="131"/>
        <v>2543.38</v>
      </c>
      <c r="L175" s="122">
        <f t="shared" si="132"/>
        <v>17803.66</v>
      </c>
      <c r="M175" s="122">
        <f t="shared" si="157"/>
        <v>5086.76</v>
      </c>
      <c r="N175" s="44"/>
      <c r="O175" s="44">
        <f t="shared" si="155"/>
        <v>20000</v>
      </c>
      <c r="P175" s="122">
        <f t="shared" si="151"/>
        <v>508.676</v>
      </c>
      <c r="Q175" s="122">
        <v>5000</v>
      </c>
      <c r="R175" s="122">
        <f t="shared" si="158"/>
        <v>7000</v>
      </c>
      <c r="S175" s="122">
        <f t="shared" si="153"/>
        <v>78671.023</v>
      </c>
      <c r="T175" s="122">
        <v>77104.02475</v>
      </c>
      <c r="U175" s="122">
        <f t="shared" si="137"/>
        <v>1566.99825000002</v>
      </c>
      <c r="V175" s="122"/>
      <c r="W175" s="122">
        <v>236.04</v>
      </c>
      <c r="X175" s="122">
        <v>236.04</v>
      </c>
      <c r="Y175" s="122">
        <f t="shared" si="138"/>
        <v>0</v>
      </c>
      <c r="Z175" s="122"/>
      <c r="AA175" s="122"/>
      <c r="AB175" s="122"/>
    </row>
    <row r="176" customHeight="1" spans="1:28">
      <c r="A176" s="43">
        <v>45</v>
      </c>
      <c r="B176" s="119" t="s">
        <v>378</v>
      </c>
      <c r="C176" s="120"/>
      <c r="D176" s="121" t="s">
        <v>514</v>
      </c>
      <c r="E176" s="124" t="s">
        <v>1752</v>
      </c>
      <c r="F176" s="122">
        <f>4915.94</f>
        <v>4915.94</v>
      </c>
      <c r="G176" s="44"/>
      <c r="H176" s="122">
        <f t="shared" si="129"/>
        <v>14747.82</v>
      </c>
      <c r="I176" s="122">
        <f t="shared" si="130"/>
        <v>368.6955</v>
      </c>
      <c r="J176" s="122"/>
      <c r="K176" s="122">
        <f t="shared" si="131"/>
        <v>2457.97</v>
      </c>
      <c r="L176" s="122">
        <f t="shared" si="132"/>
        <v>17205.79</v>
      </c>
      <c r="M176" s="122">
        <f t="shared" si="157"/>
        <v>4915.94</v>
      </c>
      <c r="N176" s="44"/>
      <c r="O176" s="44">
        <f t="shared" si="155"/>
        <v>20000</v>
      </c>
      <c r="P176" s="122">
        <f t="shared" si="151"/>
        <v>491.594</v>
      </c>
      <c r="Q176" s="122">
        <v>5000</v>
      </c>
      <c r="R176" s="122">
        <f t="shared" si="158"/>
        <v>7000</v>
      </c>
      <c r="S176" s="122">
        <f t="shared" si="153"/>
        <v>77103.7495</v>
      </c>
      <c r="T176" s="122">
        <v>75538.03575</v>
      </c>
      <c r="U176" s="122">
        <f t="shared" si="137"/>
        <v>1565.71375000001</v>
      </c>
      <c r="V176" s="122"/>
      <c r="W176" s="122">
        <v>236.04</v>
      </c>
      <c r="X176" s="122">
        <v>236.04</v>
      </c>
      <c r="Y176" s="122">
        <f t="shared" si="138"/>
        <v>0</v>
      </c>
      <c r="Z176" s="122"/>
      <c r="AA176" s="122"/>
      <c r="AB176" s="122"/>
    </row>
    <row r="177" customHeight="1" spans="1:28">
      <c r="A177" s="43">
        <v>46</v>
      </c>
      <c r="B177" s="119" t="s">
        <v>379</v>
      </c>
      <c r="C177" s="120"/>
      <c r="D177" s="121" t="s">
        <v>514</v>
      </c>
      <c r="E177" s="124" t="s">
        <v>1752</v>
      </c>
      <c r="F177" s="122">
        <f t="shared" ref="F177:F180" si="160">4915.94</f>
        <v>4915.94</v>
      </c>
      <c r="G177" s="44"/>
      <c r="H177" s="122">
        <f t="shared" si="129"/>
        <v>14747.82</v>
      </c>
      <c r="I177" s="122">
        <f t="shared" si="130"/>
        <v>368.6955</v>
      </c>
      <c r="J177" s="122"/>
      <c r="K177" s="122">
        <f t="shared" si="131"/>
        <v>2457.97</v>
      </c>
      <c r="L177" s="122">
        <f t="shared" si="132"/>
        <v>17205.79</v>
      </c>
      <c r="M177" s="122">
        <f t="shared" si="157"/>
        <v>4915.94</v>
      </c>
      <c r="N177" s="44"/>
      <c r="O177" s="44">
        <f t="shared" si="155"/>
        <v>20000</v>
      </c>
      <c r="P177" s="122">
        <f t="shared" si="151"/>
        <v>491.594</v>
      </c>
      <c r="Q177" s="122">
        <v>5000</v>
      </c>
      <c r="R177" s="122">
        <f>4000</f>
        <v>4000</v>
      </c>
      <c r="S177" s="122">
        <f t="shared" si="153"/>
        <v>74103.7495</v>
      </c>
      <c r="T177" s="122">
        <v>72538.03575</v>
      </c>
      <c r="U177" s="122">
        <f t="shared" si="137"/>
        <v>1565.71375000001</v>
      </c>
      <c r="V177" s="122"/>
      <c r="W177" s="122">
        <v>236.04</v>
      </c>
      <c r="X177" s="122">
        <v>236.04</v>
      </c>
      <c r="Y177" s="122">
        <f t="shared" si="138"/>
        <v>0</v>
      </c>
      <c r="Z177" s="122"/>
      <c r="AA177" s="122"/>
      <c r="AB177" s="122"/>
    </row>
    <row r="178" customHeight="1" spans="1:28">
      <c r="A178" s="43">
        <v>47</v>
      </c>
      <c r="B178" s="119" t="s">
        <v>380</v>
      </c>
      <c r="C178" s="120"/>
      <c r="D178" s="121" t="s">
        <v>514</v>
      </c>
      <c r="E178" s="124" t="s">
        <v>1752</v>
      </c>
      <c r="F178" s="122">
        <f t="shared" si="160"/>
        <v>4915.94</v>
      </c>
      <c r="G178" s="44"/>
      <c r="H178" s="122">
        <f t="shared" si="129"/>
        <v>14747.82</v>
      </c>
      <c r="I178" s="122">
        <f t="shared" si="130"/>
        <v>368.6955</v>
      </c>
      <c r="J178" s="122"/>
      <c r="K178" s="122">
        <f t="shared" si="131"/>
        <v>2457.97</v>
      </c>
      <c r="L178" s="122">
        <f t="shared" si="132"/>
        <v>17205.79</v>
      </c>
      <c r="M178" s="122">
        <f t="shared" si="157"/>
        <v>4915.94</v>
      </c>
      <c r="N178" s="44"/>
      <c r="O178" s="44">
        <f t="shared" si="155"/>
        <v>20000</v>
      </c>
      <c r="P178" s="122">
        <f t="shared" si="151"/>
        <v>491.594</v>
      </c>
      <c r="Q178" s="122">
        <v>5000</v>
      </c>
      <c r="R178" s="122">
        <f>7000</f>
        <v>7000</v>
      </c>
      <c r="S178" s="122">
        <f t="shared" si="153"/>
        <v>77103.7495</v>
      </c>
      <c r="T178" s="122">
        <v>75538.03575</v>
      </c>
      <c r="U178" s="122">
        <f t="shared" si="137"/>
        <v>1565.71375000001</v>
      </c>
      <c r="V178" s="122"/>
      <c r="W178" s="122">
        <v>236.04</v>
      </c>
      <c r="X178" s="122">
        <v>236.04</v>
      </c>
      <c r="Y178" s="122">
        <f t="shared" si="138"/>
        <v>0</v>
      </c>
      <c r="Z178" s="122"/>
      <c r="AA178" s="122"/>
      <c r="AB178" s="122"/>
    </row>
    <row r="179" customHeight="1" spans="1:28">
      <c r="A179" s="43">
        <v>48</v>
      </c>
      <c r="B179" s="119" t="s">
        <v>381</v>
      </c>
      <c r="C179" s="120"/>
      <c r="D179" s="121" t="s">
        <v>514</v>
      </c>
      <c r="E179" s="124" t="s">
        <v>1752</v>
      </c>
      <c r="F179" s="122">
        <f t="shared" si="160"/>
        <v>4915.94</v>
      </c>
      <c r="G179" s="44"/>
      <c r="H179" s="122">
        <f t="shared" si="129"/>
        <v>14747.82</v>
      </c>
      <c r="I179" s="122">
        <f t="shared" si="130"/>
        <v>368.6955</v>
      </c>
      <c r="J179" s="122"/>
      <c r="K179" s="122">
        <f t="shared" si="131"/>
        <v>2457.97</v>
      </c>
      <c r="L179" s="122">
        <f t="shared" si="132"/>
        <v>17205.79</v>
      </c>
      <c r="M179" s="122">
        <f t="shared" si="157"/>
        <v>4915.94</v>
      </c>
      <c r="N179" s="44"/>
      <c r="O179" s="44">
        <f t="shared" si="155"/>
        <v>20000</v>
      </c>
      <c r="P179" s="122">
        <f t="shared" si="151"/>
        <v>491.594</v>
      </c>
      <c r="Q179" s="122">
        <v>5000</v>
      </c>
      <c r="R179" s="122">
        <f>4000</f>
        <v>4000</v>
      </c>
      <c r="S179" s="122">
        <f t="shared" si="153"/>
        <v>74103.7495</v>
      </c>
      <c r="T179" s="122">
        <v>72538.03575</v>
      </c>
      <c r="U179" s="122">
        <f t="shared" si="137"/>
        <v>1565.71375000001</v>
      </c>
      <c r="V179" s="122"/>
      <c r="W179" s="122">
        <v>236.04</v>
      </c>
      <c r="X179" s="122">
        <v>236.04</v>
      </c>
      <c r="Y179" s="122">
        <f t="shared" si="138"/>
        <v>0</v>
      </c>
      <c r="Z179" s="122"/>
      <c r="AA179" s="122"/>
      <c r="AB179" s="122"/>
    </row>
    <row r="180" customHeight="1" spans="1:28">
      <c r="A180" s="43">
        <v>49</v>
      </c>
      <c r="B180" s="119" t="s">
        <v>382</v>
      </c>
      <c r="C180" s="120"/>
      <c r="D180" s="121" t="s">
        <v>514</v>
      </c>
      <c r="E180" s="124" t="s">
        <v>1752</v>
      </c>
      <c r="F180" s="122">
        <f t="shared" si="160"/>
        <v>4915.94</v>
      </c>
      <c r="G180" s="44"/>
      <c r="H180" s="122">
        <f t="shared" si="129"/>
        <v>14747.82</v>
      </c>
      <c r="I180" s="122">
        <f t="shared" si="130"/>
        <v>368.6955</v>
      </c>
      <c r="J180" s="122"/>
      <c r="K180" s="122">
        <f t="shared" si="131"/>
        <v>2457.97</v>
      </c>
      <c r="L180" s="122">
        <f t="shared" si="132"/>
        <v>17205.79</v>
      </c>
      <c r="M180" s="122">
        <f t="shared" si="157"/>
        <v>4915.94</v>
      </c>
      <c r="N180" s="44"/>
      <c r="O180" s="44">
        <f t="shared" si="155"/>
        <v>20000</v>
      </c>
      <c r="P180" s="122">
        <f t="shared" si="151"/>
        <v>491.594</v>
      </c>
      <c r="Q180" s="122">
        <v>5000</v>
      </c>
      <c r="R180" s="122">
        <f>7000</f>
        <v>7000</v>
      </c>
      <c r="S180" s="122">
        <f t="shared" si="153"/>
        <v>77103.7495</v>
      </c>
      <c r="T180" s="122">
        <v>75538.03575</v>
      </c>
      <c r="U180" s="122">
        <f t="shared" si="137"/>
        <v>1565.71375000001</v>
      </c>
      <c r="V180" s="122"/>
      <c r="W180" s="122">
        <v>236.04</v>
      </c>
      <c r="X180" s="122">
        <v>236.04</v>
      </c>
      <c r="Y180" s="122">
        <f t="shared" si="138"/>
        <v>0</v>
      </c>
      <c r="Z180" s="122"/>
      <c r="AA180" s="122"/>
      <c r="AB180" s="122"/>
    </row>
    <row r="181" customHeight="1" spans="1:28">
      <c r="A181" s="43">
        <v>50</v>
      </c>
      <c r="B181" s="167" t="s">
        <v>668</v>
      </c>
      <c r="C181" s="168"/>
      <c r="D181" s="121" t="s">
        <v>514</v>
      </c>
      <c r="E181" s="124" t="s">
        <v>398</v>
      </c>
      <c r="F181" s="122">
        <f>4836.5</f>
        <v>4836.5</v>
      </c>
      <c r="G181" s="44"/>
      <c r="H181" s="122">
        <f t="shared" si="129"/>
        <v>14509.5</v>
      </c>
      <c r="I181" s="122">
        <f t="shared" si="130"/>
        <v>362.7375</v>
      </c>
      <c r="J181" s="122"/>
      <c r="K181" s="122">
        <f t="shared" si="131"/>
        <v>2418.25</v>
      </c>
      <c r="L181" s="122">
        <f t="shared" si="132"/>
        <v>16927.75</v>
      </c>
      <c r="M181" s="122">
        <f t="shared" si="157"/>
        <v>4836.5</v>
      </c>
      <c r="N181" s="44"/>
      <c r="O181" s="44">
        <f>15000</f>
        <v>15000</v>
      </c>
      <c r="P181" s="122">
        <f t="shared" si="151"/>
        <v>483.65</v>
      </c>
      <c r="Q181" s="122">
        <v>5000</v>
      </c>
      <c r="R181" s="122">
        <f>7000</f>
        <v>7000</v>
      </c>
      <c r="S181" s="122">
        <f t="shared" si="153"/>
        <v>71374.8875</v>
      </c>
      <c r="T181" s="122">
        <v>67328.07025</v>
      </c>
      <c r="U181" s="122">
        <f t="shared" si="137"/>
        <v>4046.81725000001</v>
      </c>
      <c r="V181" s="122"/>
      <c r="W181" s="122">
        <v>236.04</v>
      </c>
      <c r="X181" s="122">
        <v>236.04</v>
      </c>
      <c r="Y181" s="122">
        <f t="shared" si="138"/>
        <v>0</v>
      </c>
      <c r="Z181" s="122"/>
      <c r="AA181" s="122"/>
      <c r="AB181" s="122"/>
    </row>
    <row r="182" customHeight="1" spans="1:28">
      <c r="A182" s="43">
        <v>51</v>
      </c>
      <c r="B182" s="169" t="s">
        <v>386</v>
      </c>
      <c r="C182" s="170"/>
      <c r="D182" s="121" t="s">
        <v>514</v>
      </c>
      <c r="E182" s="124" t="s">
        <v>398</v>
      </c>
      <c r="F182" s="122">
        <f t="shared" ref="F182:F183" si="161">4836.5</f>
        <v>4836.5</v>
      </c>
      <c r="G182" s="44"/>
      <c r="H182" s="122">
        <f t="shared" si="129"/>
        <v>14509.5</v>
      </c>
      <c r="I182" s="122">
        <f t="shared" si="130"/>
        <v>362.7375</v>
      </c>
      <c r="J182" s="122"/>
      <c r="K182" s="122">
        <f t="shared" si="131"/>
        <v>2418.25</v>
      </c>
      <c r="L182" s="122">
        <f t="shared" si="132"/>
        <v>16927.75</v>
      </c>
      <c r="M182" s="122">
        <f t="shared" si="157"/>
        <v>4836.5</v>
      </c>
      <c r="N182" s="44"/>
      <c r="O182" s="44">
        <f>15000</f>
        <v>15000</v>
      </c>
      <c r="P182" s="122">
        <f t="shared" si="151"/>
        <v>483.65</v>
      </c>
      <c r="Q182" s="122">
        <v>5000</v>
      </c>
      <c r="R182" s="122">
        <f>7000</f>
        <v>7000</v>
      </c>
      <c r="S182" s="122">
        <f t="shared" si="153"/>
        <v>71374.8875</v>
      </c>
      <c r="T182" s="122">
        <v>67328.07025</v>
      </c>
      <c r="U182" s="122">
        <f t="shared" si="137"/>
        <v>4046.81725000001</v>
      </c>
      <c r="V182" s="122"/>
      <c r="W182" s="122">
        <v>236.04</v>
      </c>
      <c r="X182" s="122">
        <v>236.04</v>
      </c>
      <c r="Y182" s="122">
        <f t="shared" si="138"/>
        <v>0</v>
      </c>
      <c r="Z182" s="122"/>
      <c r="AA182" s="122"/>
      <c r="AB182" s="122"/>
    </row>
    <row r="183" customHeight="1" spans="1:28">
      <c r="A183" s="43">
        <v>52</v>
      </c>
      <c r="B183" s="169" t="s">
        <v>358</v>
      </c>
      <c r="C183" s="171"/>
      <c r="D183" s="121" t="s">
        <v>514</v>
      </c>
      <c r="E183" s="124" t="s">
        <v>398</v>
      </c>
      <c r="F183" s="122">
        <f t="shared" si="161"/>
        <v>4836.5</v>
      </c>
      <c r="G183" s="44"/>
      <c r="H183" s="122">
        <f t="shared" si="129"/>
        <v>14509.5</v>
      </c>
      <c r="I183" s="122">
        <f t="shared" si="130"/>
        <v>362.7375</v>
      </c>
      <c r="J183" s="122"/>
      <c r="K183" s="122">
        <f t="shared" si="131"/>
        <v>2418.25</v>
      </c>
      <c r="L183" s="122">
        <f t="shared" si="132"/>
        <v>16927.75</v>
      </c>
      <c r="M183" s="122">
        <f t="shared" si="157"/>
        <v>4836.5</v>
      </c>
      <c r="N183" s="44"/>
      <c r="O183" s="44">
        <f>15000</f>
        <v>15000</v>
      </c>
      <c r="P183" s="122">
        <f t="shared" si="151"/>
        <v>483.65</v>
      </c>
      <c r="Q183" s="122">
        <v>5000</v>
      </c>
      <c r="R183" s="122">
        <f>4000</f>
        <v>4000</v>
      </c>
      <c r="S183" s="122">
        <f t="shared" ref="S183:S185" si="162">SUM(F183:R183)</f>
        <v>68374.8875</v>
      </c>
      <c r="T183" s="122">
        <v>64328.07025</v>
      </c>
      <c r="U183" s="122">
        <f t="shared" si="137"/>
        <v>4046.81725000001</v>
      </c>
      <c r="V183" s="122"/>
      <c r="W183" s="122">
        <v>236.04</v>
      </c>
      <c r="X183" s="122">
        <v>236.04</v>
      </c>
      <c r="Y183" s="122">
        <f t="shared" si="138"/>
        <v>0</v>
      </c>
      <c r="Z183" s="122"/>
      <c r="AA183" s="122"/>
      <c r="AB183" s="122"/>
    </row>
    <row r="184" customHeight="1" spans="1:28">
      <c r="A184" s="43">
        <v>53</v>
      </c>
      <c r="B184" s="169" t="s">
        <v>383</v>
      </c>
      <c r="C184" s="171"/>
      <c r="D184" s="121" t="s">
        <v>514</v>
      </c>
      <c r="E184" s="124" t="s">
        <v>393</v>
      </c>
      <c r="F184" s="122">
        <f>4915.94</f>
        <v>4915.94</v>
      </c>
      <c r="G184" s="44"/>
      <c r="H184" s="122">
        <f t="shared" si="129"/>
        <v>14747.82</v>
      </c>
      <c r="I184" s="122">
        <f t="shared" si="130"/>
        <v>368.6955</v>
      </c>
      <c r="J184" s="122"/>
      <c r="K184" s="122">
        <f t="shared" si="131"/>
        <v>2457.97</v>
      </c>
      <c r="L184" s="122">
        <f t="shared" si="132"/>
        <v>17205.79</v>
      </c>
      <c r="M184" s="122">
        <f t="shared" si="157"/>
        <v>4915.94</v>
      </c>
      <c r="N184" s="44"/>
      <c r="O184" s="44">
        <f>20000</f>
        <v>20000</v>
      </c>
      <c r="P184" s="122">
        <f t="shared" si="151"/>
        <v>491.594</v>
      </c>
      <c r="Q184" s="122">
        <v>5000</v>
      </c>
      <c r="R184" s="122">
        <f>4000</f>
        <v>4000</v>
      </c>
      <c r="S184" s="122">
        <f t="shared" si="162"/>
        <v>74103.7495</v>
      </c>
      <c r="T184" s="122">
        <v>72538.03575</v>
      </c>
      <c r="U184" s="122">
        <f t="shared" si="137"/>
        <v>1565.71375000001</v>
      </c>
      <c r="V184" s="122"/>
      <c r="W184" s="122">
        <v>236.04</v>
      </c>
      <c r="X184" s="122">
        <v>236.04</v>
      </c>
      <c r="Y184" s="122">
        <f t="shared" si="138"/>
        <v>0</v>
      </c>
      <c r="Z184" s="122"/>
      <c r="AA184" s="122"/>
      <c r="AB184" s="122"/>
    </row>
    <row r="185" customHeight="1" spans="1:28">
      <c r="A185" s="43">
        <v>54</v>
      </c>
      <c r="B185" s="169" t="s">
        <v>392</v>
      </c>
      <c r="C185" s="171"/>
      <c r="D185" s="121" t="s">
        <v>514</v>
      </c>
      <c r="E185" s="124" t="s">
        <v>940</v>
      </c>
      <c r="F185" s="39">
        <f>4248.5</f>
        <v>4248.5</v>
      </c>
      <c r="G185" s="44"/>
      <c r="H185" s="122">
        <f t="shared" si="129"/>
        <v>12745.5</v>
      </c>
      <c r="I185" s="122">
        <f t="shared" si="130"/>
        <v>318.6375</v>
      </c>
      <c r="J185" s="122"/>
      <c r="K185" s="122">
        <f t="shared" si="131"/>
        <v>2124.25</v>
      </c>
      <c r="L185" s="122">
        <f t="shared" si="132"/>
        <v>14869.75</v>
      </c>
      <c r="M185" s="122">
        <f t="shared" si="157"/>
        <v>4248.5</v>
      </c>
      <c r="N185" s="44"/>
      <c r="O185" s="44">
        <f>15000</f>
        <v>15000</v>
      </c>
      <c r="P185" s="122">
        <f t="shared" si="151"/>
        <v>424.85</v>
      </c>
      <c r="Q185" s="122">
        <v>5000</v>
      </c>
      <c r="R185" s="122">
        <f>7000</f>
        <v>7000</v>
      </c>
      <c r="S185" s="122">
        <f t="shared" si="162"/>
        <v>65979.9875</v>
      </c>
      <c r="T185" s="122">
        <v>64631.9965</v>
      </c>
      <c r="U185" s="122">
        <f t="shared" si="137"/>
        <v>1347.99099999999</v>
      </c>
      <c r="V185" s="122"/>
      <c r="W185" s="122">
        <v>236.04</v>
      </c>
      <c r="X185" s="122">
        <v>236.04</v>
      </c>
      <c r="Y185" s="122">
        <f t="shared" si="138"/>
        <v>0</v>
      </c>
      <c r="Z185" s="122"/>
      <c r="AA185" s="122"/>
      <c r="AB185" s="122"/>
    </row>
    <row r="186" customHeight="1" spans="1:28">
      <c r="A186" s="43">
        <v>55</v>
      </c>
      <c r="B186" s="169" t="s">
        <v>385</v>
      </c>
      <c r="C186" s="171"/>
      <c r="D186" s="121" t="s">
        <v>514</v>
      </c>
      <c r="E186" s="124" t="s">
        <v>393</v>
      </c>
      <c r="F186" s="122">
        <f>4915.94</f>
        <v>4915.94</v>
      </c>
      <c r="G186" s="44"/>
      <c r="H186" s="122">
        <f t="shared" si="129"/>
        <v>14747.82</v>
      </c>
      <c r="I186" s="122">
        <f t="shared" si="130"/>
        <v>368.6955</v>
      </c>
      <c r="J186" s="122"/>
      <c r="K186" s="122">
        <f t="shared" si="131"/>
        <v>2457.97</v>
      </c>
      <c r="L186" s="122">
        <f t="shared" si="132"/>
        <v>17205.79</v>
      </c>
      <c r="M186" s="122">
        <f t="shared" si="157"/>
        <v>4915.94</v>
      </c>
      <c r="N186" s="44"/>
      <c r="O186" s="44">
        <f>20000</f>
        <v>20000</v>
      </c>
      <c r="P186" s="122">
        <f t="shared" si="151"/>
        <v>491.594</v>
      </c>
      <c r="Q186" s="122">
        <v>5000</v>
      </c>
      <c r="R186" s="122">
        <f>7000</f>
        <v>7000</v>
      </c>
      <c r="S186" s="122">
        <f t="shared" ref="S186" si="163">SUM(F186:R186)</f>
        <v>77103.7495</v>
      </c>
      <c r="T186" s="122">
        <v>75538.03575</v>
      </c>
      <c r="U186" s="122">
        <f t="shared" si="137"/>
        <v>1565.71375000001</v>
      </c>
      <c r="V186" s="122"/>
      <c r="W186" s="122">
        <v>236.04</v>
      </c>
      <c r="X186" s="122">
        <v>236.04</v>
      </c>
      <c r="Y186" s="122">
        <f t="shared" si="138"/>
        <v>0</v>
      </c>
      <c r="Z186" s="122"/>
      <c r="AA186" s="122"/>
      <c r="AB186" s="122"/>
    </row>
    <row r="187" customHeight="1" spans="1:28">
      <c r="A187" s="43"/>
      <c r="B187" s="117" t="s">
        <v>120</v>
      </c>
      <c r="D187" s="172" t="s">
        <v>1691</v>
      </c>
      <c r="E187" s="173"/>
      <c r="F187" s="139">
        <f t="shared" ref="F187:M187" si="164">SUM(F132:F186)</f>
        <v>833916.939999999</v>
      </c>
      <c r="G187" s="139">
        <f t="shared" si="164"/>
        <v>0</v>
      </c>
      <c r="H187" s="139">
        <f t="shared" si="164"/>
        <v>2501750.82</v>
      </c>
      <c r="I187" s="139">
        <f t="shared" si="164"/>
        <v>62543.7705</v>
      </c>
      <c r="J187" s="139">
        <f t="shared" si="164"/>
        <v>280855.33</v>
      </c>
      <c r="K187" s="139">
        <f t="shared" si="164"/>
        <v>416958.47</v>
      </c>
      <c r="L187" s="139">
        <f t="shared" si="164"/>
        <v>2918709.29</v>
      </c>
      <c r="M187" s="139">
        <f t="shared" si="164"/>
        <v>833916.939999999</v>
      </c>
      <c r="N187" s="138"/>
      <c r="O187" s="138">
        <f>SUM(O132:O186)</f>
        <v>2300000</v>
      </c>
      <c r="P187" s="139">
        <f>SUM(P132:P186)</f>
        <v>83391.694</v>
      </c>
      <c r="Q187" s="139">
        <f>SUM(Q132:Q186)</f>
        <v>505000</v>
      </c>
      <c r="R187" s="139">
        <f>SUM(R132:R186)</f>
        <v>211000</v>
      </c>
      <c r="S187" s="139">
        <f>SUM(S132:S186)</f>
        <v>10948043.2545</v>
      </c>
      <c r="T187" s="139">
        <v>10834146.823</v>
      </c>
      <c r="U187" s="139">
        <f>SUM(U132:U186)</f>
        <v>105835.73525</v>
      </c>
      <c r="V187" s="139"/>
      <c r="W187" s="139">
        <f t="shared" ref="W187" si="165">SUM(W132:W186)</f>
        <v>234382.48</v>
      </c>
      <c r="X187" s="139">
        <v>234382.48</v>
      </c>
      <c r="Y187" s="139">
        <f t="shared" ref="Y187" si="166">SUM(Y132:Y186)</f>
        <v>0</v>
      </c>
      <c r="Z187" s="139"/>
      <c r="AA187" s="139"/>
      <c r="AB187" s="139"/>
    </row>
    <row r="188" customHeight="1" spans="1:28">
      <c r="A188" s="43"/>
      <c r="B188" s="174" t="s">
        <v>406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1754</v>
      </c>
      <c r="E190" s="180"/>
      <c r="F190" s="180"/>
      <c r="G190" s="180"/>
      <c r="H190" s="180"/>
      <c r="I190" s="180"/>
      <c r="J190" s="180"/>
      <c r="K190" s="176" t="s">
        <v>1778</v>
      </c>
      <c r="L190" s="176"/>
      <c r="M190" s="176"/>
      <c r="N190" s="176"/>
      <c r="O190" s="176"/>
      <c r="P190" s="176" t="s">
        <v>1779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1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2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</row>
    <row r="2" ht="33.75" customHeight="1" spans="1:7">
      <c r="A2" s="76" t="s">
        <v>1780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484</v>
      </c>
      <c r="F4" s="80" t="s">
        <v>1523</v>
      </c>
      <c r="G4" s="80" t="s">
        <v>1524</v>
      </c>
    </row>
    <row r="5" customHeight="1" spans="1:7">
      <c r="A5" s="9" t="s">
        <v>22</v>
      </c>
      <c r="B5" s="8" t="s">
        <v>23</v>
      </c>
      <c r="C5" s="81"/>
      <c r="D5" s="8"/>
      <c r="E5" s="82" t="s">
        <v>21</v>
      </c>
      <c r="F5" s="82" t="s">
        <v>21</v>
      </c>
      <c r="G5" s="82" t="s">
        <v>21</v>
      </c>
    </row>
    <row r="6" customHeight="1" spans="1:7">
      <c r="A6" s="10">
        <v>1</v>
      </c>
      <c r="B6" s="11" t="s">
        <v>24</v>
      </c>
      <c r="C6" s="83" t="s">
        <v>25</v>
      </c>
      <c r="D6" s="12" t="s">
        <v>26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1592</v>
      </c>
      <c r="C7" s="86" t="s">
        <v>1675</v>
      </c>
      <c r="D7" s="10" t="s">
        <v>36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1676</v>
      </c>
      <c r="C8" s="86" t="s">
        <v>1677</v>
      </c>
      <c r="D8" s="10" t="s">
        <v>210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27</v>
      </c>
      <c r="C9" s="83" t="s">
        <v>28</v>
      </c>
      <c r="D9" s="10" t="s">
        <v>1724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30</v>
      </c>
      <c r="C10" s="86" t="s">
        <v>31</v>
      </c>
      <c r="D10" s="15" t="s">
        <v>143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227</v>
      </c>
      <c r="C11" s="86" t="s">
        <v>1594</v>
      </c>
      <c r="D11" s="16" t="s">
        <v>143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32</v>
      </c>
      <c r="C12" s="87" t="s">
        <v>33</v>
      </c>
      <c r="D12" s="16" t="s">
        <v>143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300</v>
      </c>
      <c r="C13" s="86" t="s">
        <v>907</v>
      </c>
      <c r="D13" s="16" t="s">
        <v>143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34</v>
      </c>
      <c r="C14" s="83" t="s">
        <v>910</v>
      </c>
      <c r="D14" s="15" t="s">
        <v>39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186</v>
      </c>
      <c r="C15" s="83" t="s">
        <v>926</v>
      </c>
      <c r="D15" s="10" t="s">
        <v>1532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1678</v>
      </c>
      <c r="C16" s="86" t="s">
        <v>1679</v>
      </c>
      <c r="D16" s="16" t="s">
        <v>214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1595</v>
      </c>
      <c r="C17" s="86" t="s">
        <v>643</v>
      </c>
      <c r="D17" s="10" t="s">
        <v>214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1680</v>
      </c>
      <c r="C18" s="86" t="s">
        <v>1681</v>
      </c>
      <c r="D18" s="10" t="s">
        <v>214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40</v>
      </c>
      <c r="C19" s="86" t="s">
        <v>643</v>
      </c>
      <c r="D19" s="15" t="s">
        <v>214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51</v>
      </c>
      <c r="C20" s="83" t="s">
        <v>61</v>
      </c>
      <c r="D20" s="15" t="s">
        <v>64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54</v>
      </c>
      <c r="C21" s="86" t="s">
        <v>55</v>
      </c>
      <c r="D21" s="15" t="s">
        <v>1001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193</v>
      </c>
      <c r="C22" s="83" t="s">
        <v>929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65</v>
      </c>
      <c r="C23" s="83" t="s">
        <v>178</v>
      </c>
      <c r="D23" s="15" t="s">
        <v>180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259</v>
      </c>
      <c r="C24" s="86" t="s">
        <v>260</v>
      </c>
      <c r="D24" s="15" t="s">
        <v>180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319</v>
      </c>
      <c r="C25" s="86" t="s">
        <v>1697</v>
      </c>
      <c r="D25" s="15" t="s">
        <v>78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1682</v>
      </c>
      <c r="C26" s="83" t="s">
        <v>104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478</v>
      </c>
      <c r="C27" s="86" t="s">
        <v>94</v>
      </c>
      <c r="D27" s="10" t="s">
        <v>225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94</v>
      </c>
      <c r="D28" s="15" t="s">
        <v>225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1596</v>
      </c>
      <c r="C29" s="83" t="s">
        <v>1597</v>
      </c>
      <c r="D29" s="15" t="s">
        <v>225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84</v>
      </c>
      <c r="C30" s="83" t="s">
        <v>1544</v>
      </c>
      <c r="D30" s="15" t="s">
        <v>1730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236</v>
      </c>
      <c r="C31" s="87" t="s">
        <v>1699</v>
      </c>
      <c r="D31" s="15" t="s">
        <v>108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87</v>
      </c>
      <c r="C32" s="86" t="s">
        <v>1598</v>
      </c>
      <c r="D32" s="10" t="s">
        <v>108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91</v>
      </c>
      <c r="C33" s="87" t="s">
        <v>646</v>
      </c>
      <c r="D33" s="15" t="s">
        <v>225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1781</v>
      </c>
      <c r="C34" s="87" t="s">
        <v>646</v>
      </c>
      <c r="D34" s="15" t="s">
        <v>275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95</v>
      </c>
      <c r="C35" s="86" t="s">
        <v>1700</v>
      </c>
      <c r="D35" s="10" t="s">
        <v>275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1525</v>
      </c>
      <c r="C36" s="83" t="s">
        <v>104</v>
      </c>
      <c r="D36" s="15" t="s">
        <v>275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1683</v>
      </c>
      <c r="C37" s="83" t="s">
        <v>104</v>
      </c>
      <c r="D37" s="15" t="s">
        <v>275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120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121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122</v>
      </c>
      <c r="C41" s="86" t="s">
        <v>123</v>
      </c>
      <c r="D41" s="10" t="s">
        <v>140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127</v>
      </c>
      <c r="C42" s="86" t="s">
        <v>1137</v>
      </c>
      <c r="D42" s="10" t="s">
        <v>275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912</v>
      </c>
      <c r="C46" s="86" t="s">
        <v>913</v>
      </c>
      <c r="D46" s="10" t="s">
        <v>124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914</v>
      </c>
      <c r="C47" s="86" t="s">
        <v>44</v>
      </c>
      <c r="D47" s="10" t="s">
        <v>39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138</v>
      </c>
      <c r="C48" s="86" t="s">
        <v>145</v>
      </c>
      <c r="D48" s="10" t="s">
        <v>39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141</v>
      </c>
      <c r="C49" s="86" t="s">
        <v>145</v>
      </c>
      <c r="D49" s="10" t="s">
        <v>50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144</v>
      </c>
      <c r="C50" s="86" t="s">
        <v>145</v>
      </c>
      <c r="D50" s="10" t="s">
        <v>42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146</v>
      </c>
      <c r="C51" s="86" t="s">
        <v>46</v>
      </c>
      <c r="D51" s="10" t="s">
        <v>214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147</v>
      </c>
      <c r="C52" s="86" t="s">
        <v>52</v>
      </c>
      <c r="D52" s="16" t="s">
        <v>214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1601</v>
      </c>
      <c r="C53" s="86" t="s">
        <v>52</v>
      </c>
      <c r="D53" s="10" t="s">
        <v>53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45</v>
      </c>
      <c r="C54" s="86" t="s">
        <v>927</v>
      </c>
      <c r="D54" s="10" t="s">
        <v>218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155</v>
      </c>
      <c r="C55" s="86" t="s">
        <v>152</v>
      </c>
      <c r="D55" s="10" t="s">
        <v>225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915</v>
      </c>
      <c r="C56" s="86" t="s">
        <v>152</v>
      </c>
      <c r="D56" s="10" t="s">
        <v>225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157</v>
      </c>
      <c r="C57" s="86" t="s">
        <v>152</v>
      </c>
      <c r="D57" s="10" t="s">
        <v>225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120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159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916</v>
      </c>
      <c r="C61" s="83" t="s">
        <v>161</v>
      </c>
      <c r="D61" s="15" t="s">
        <v>124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120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917</v>
      </c>
      <c r="C65" s="87" t="s">
        <v>918</v>
      </c>
      <c r="D65" s="10" t="s">
        <v>124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919</v>
      </c>
      <c r="C66" s="87" t="s">
        <v>920</v>
      </c>
      <c r="D66" s="15" t="s">
        <v>1532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167</v>
      </c>
      <c r="C67" s="86" t="s">
        <v>217</v>
      </c>
      <c r="D67" s="10" t="s">
        <v>218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921</v>
      </c>
      <c r="C68" s="87" t="s">
        <v>217</v>
      </c>
      <c r="D68" s="15" t="s">
        <v>64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922</v>
      </c>
      <c r="C69" s="87" t="s">
        <v>52</v>
      </c>
      <c r="D69" s="15" t="s">
        <v>214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171</v>
      </c>
      <c r="C70" s="86" t="s">
        <v>152</v>
      </c>
      <c r="D70" s="10" t="s">
        <v>1733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1609</v>
      </c>
      <c r="C71" s="87" t="s">
        <v>72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172</v>
      </c>
      <c r="C72" s="87" t="s">
        <v>72</v>
      </c>
      <c r="D72" s="15" t="s">
        <v>180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174</v>
      </c>
      <c r="C73" s="87" t="s">
        <v>72</v>
      </c>
      <c r="D73" s="15" t="s">
        <v>180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175</v>
      </c>
      <c r="C74" s="86" t="s">
        <v>649</v>
      </c>
      <c r="D74" s="10" t="s">
        <v>180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1684</v>
      </c>
      <c r="C75" s="87" t="s">
        <v>152</v>
      </c>
      <c r="D75" s="10" t="s">
        <v>81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82</v>
      </c>
      <c r="C76" s="87" t="s">
        <v>69</v>
      </c>
      <c r="D76" s="10" t="s">
        <v>225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68</v>
      </c>
      <c r="C77" s="87" t="s">
        <v>69</v>
      </c>
      <c r="D77" s="10" t="s">
        <v>275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120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183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184</v>
      </c>
      <c r="C81" s="86" t="s">
        <v>185</v>
      </c>
      <c r="D81" s="10" t="s">
        <v>124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923</v>
      </c>
      <c r="C82" s="86" t="s">
        <v>924</v>
      </c>
      <c r="D82" s="15" t="s">
        <v>1532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1685</v>
      </c>
      <c r="C83" s="86" t="s">
        <v>1686</v>
      </c>
      <c r="D83" s="15" t="s">
        <v>1532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190</v>
      </c>
      <c r="C84" s="86" t="s">
        <v>1545</v>
      </c>
      <c r="D84" s="15" t="s">
        <v>218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197</v>
      </c>
      <c r="C85" s="86" t="s">
        <v>182</v>
      </c>
      <c r="D85" s="10" t="s">
        <v>81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120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205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1736</v>
      </c>
      <c r="C89" s="86" t="s">
        <v>1703</v>
      </c>
      <c r="D89" s="10" t="s">
        <v>210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208</v>
      </c>
      <c r="C90" s="86" t="s">
        <v>145</v>
      </c>
      <c r="D90" s="10" t="s">
        <v>39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206</v>
      </c>
      <c r="C91" s="86" t="s">
        <v>145</v>
      </c>
      <c r="D91" s="10" t="s">
        <v>39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165</v>
      </c>
      <c r="C92" s="86" t="s">
        <v>52</v>
      </c>
      <c r="D92" s="10" t="s">
        <v>47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479</v>
      </c>
      <c r="C93" s="86" t="s">
        <v>46</v>
      </c>
      <c r="D93" s="10" t="s">
        <v>214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211</v>
      </c>
      <c r="C94" s="86" t="s">
        <v>927</v>
      </c>
      <c r="D94" s="15" t="s">
        <v>218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212</v>
      </c>
      <c r="C95" s="83" t="s">
        <v>217</v>
      </c>
      <c r="D95" s="15" t="s">
        <v>64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213</v>
      </c>
      <c r="C96" s="83" t="s">
        <v>217</v>
      </c>
      <c r="D96" s="15" t="s">
        <v>64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215</v>
      </c>
      <c r="C97" s="87" t="s">
        <v>72</v>
      </c>
      <c r="D97" s="15" t="s">
        <v>180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220</v>
      </c>
      <c r="C98" s="86" t="s">
        <v>221</v>
      </c>
      <c r="D98" s="10" t="s">
        <v>81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224</v>
      </c>
      <c r="C99" s="87" t="s">
        <v>505</v>
      </c>
      <c r="D99" s="15" t="s">
        <v>275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120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507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908</v>
      </c>
      <c r="C103" s="95" t="s">
        <v>909</v>
      </c>
      <c r="D103" s="15" t="s">
        <v>210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37</v>
      </c>
      <c r="C104" s="86" t="s">
        <v>230</v>
      </c>
      <c r="D104" s="10" t="s">
        <v>214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1704</v>
      </c>
      <c r="C105" s="86" t="s">
        <v>1705</v>
      </c>
      <c r="D105" s="15" t="s">
        <v>64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235</v>
      </c>
      <c r="C106" s="86" t="s">
        <v>651</v>
      </c>
      <c r="D106" s="15" t="s">
        <v>180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120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239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652</v>
      </c>
      <c r="C110" s="83" t="s">
        <v>241</v>
      </c>
      <c r="D110" s="15" t="s">
        <v>124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242</v>
      </c>
      <c r="C111" s="86" t="s">
        <v>243</v>
      </c>
      <c r="D111" s="16" t="s">
        <v>143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244</v>
      </c>
      <c r="C112" s="86" t="s">
        <v>653</v>
      </c>
      <c r="D112" s="10" t="s">
        <v>56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246</v>
      </c>
      <c r="C113" s="86" t="s">
        <v>653</v>
      </c>
      <c r="D113" s="10" t="s">
        <v>601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249</v>
      </c>
      <c r="C114" s="86" t="s">
        <v>250</v>
      </c>
      <c r="D114" s="15" t="s">
        <v>105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252</v>
      </c>
      <c r="C115" s="86" t="s">
        <v>250</v>
      </c>
      <c r="D115" s="10" t="s">
        <v>108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253</v>
      </c>
      <c r="C116" s="86" t="s">
        <v>250</v>
      </c>
      <c r="D116" s="15" t="s">
        <v>275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120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278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279</v>
      </c>
      <c r="C120" s="83" t="s">
        <v>280</v>
      </c>
      <c r="D120" s="15" t="s">
        <v>124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1707</v>
      </c>
      <c r="C121" s="83" t="s">
        <v>1708</v>
      </c>
      <c r="D121" s="15" t="s">
        <v>36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281</v>
      </c>
      <c r="C122" s="83" t="s">
        <v>655</v>
      </c>
      <c r="D122" s="15" t="s">
        <v>39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283</v>
      </c>
      <c r="C123" s="83" t="s">
        <v>655</v>
      </c>
      <c r="D123" s="15" t="s">
        <v>39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930</v>
      </c>
      <c r="C124" s="83" t="s">
        <v>655</v>
      </c>
      <c r="D124" s="15" t="s">
        <v>42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286</v>
      </c>
      <c r="C125" s="83" t="s">
        <v>288</v>
      </c>
      <c r="D125" s="15" t="s">
        <v>53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287</v>
      </c>
      <c r="C126" s="83" t="s">
        <v>656</v>
      </c>
      <c r="D126" s="15" t="s">
        <v>218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289</v>
      </c>
      <c r="C127" s="83" t="s">
        <v>1547</v>
      </c>
      <c r="D127" s="15" t="s">
        <v>218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1709</v>
      </c>
      <c r="C128" s="83" t="s">
        <v>1710</v>
      </c>
      <c r="D128" s="15" t="s">
        <v>602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292</v>
      </c>
      <c r="C129" s="83" t="s">
        <v>657</v>
      </c>
      <c r="D129" s="10" t="s">
        <v>225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294</v>
      </c>
      <c r="C130" s="83" t="s">
        <v>295</v>
      </c>
      <c r="D130" s="15" t="s">
        <v>275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120</v>
      </c>
      <c r="C131" s="99" t="s">
        <v>901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299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931</v>
      </c>
      <c r="C134" s="83" t="s">
        <v>1782</v>
      </c>
      <c r="D134" s="15" t="s">
        <v>124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933</v>
      </c>
      <c r="C135" s="83" t="s">
        <v>934</v>
      </c>
      <c r="D135" s="15" t="s">
        <v>36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302</v>
      </c>
      <c r="C136" s="86" t="s">
        <v>488</v>
      </c>
      <c r="D136" s="16" t="s">
        <v>143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305</v>
      </c>
      <c r="C137" s="83" t="s">
        <v>935</v>
      </c>
      <c r="D137" s="15" t="s">
        <v>214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307</v>
      </c>
      <c r="C138" s="86" t="s">
        <v>311</v>
      </c>
      <c r="D138" s="15" t="s">
        <v>214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229</v>
      </c>
      <c r="C139" s="86" t="s">
        <v>937</v>
      </c>
      <c r="D139" s="15" t="s">
        <v>218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231</v>
      </c>
      <c r="C140" s="83" t="s">
        <v>936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312</v>
      </c>
      <c r="C141" s="83" t="s">
        <v>936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313</v>
      </c>
      <c r="C142" s="86" t="s">
        <v>937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315</v>
      </c>
      <c r="C143" s="83" t="s">
        <v>938</v>
      </c>
      <c r="D143" s="15" t="s">
        <v>180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317</v>
      </c>
      <c r="C144" s="83" t="s">
        <v>1549</v>
      </c>
      <c r="D144" s="15" t="s">
        <v>78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62</v>
      </c>
      <c r="C145" s="83" t="s">
        <v>938</v>
      </c>
      <c r="D145" s="15" t="s">
        <v>180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321</v>
      </c>
      <c r="C146" s="86" t="s">
        <v>939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322</v>
      </c>
      <c r="C147" s="86" t="s">
        <v>939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324</v>
      </c>
      <c r="C148" s="86" t="s">
        <v>939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325</v>
      </c>
      <c r="C149" s="83" t="s">
        <v>326</v>
      </c>
      <c r="D149" s="15" t="s">
        <v>81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1533</v>
      </c>
      <c r="C150" s="83" t="s">
        <v>328</v>
      </c>
      <c r="D150" s="10" t="s">
        <v>225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329</v>
      </c>
      <c r="C151" s="83" t="s">
        <v>661</v>
      </c>
      <c r="D151" s="15" t="s">
        <v>81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331</v>
      </c>
      <c r="C152" s="83" t="s">
        <v>662</v>
      </c>
      <c r="D152" s="15" t="s">
        <v>225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333</v>
      </c>
      <c r="C153" s="83" t="s">
        <v>663</v>
      </c>
      <c r="D153" s="15" t="s">
        <v>81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334</v>
      </c>
      <c r="C154" s="83" t="s">
        <v>664</v>
      </c>
      <c r="D154" s="15" t="s">
        <v>225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336</v>
      </c>
      <c r="C155" s="83" t="s">
        <v>346</v>
      </c>
      <c r="D155" s="15" t="s">
        <v>1730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1711</v>
      </c>
      <c r="C156" s="83" t="s">
        <v>344</v>
      </c>
      <c r="D156" s="15" t="s">
        <v>275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343</v>
      </c>
      <c r="C157" s="83" t="s">
        <v>344</v>
      </c>
      <c r="D157" s="15" t="s">
        <v>275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345</v>
      </c>
      <c r="C158" s="83" t="s">
        <v>346</v>
      </c>
      <c r="D158" s="15" t="s">
        <v>275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347</v>
      </c>
      <c r="C159" s="83" t="s">
        <v>348</v>
      </c>
      <c r="D159" s="15" t="s">
        <v>275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349</v>
      </c>
      <c r="C160" s="83" t="s">
        <v>665</v>
      </c>
      <c r="D160" s="15" t="s">
        <v>275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359</v>
      </c>
      <c r="C161" s="83" t="s">
        <v>512</v>
      </c>
      <c r="D161" s="15" t="s">
        <v>606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362</v>
      </c>
      <c r="C162" s="83" t="s">
        <v>512</v>
      </c>
      <c r="D162" s="15" t="s">
        <v>606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666</v>
      </c>
      <c r="C163" s="83" t="s">
        <v>512</v>
      </c>
      <c r="D163" s="15" t="s">
        <v>606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1259</v>
      </c>
      <c r="C164" s="83" t="s">
        <v>512</v>
      </c>
      <c r="D164" s="15" t="s">
        <v>606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1257</v>
      </c>
      <c r="C165" s="83" t="s">
        <v>512</v>
      </c>
      <c r="D165" s="15" t="s">
        <v>606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363</v>
      </c>
      <c r="C166" s="83" t="s">
        <v>512</v>
      </c>
      <c r="D166" s="15" t="s">
        <v>606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364</v>
      </c>
      <c r="C167" s="83" t="s">
        <v>512</v>
      </c>
      <c r="D167" s="15" t="s">
        <v>606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365</v>
      </c>
      <c r="C168" s="83" t="s">
        <v>512</v>
      </c>
      <c r="D168" s="15" t="s">
        <v>607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367</v>
      </c>
      <c r="C169" s="83" t="s">
        <v>512</v>
      </c>
      <c r="D169" s="15" t="s">
        <v>607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1690</v>
      </c>
      <c r="C170" s="83" t="s">
        <v>512</v>
      </c>
      <c r="D170" s="15" t="s">
        <v>607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368</v>
      </c>
      <c r="C171" s="83" t="s">
        <v>512</v>
      </c>
      <c r="D171" s="15" t="s">
        <v>607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369</v>
      </c>
      <c r="C172" s="83" t="s">
        <v>512</v>
      </c>
      <c r="D172" s="15" t="s">
        <v>607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370</v>
      </c>
      <c r="C173" s="83" t="s">
        <v>512</v>
      </c>
      <c r="D173" s="15" t="s">
        <v>607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357</v>
      </c>
      <c r="C174" s="83" t="s">
        <v>512</v>
      </c>
      <c r="D174" s="15" t="s">
        <v>607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371</v>
      </c>
      <c r="C175" s="83" t="s">
        <v>387</v>
      </c>
      <c r="D175" s="15" t="s">
        <v>403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373</v>
      </c>
      <c r="C176" s="83" t="s">
        <v>387</v>
      </c>
      <c r="D176" s="15" t="s">
        <v>403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374</v>
      </c>
      <c r="C177" s="83" t="s">
        <v>387</v>
      </c>
      <c r="D177" s="15" t="s">
        <v>608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376</v>
      </c>
      <c r="C178" s="83" t="s">
        <v>387</v>
      </c>
      <c r="D178" s="15" t="s">
        <v>391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378</v>
      </c>
      <c r="C179" s="83" t="s">
        <v>514</v>
      </c>
      <c r="D179" s="15" t="s">
        <v>1752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379</v>
      </c>
      <c r="C180" s="83" t="s">
        <v>514</v>
      </c>
      <c r="D180" s="15" t="s">
        <v>1752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380</v>
      </c>
      <c r="C181" s="83" t="s">
        <v>514</v>
      </c>
      <c r="D181" s="15" t="s">
        <v>1752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381</v>
      </c>
      <c r="C182" s="83" t="s">
        <v>514</v>
      </c>
      <c r="D182" s="15" t="s">
        <v>1752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382</v>
      </c>
      <c r="C183" s="83" t="s">
        <v>514</v>
      </c>
      <c r="D183" s="15" t="s">
        <v>1752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383</v>
      </c>
      <c r="C184" s="83" t="s">
        <v>514</v>
      </c>
      <c r="D184" s="15" t="s">
        <v>393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385</v>
      </c>
      <c r="C185" s="83" t="s">
        <v>514</v>
      </c>
      <c r="D185" s="15" t="s">
        <v>393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668</v>
      </c>
      <c r="C186" s="83" t="s">
        <v>387</v>
      </c>
      <c r="D186" s="15" t="s">
        <v>393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386</v>
      </c>
      <c r="C187" s="83" t="s">
        <v>387</v>
      </c>
      <c r="D187" s="15" t="s">
        <v>393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358</v>
      </c>
      <c r="C188" s="83" t="s">
        <v>514</v>
      </c>
      <c r="D188" s="15" t="s">
        <v>398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392</v>
      </c>
      <c r="C189" s="83" t="s">
        <v>514</v>
      </c>
      <c r="D189" s="15" t="s">
        <v>940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120</v>
      </c>
      <c r="C190" s="100" t="s">
        <v>1783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406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1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</row>
    <row r="2" ht="33.75" customHeight="1" spans="1:7">
      <c r="A2" s="76" t="s">
        <v>1780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484</v>
      </c>
      <c r="F4" s="80" t="s">
        <v>1523</v>
      </c>
      <c r="G4" s="80" t="s">
        <v>1524</v>
      </c>
    </row>
    <row r="5" customHeight="1" spans="1:7">
      <c r="A5" s="9" t="s">
        <v>22</v>
      </c>
      <c r="B5" s="8" t="s">
        <v>23</v>
      </c>
      <c r="C5" s="81"/>
      <c r="D5" s="8"/>
      <c r="E5" s="82" t="s">
        <v>21</v>
      </c>
      <c r="F5" s="82" t="s">
        <v>21</v>
      </c>
      <c r="G5" s="82" t="s">
        <v>21</v>
      </c>
    </row>
    <row r="6" customHeight="1" spans="1:7">
      <c r="A6" s="10">
        <v>1</v>
      </c>
      <c r="B6" s="11" t="s">
        <v>24</v>
      </c>
      <c r="C6" s="83" t="s">
        <v>25</v>
      </c>
      <c r="D6" s="12" t="s">
        <v>26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1592</v>
      </c>
      <c r="C7" s="86" t="s">
        <v>1675</v>
      </c>
      <c r="D7" s="10" t="s">
        <v>36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1676</v>
      </c>
      <c r="C8" s="86" t="s">
        <v>1677</v>
      </c>
      <c r="D8" s="10" t="s">
        <v>210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27</v>
      </c>
      <c r="C9" s="83" t="s">
        <v>28</v>
      </c>
      <c r="D9" s="10" t="s">
        <v>1724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30</v>
      </c>
      <c r="C10" s="86" t="s">
        <v>31</v>
      </c>
      <c r="D10" s="15" t="s">
        <v>143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227</v>
      </c>
      <c r="C11" s="86" t="s">
        <v>1594</v>
      </c>
      <c r="D11" s="16" t="s">
        <v>143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32</v>
      </c>
      <c r="C12" s="87" t="s">
        <v>33</v>
      </c>
      <c r="D12" s="16" t="s">
        <v>143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300</v>
      </c>
      <c r="C13" s="86" t="s">
        <v>907</v>
      </c>
      <c r="D13" s="16" t="s">
        <v>143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34</v>
      </c>
      <c r="C14" s="83" t="s">
        <v>910</v>
      </c>
      <c r="D14" s="15" t="s">
        <v>39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186</v>
      </c>
      <c r="C15" s="83" t="s">
        <v>926</v>
      </c>
      <c r="D15" s="10" t="s">
        <v>1532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1678</v>
      </c>
      <c r="C16" s="86" t="s">
        <v>1679</v>
      </c>
      <c r="D16" s="16" t="s">
        <v>214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1595</v>
      </c>
      <c r="C17" s="86" t="s">
        <v>643</v>
      </c>
      <c r="D17" s="10" t="s">
        <v>214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1680</v>
      </c>
      <c r="C18" s="86" t="s">
        <v>1681</v>
      </c>
      <c r="D18" s="10" t="s">
        <v>214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40</v>
      </c>
      <c r="C19" s="86" t="s">
        <v>643</v>
      </c>
      <c r="D19" s="15" t="s">
        <v>214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51</v>
      </c>
      <c r="C20" s="83" t="s">
        <v>61</v>
      </c>
      <c r="D20" s="15" t="s">
        <v>64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54</v>
      </c>
      <c r="C21" s="86" t="s">
        <v>55</v>
      </c>
      <c r="D21" s="15" t="s">
        <v>1001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193</v>
      </c>
      <c r="C22" s="83" t="s">
        <v>929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65</v>
      </c>
      <c r="C23" s="83" t="s">
        <v>178</v>
      </c>
      <c r="D23" s="15" t="s">
        <v>180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259</v>
      </c>
      <c r="C24" s="86" t="s">
        <v>260</v>
      </c>
      <c r="D24" s="15" t="s">
        <v>180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319</v>
      </c>
      <c r="C25" s="86" t="s">
        <v>1697</v>
      </c>
      <c r="D25" s="15" t="s">
        <v>78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1682</v>
      </c>
      <c r="C26" s="83" t="s">
        <v>104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478</v>
      </c>
      <c r="C27" s="86" t="s">
        <v>94</v>
      </c>
      <c r="D27" s="10" t="s">
        <v>225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94</v>
      </c>
      <c r="D28" s="15" t="s">
        <v>225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1596</v>
      </c>
      <c r="C29" s="83" t="s">
        <v>1597</v>
      </c>
      <c r="D29" s="15" t="s">
        <v>225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84</v>
      </c>
      <c r="C30" s="83" t="s">
        <v>1544</v>
      </c>
      <c r="D30" s="15" t="s">
        <v>1730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236</v>
      </c>
      <c r="C31" s="87" t="s">
        <v>1699</v>
      </c>
      <c r="D31" s="15" t="s">
        <v>108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87</v>
      </c>
      <c r="C32" s="86" t="s">
        <v>1598</v>
      </c>
      <c r="D32" s="10" t="s">
        <v>108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91</v>
      </c>
      <c r="C33" s="87" t="s">
        <v>646</v>
      </c>
      <c r="D33" s="15" t="s">
        <v>225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1781</v>
      </c>
      <c r="C34" s="87" t="s">
        <v>646</v>
      </c>
      <c r="D34" s="15" t="s">
        <v>275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95</v>
      </c>
      <c r="C35" s="86" t="s">
        <v>1700</v>
      </c>
      <c r="D35" s="10" t="s">
        <v>275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1525</v>
      </c>
      <c r="C36" s="83" t="s">
        <v>104</v>
      </c>
      <c r="D36" s="15" t="s">
        <v>275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1683</v>
      </c>
      <c r="C37" s="83" t="s">
        <v>104</v>
      </c>
      <c r="D37" s="15" t="s">
        <v>275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120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121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122</v>
      </c>
      <c r="C41" s="86" t="s">
        <v>123</v>
      </c>
      <c r="D41" s="10" t="s">
        <v>140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127</v>
      </c>
      <c r="C42" s="86" t="s">
        <v>1137</v>
      </c>
      <c r="D42" s="10" t="s">
        <v>275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912</v>
      </c>
      <c r="C46" s="86" t="s">
        <v>913</v>
      </c>
      <c r="D46" s="10" t="s">
        <v>124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914</v>
      </c>
      <c r="C47" s="86" t="s">
        <v>44</v>
      </c>
      <c r="D47" s="10" t="s">
        <v>39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138</v>
      </c>
      <c r="C48" s="86" t="s">
        <v>145</v>
      </c>
      <c r="D48" s="10" t="s">
        <v>39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141</v>
      </c>
      <c r="C49" s="86" t="s">
        <v>145</v>
      </c>
      <c r="D49" s="10" t="s">
        <v>50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144</v>
      </c>
      <c r="C50" s="86" t="s">
        <v>145</v>
      </c>
      <c r="D50" s="10" t="s">
        <v>42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146</v>
      </c>
      <c r="C51" s="86" t="s">
        <v>46</v>
      </c>
      <c r="D51" s="10" t="s">
        <v>214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147</v>
      </c>
      <c r="C52" s="86" t="s">
        <v>52</v>
      </c>
      <c r="D52" s="16" t="s">
        <v>214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1601</v>
      </c>
      <c r="C53" s="86" t="s">
        <v>52</v>
      </c>
      <c r="D53" s="10" t="s">
        <v>53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45</v>
      </c>
      <c r="C54" s="86" t="s">
        <v>927</v>
      </c>
      <c r="D54" s="10" t="s">
        <v>218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155</v>
      </c>
      <c r="C55" s="86" t="s">
        <v>152</v>
      </c>
      <c r="D55" s="10" t="s">
        <v>225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915</v>
      </c>
      <c r="C56" s="86" t="s">
        <v>152</v>
      </c>
      <c r="D56" s="10" t="s">
        <v>225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157</v>
      </c>
      <c r="C57" s="86" t="s">
        <v>152</v>
      </c>
      <c r="D57" s="10" t="s">
        <v>225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120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159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916</v>
      </c>
      <c r="C61" s="83" t="s">
        <v>161</v>
      </c>
      <c r="D61" s="15" t="s">
        <v>124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120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917</v>
      </c>
      <c r="C65" s="87" t="s">
        <v>918</v>
      </c>
      <c r="D65" s="10" t="s">
        <v>124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919</v>
      </c>
      <c r="C66" s="87" t="s">
        <v>920</v>
      </c>
      <c r="D66" s="15" t="s">
        <v>1532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167</v>
      </c>
      <c r="C67" s="86" t="s">
        <v>217</v>
      </c>
      <c r="D67" s="10" t="s">
        <v>218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921</v>
      </c>
      <c r="C68" s="87" t="s">
        <v>217</v>
      </c>
      <c r="D68" s="15" t="s">
        <v>64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922</v>
      </c>
      <c r="C69" s="87" t="s">
        <v>52</v>
      </c>
      <c r="D69" s="15" t="s">
        <v>214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171</v>
      </c>
      <c r="C70" s="86" t="s">
        <v>152</v>
      </c>
      <c r="D70" s="10" t="s">
        <v>1733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1609</v>
      </c>
      <c r="C71" s="87" t="s">
        <v>72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172</v>
      </c>
      <c r="C72" s="87" t="s">
        <v>72</v>
      </c>
      <c r="D72" s="15" t="s">
        <v>180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174</v>
      </c>
      <c r="C73" s="87" t="s">
        <v>72</v>
      </c>
      <c r="D73" s="15" t="s">
        <v>180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175</v>
      </c>
      <c r="C74" s="86" t="s">
        <v>649</v>
      </c>
      <c r="D74" s="10" t="s">
        <v>180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1684</v>
      </c>
      <c r="C75" s="87" t="s">
        <v>152</v>
      </c>
      <c r="D75" s="10" t="s">
        <v>81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82</v>
      </c>
      <c r="C76" s="87" t="s">
        <v>69</v>
      </c>
      <c r="D76" s="10" t="s">
        <v>225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68</v>
      </c>
      <c r="C77" s="87" t="s">
        <v>69</v>
      </c>
      <c r="D77" s="10" t="s">
        <v>275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120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183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184</v>
      </c>
      <c r="C81" s="86" t="s">
        <v>185</v>
      </c>
      <c r="D81" s="10" t="s">
        <v>124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923</v>
      </c>
      <c r="C82" s="86" t="s">
        <v>924</v>
      </c>
      <c r="D82" s="15" t="s">
        <v>1532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1685</v>
      </c>
      <c r="C83" s="86" t="s">
        <v>1686</v>
      </c>
      <c r="D83" s="15" t="s">
        <v>1532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190</v>
      </c>
      <c r="C84" s="86" t="s">
        <v>1545</v>
      </c>
      <c r="D84" s="15" t="s">
        <v>218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197</v>
      </c>
      <c r="C85" s="86" t="s">
        <v>182</v>
      </c>
      <c r="D85" s="10" t="s">
        <v>81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120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205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1736</v>
      </c>
      <c r="C89" s="86" t="s">
        <v>1703</v>
      </c>
      <c r="D89" s="10" t="s">
        <v>210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208</v>
      </c>
      <c r="C90" s="86" t="s">
        <v>145</v>
      </c>
      <c r="D90" s="10" t="s">
        <v>39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206</v>
      </c>
      <c r="C91" s="86" t="s">
        <v>145</v>
      </c>
      <c r="D91" s="10" t="s">
        <v>39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165</v>
      </c>
      <c r="C92" s="86" t="s">
        <v>52</v>
      </c>
      <c r="D92" s="10" t="s">
        <v>47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479</v>
      </c>
      <c r="C93" s="86" t="s">
        <v>46</v>
      </c>
      <c r="D93" s="10" t="s">
        <v>214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211</v>
      </c>
      <c r="C94" s="86" t="s">
        <v>927</v>
      </c>
      <c r="D94" s="15" t="s">
        <v>218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212</v>
      </c>
      <c r="C95" s="83" t="s">
        <v>217</v>
      </c>
      <c r="D95" s="15" t="s">
        <v>64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213</v>
      </c>
      <c r="C96" s="83" t="s">
        <v>217</v>
      </c>
      <c r="D96" s="15" t="s">
        <v>64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215</v>
      </c>
      <c r="C97" s="87" t="s">
        <v>72</v>
      </c>
      <c r="D97" s="15" t="s">
        <v>180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220</v>
      </c>
      <c r="C98" s="86" t="s">
        <v>221</v>
      </c>
      <c r="D98" s="10" t="s">
        <v>81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224</v>
      </c>
      <c r="C99" s="87" t="s">
        <v>505</v>
      </c>
      <c r="D99" s="15" t="s">
        <v>275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120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507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908</v>
      </c>
      <c r="C103" s="95" t="s">
        <v>909</v>
      </c>
      <c r="D103" s="15" t="s">
        <v>210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37</v>
      </c>
      <c r="C104" s="86" t="s">
        <v>230</v>
      </c>
      <c r="D104" s="10" t="s">
        <v>214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1704</v>
      </c>
      <c r="C105" s="86" t="s">
        <v>1705</v>
      </c>
      <c r="D105" s="15" t="s">
        <v>64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235</v>
      </c>
      <c r="C106" s="86" t="s">
        <v>651</v>
      </c>
      <c r="D106" s="15" t="s">
        <v>180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120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239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652</v>
      </c>
      <c r="C110" s="83" t="s">
        <v>241</v>
      </c>
      <c r="D110" s="15" t="s">
        <v>124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242</v>
      </c>
      <c r="C111" s="86" t="s">
        <v>243</v>
      </c>
      <c r="D111" s="16" t="s">
        <v>143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244</v>
      </c>
      <c r="C112" s="86" t="s">
        <v>653</v>
      </c>
      <c r="D112" s="10" t="s">
        <v>56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246</v>
      </c>
      <c r="C113" s="86" t="s">
        <v>653</v>
      </c>
      <c r="D113" s="10" t="s">
        <v>601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249</v>
      </c>
      <c r="C114" s="86" t="s">
        <v>250</v>
      </c>
      <c r="D114" s="15" t="s">
        <v>105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252</v>
      </c>
      <c r="C115" s="86" t="s">
        <v>250</v>
      </c>
      <c r="D115" s="10" t="s">
        <v>108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253</v>
      </c>
      <c r="C116" s="86" t="s">
        <v>250</v>
      </c>
      <c r="D116" s="15" t="s">
        <v>275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120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278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279</v>
      </c>
      <c r="C120" s="83" t="s">
        <v>280</v>
      </c>
      <c r="D120" s="15" t="s">
        <v>124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1707</v>
      </c>
      <c r="C121" s="83" t="s">
        <v>1708</v>
      </c>
      <c r="D121" s="15" t="s">
        <v>36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281</v>
      </c>
      <c r="C122" s="83" t="s">
        <v>655</v>
      </c>
      <c r="D122" s="15" t="s">
        <v>39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283</v>
      </c>
      <c r="C123" s="83" t="s">
        <v>655</v>
      </c>
      <c r="D123" s="15" t="s">
        <v>39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930</v>
      </c>
      <c r="C124" s="83" t="s">
        <v>655</v>
      </c>
      <c r="D124" s="15" t="s">
        <v>42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286</v>
      </c>
      <c r="C125" s="83" t="s">
        <v>288</v>
      </c>
      <c r="D125" s="15" t="s">
        <v>53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287</v>
      </c>
      <c r="C126" s="83" t="s">
        <v>656</v>
      </c>
      <c r="D126" s="15" t="s">
        <v>218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289</v>
      </c>
      <c r="C127" s="83" t="s">
        <v>1547</v>
      </c>
      <c r="D127" s="15" t="s">
        <v>218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1709</v>
      </c>
      <c r="C128" s="83" t="s">
        <v>1710</v>
      </c>
      <c r="D128" s="15" t="s">
        <v>602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292</v>
      </c>
      <c r="C129" s="83" t="s">
        <v>657</v>
      </c>
      <c r="D129" s="10" t="s">
        <v>225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294</v>
      </c>
      <c r="C130" s="83" t="s">
        <v>295</v>
      </c>
      <c r="D130" s="15" t="s">
        <v>275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120</v>
      </c>
      <c r="C131" s="99" t="s">
        <v>901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299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931</v>
      </c>
      <c r="C134" s="83" t="s">
        <v>1782</v>
      </c>
      <c r="D134" s="15" t="s">
        <v>124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933</v>
      </c>
      <c r="C135" s="83" t="s">
        <v>934</v>
      </c>
      <c r="D135" s="15" t="s">
        <v>36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302</v>
      </c>
      <c r="C136" s="86" t="s">
        <v>488</v>
      </c>
      <c r="D136" s="16" t="s">
        <v>143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305</v>
      </c>
      <c r="C137" s="83" t="s">
        <v>935</v>
      </c>
      <c r="D137" s="15" t="s">
        <v>214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307</v>
      </c>
      <c r="C138" s="86" t="s">
        <v>311</v>
      </c>
      <c r="D138" s="15" t="s">
        <v>214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229</v>
      </c>
      <c r="C139" s="86" t="s">
        <v>937</v>
      </c>
      <c r="D139" s="15" t="s">
        <v>218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231</v>
      </c>
      <c r="C140" s="83" t="s">
        <v>936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312</v>
      </c>
      <c r="C141" s="83" t="s">
        <v>936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313</v>
      </c>
      <c r="C142" s="86" t="s">
        <v>937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315</v>
      </c>
      <c r="C143" s="83" t="s">
        <v>938</v>
      </c>
      <c r="D143" s="15" t="s">
        <v>180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317</v>
      </c>
      <c r="C144" s="83" t="s">
        <v>1549</v>
      </c>
      <c r="D144" s="15" t="s">
        <v>78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62</v>
      </c>
      <c r="C145" s="83" t="s">
        <v>938</v>
      </c>
      <c r="D145" s="15" t="s">
        <v>180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321</v>
      </c>
      <c r="C146" s="86" t="s">
        <v>939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322</v>
      </c>
      <c r="C147" s="86" t="s">
        <v>939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324</v>
      </c>
      <c r="C148" s="86" t="s">
        <v>939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325</v>
      </c>
      <c r="C149" s="83" t="s">
        <v>326</v>
      </c>
      <c r="D149" s="15" t="s">
        <v>81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1533</v>
      </c>
      <c r="C150" s="83" t="s">
        <v>328</v>
      </c>
      <c r="D150" s="10" t="s">
        <v>225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329</v>
      </c>
      <c r="C151" s="83" t="s">
        <v>661</v>
      </c>
      <c r="D151" s="15" t="s">
        <v>81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331</v>
      </c>
      <c r="C152" s="83" t="s">
        <v>662</v>
      </c>
      <c r="D152" s="15" t="s">
        <v>225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333</v>
      </c>
      <c r="C153" s="83" t="s">
        <v>663</v>
      </c>
      <c r="D153" s="15" t="s">
        <v>81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334</v>
      </c>
      <c r="C154" s="83" t="s">
        <v>664</v>
      </c>
      <c r="D154" s="15" t="s">
        <v>225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336</v>
      </c>
      <c r="C155" s="83" t="s">
        <v>346</v>
      </c>
      <c r="D155" s="15" t="s">
        <v>1730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1711</v>
      </c>
      <c r="C156" s="83" t="s">
        <v>344</v>
      </c>
      <c r="D156" s="15" t="s">
        <v>275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343</v>
      </c>
      <c r="C157" s="83" t="s">
        <v>344</v>
      </c>
      <c r="D157" s="15" t="s">
        <v>275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345</v>
      </c>
      <c r="C158" s="83" t="s">
        <v>346</v>
      </c>
      <c r="D158" s="15" t="s">
        <v>275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347</v>
      </c>
      <c r="C159" s="83" t="s">
        <v>348</v>
      </c>
      <c r="D159" s="15" t="s">
        <v>275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349</v>
      </c>
      <c r="C160" s="83" t="s">
        <v>665</v>
      </c>
      <c r="D160" s="15" t="s">
        <v>275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359</v>
      </c>
      <c r="C161" s="83" t="s">
        <v>512</v>
      </c>
      <c r="D161" s="15" t="s">
        <v>606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362</v>
      </c>
      <c r="C162" s="83" t="s">
        <v>512</v>
      </c>
      <c r="D162" s="15" t="s">
        <v>606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666</v>
      </c>
      <c r="C163" s="83" t="s">
        <v>512</v>
      </c>
      <c r="D163" s="15" t="s">
        <v>606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1259</v>
      </c>
      <c r="C164" s="83" t="s">
        <v>512</v>
      </c>
      <c r="D164" s="15" t="s">
        <v>606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1257</v>
      </c>
      <c r="C165" s="83" t="s">
        <v>512</v>
      </c>
      <c r="D165" s="15" t="s">
        <v>606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363</v>
      </c>
      <c r="C166" s="83" t="s">
        <v>512</v>
      </c>
      <c r="D166" s="15" t="s">
        <v>606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364</v>
      </c>
      <c r="C167" s="83" t="s">
        <v>512</v>
      </c>
      <c r="D167" s="15" t="s">
        <v>606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365</v>
      </c>
      <c r="C168" s="83" t="s">
        <v>512</v>
      </c>
      <c r="D168" s="15" t="s">
        <v>607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367</v>
      </c>
      <c r="C169" s="83" t="s">
        <v>512</v>
      </c>
      <c r="D169" s="15" t="s">
        <v>607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1690</v>
      </c>
      <c r="C170" s="83" t="s">
        <v>512</v>
      </c>
      <c r="D170" s="15" t="s">
        <v>607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368</v>
      </c>
      <c r="C171" s="83" t="s">
        <v>512</v>
      </c>
      <c r="D171" s="15" t="s">
        <v>607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369</v>
      </c>
      <c r="C172" s="83" t="s">
        <v>512</v>
      </c>
      <c r="D172" s="15" t="s">
        <v>607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370</v>
      </c>
      <c r="C173" s="83" t="s">
        <v>512</v>
      </c>
      <c r="D173" s="15" t="s">
        <v>607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357</v>
      </c>
      <c r="C174" s="83" t="s">
        <v>512</v>
      </c>
      <c r="D174" s="15" t="s">
        <v>607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371</v>
      </c>
      <c r="C175" s="83" t="s">
        <v>387</v>
      </c>
      <c r="D175" s="15" t="s">
        <v>403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373</v>
      </c>
      <c r="C176" s="83" t="s">
        <v>387</v>
      </c>
      <c r="D176" s="15" t="s">
        <v>403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374</v>
      </c>
      <c r="C177" s="83" t="s">
        <v>387</v>
      </c>
      <c r="D177" s="15" t="s">
        <v>608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376</v>
      </c>
      <c r="C178" s="83" t="s">
        <v>387</v>
      </c>
      <c r="D178" s="15" t="s">
        <v>391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378</v>
      </c>
      <c r="C179" s="83" t="s">
        <v>514</v>
      </c>
      <c r="D179" s="15" t="s">
        <v>1752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379</v>
      </c>
      <c r="C180" s="83" t="s">
        <v>514</v>
      </c>
      <c r="D180" s="15" t="s">
        <v>1752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380</v>
      </c>
      <c r="C181" s="83" t="s">
        <v>514</v>
      </c>
      <c r="D181" s="15" t="s">
        <v>1752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381</v>
      </c>
      <c r="C182" s="83" t="s">
        <v>514</v>
      </c>
      <c r="D182" s="15" t="s">
        <v>1752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382</v>
      </c>
      <c r="C183" s="83" t="s">
        <v>514</v>
      </c>
      <c r="D183" s="15" t="s">
        <v>1752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383</v>
      </c>
      <c r="C184" s="83" t="s">
        <v>514</v>
      </c>
      <c r="D184" s="15" t="s">
        <v>393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385</v>
      </c>
      <c r="C185" s="83" t="s">
        <v>514</v>
      </c>
      <c r="D185" s="15" t="s">
        <v>393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668</v>
      </c>
      <c r="C186" s="83" t="s">
        <v>387</v>
      </c>
      <c r="D186" s="15" t="s">
        <v>393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386</v>
      </c>
      <c r="C187" s="83" t="s">
        <v>387</v>
      </c>
      <c r="D187" s="15" t="s">
        <v>393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358</v>
      </c>
      <c r="C188" s="83" t="s">
        <v>514</v>
      </c>
      <c r="D188" s="15" t="s">
        <v>398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392</v>
      </c>
      <c r="C189" s="83" t="s">
        <v>514</v>
      </c>
      <c r="D189" s="15" t="s">
        <v>940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120</v>
      </c>
      <c r="C190" s="100" t="s">
        <v>1783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406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1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1784</v>
      </c>
      <c r="B1" s="74"/>
      <c r="C1" s="74"/>
      <c r="D1" s="74"/>
      <c r="E1" s="74"/>
      <c r="F1" s="74"/>
    </row>
    <row r="2" ht="17.5" spans="1:6">
      <c r="A2" s="41" t="s">
        <v>1785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1789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1790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1791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1792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1793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1794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1795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1796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1797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1798</v>
      </c>
      <c r="B1" s="47"/>
      <c r="C1" s="47"/>
      <c r="D1" s="47"/>
      <c r="E1" s="47"/>
      <c r="F1" s="47"/>
    </row>
    <row r="2" ht="17.5" spans="1:6">
      <c r="A2" s="41" t="s">
        <v>1799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 t="e">
        <f>E4*12</f>
        <v>#REF!</v>
      </c>
      <c r="E4" s="51" t="e">
        <f>'APRIL 2026'!#REF!</f>
        <v>#REF!</v>
      </c>
      <c r="F4" s="46"/>
    </row>
    <row r="5" ht="18" spans="1:6">
      <c r="A5" s="48" t="s">
        <v>1789</v>
      </c>
      <c r="B5" s="48"/>
      <c r="C5" s="48"/>
      <c r="D5" s="51" t="e">
        <f t="shared" ref="D5:D13" si="0">E5*12</f>
        <v>#REF!</v>
      </c>
      <c r="E5" s="51" t="e">
        <f>'APRIL 2026'!#REF!</f>
        <v>#REF!</v>
      </c>
      <c r="F5" s="46"/>
    </row>
    <row r="6" ht="18" spans="1:6">
      <c r="A6" s="48" t="s">
        <v>1790</v>
      </c>
      <c r="B6" s="48"/>
      <c r="C6" s="48"/>
      <c r="D6" s="51" t="e">
        <f t="shared" si="0"/>
        <v>#REF!</v>
      </c>
      <c r="E6" s="51" t="e">
        <f>'APRIL 2026'!#REF!</f>
        <v>#REF!</v>
      </c>
      <c r="F6" s="46"/>
    </row>
    <row r="7" ht="18" spans="1:6">
      <c r="A7" s="48" t="s">
        <v>1791</v>
      </c>
      <c r="B7" s="48"/>
      <c r="C7" s="48"/>
      <c r="D7" s="51" t="e">
        <f t="shared" si="0"/>
        <v>#REF!</v>
      </c>
      <c r="E7" s="51" t="e">
        <f>'APRIL 2026'!#REF!</f>
        <v>#REF!</v>
      </c>
      <c r="F7" s="46"/>
    </row>
    <row r="8" ht="18" spans="1:6">
      <c r="A8" s="48" t="s">
        <v>1792</v>
      </c>
      <c r="B8" s="48"/>
      <c r="C8" s="48"/>
      <c r="D8" s="51" t="e">
        <f t="shared" si="0"/>
        <v>#REF!</v>
      </c>
      <c r="E8" s="51" t="e">
        <f>'APRIL 2026'!#REF!</f>
        <v>#REF!</v>
      </c>
      <c r="F8" s="46"/>
    </row>
    <row r="9" ht="18" spans="1:6">
      <c r="A9" s="48" t="s">
        <v>1793</v>
      </c>
      <c r="B9" s="48"/>
      <c r="C9" s="48"/>
      <c r="D9" s="51" t="e">
        <f t="shared" si="0"/>
        <v>#REF!</v>
      </c>
      <c r="E9" s="51" t="e">
        <f>'APRIL 2026'!#REF!</f>
        <v>#REF!</v>
      </c>
      <c r="F9" s="46"/>
    </row>
    <row r="10" ht="18" spans="1:6">
      <c r="A10" s="48" t="s">
        <v>1795</v>
      </c>
      <c r="B10" s="48"/>
      <c r="C10" s="48"/>
      <c r="D10" s="51" t="e">
        <f t="shared" si="0"/>
        <v>#REF!</v>
      </c>
      <c r="E10" s="51" t="e">
        <f>'APRIL 2026'!#REF!</f>
        <v>#REF!</v>
      </c>
      <c r="F10" s="46"/>
    </row>
    <row r="11" ht="18" spans="1:6">
      <c r="A11" s="52" t="s">
        <v>1800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1796</v>
      </c>
      <c r="B12" s="48"/>
      <c r="C12" s="48"/>
      <c r="D12" s="51" t="e">
        <f t="shared" si="0"/>
        <v>#REF!</v>
      </c>
      <c r="E12" s="51" t="e">
        <f>'APRIL 2026'!#REF!</f>
        <v>#REF!</v>
      </c>
      <c r="F12" s="46"/>
    </row>
    <row r="13" ht="18" spans="1:6">
      <c r="A13" s="48" t="s">
        <v>1797</v>
      </c>
      <c r="B13" s="48"/>
      <c r="C13" s="48"/>
      <c r="D13" s="51" t="e">
        <f t="shared" si="0"/>
        <v>#REF!</v>
      </c>
      <c r="E13" s="51" t="e">
        <f>'APRIL 2026'!#REF!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1801</v>
      </c>
      <c r="B1" s="47"/>
      <c r="C1" s="47"/>
      <c r="D1" s="47"/>
      <c r="E1" s="47"/>
      <c r="F1" s="47"/>
    </row>
    <row r="2" ht="17.5" spans="1:6">
      <c r="A2" s="41" t="s">
        <v>1802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20965276.9999999</v>
      </c>
      <c r="E4" s="51">
        <f>'APRIL 2026'!E123</f>
        <v>1747106.41666666</v>
      </c>
      <c r="F4" s="46"/>
    </row>
    <row r="5" ht="18" spans="1:6">
      <c r="A5" s="48" t="s">
        <v>1789</v>
      </c>
      <c r="B5" s="48"/>
      <c r="C5" s="48"/>
      <c r="D5" s="51" t="e">
        <f t="shared" ref="D5:D14" si="0">E5*12</f>
        <v>#REF!</v>
      </c>
      <c r="E5" s="51" t="e">
        <f>'APRIL 2026'!#REF!</f>
        <v>#REF!</v>
      </c>
      <c r="F5" s="46"/>
    </row>
    <row r="6" ht="18" spans="1:6">
      <c r="A6" s="48" t="s">
        <v>1790</v>
      </c>
      <c r="B6" s="48"/>
      <c r="C6" s="48"/>
      <c r="D6" s="51" t="e">
        <f t="shared" si="0"/>
        <v>#REF!</v>
      </c>
      <c r="E6" s="51" t="e">
        <f>'APRIL 2026'!#REF!</f>
        <v>#REF!</v>
      </c>
      <c r="F6" s="46"/>
    </row>
    <row r="7" ht="18" spans="1:6">
      <c r="A7" s="48" t="s">
        <v>1791</v>
      </c>
      <c r="B7" s="48"/>
      <c r="C7" s="48"/>
      <c r="D7" s="51" t="e">
        <f t="shared" si="0"/>
        <v>#REF!</v>
      </c>
      <c r="E7" s="51" t="e">
        <f>'APRIL 2026'!#REF!</f>
        <v>#REF!</v>
      </c>
      <c r="F7" s="46"/>
    </row>
    <row r="8" ht="18" spans="1:6">
      <c r="A8" s="48" t="s">
        <v>1792</v>
      </c>
      <c r="B8" s="48"/>
      <c r="C8" s="48"/>
      <c r="D8" s="51" t="e">
        <f t="shared" si="0"/>
        <v>#REF!</v>
      </c>
      <c r="E8" s="51" t="e">
        <f>'APRIL 2026'!#REF!</f>
        <v>#REF!</v>
      </c>
      <c r="F8" s="46"/>
    </row>
    <row r="9" ht="18" spans="1:6">
      <c r="A9" s="48" t="s">
        <v>1793</v>
      </c>
      <c r="B9" s="48"/>
      <c r="C9" s="48"/>
      <c r="D9" s="51" t="e">
        <f t="shared" si="0"/>
        <v>#REF!</v>
      </c>
      <c r="E9" s="51" t="e">
        <f>'APRIL 2026'!#REF!</f>
        <v>#REF!</v>
      </c>
      <c r="F9" s="46"/>
    </row>
    <row r="10" ht="18" spans="1:6">
      <c r="A10" s="48" t="s">
        <v>1795</v>
      </c>
      <c r="B10" s="48"/>
      <c r="C10" s="48"/>
      <c r="D10" s="51" t="e">
        <f t="shared" si="0"/>
        <v>#REF!</v>
      </c>
      <c r="E10" s="51" t="e">
        <f>'APRIL 2026'!#REF!</f>
        <v>#REF!</v>
      </c>
      <c r="F10" s="46"/>
    </row>
    <row r="11" ht="18" spans="1:6">
      <c r="A11" s="52" t="s">
        <v>1794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1796</v>
      </c>
      <c r="B12" s="48"/>
      <c r="C12" s="48"/>
      <c r="D12" s="51" t="e">
        <f t="shared" si="0"/>
        <v>#REF!</v>
      </c>
      <c r="E12" s="51" t="e">
        <f>'APRIL 2026'!#REF!</f>
        <v>#REF!</v>
      </c>
      <c r="F12" s="46"/>
    </row>
    <row r="13" ht="18" spans="1:6">
      <c r="A13" s="48" t="s">
        <v>1797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1803</v>
      </c>
      <c r="B1" s="47"/>
      <c r="C1" s="47"/>
      <c r="D1" s="47"/>
      <c r="E1" s="47"/>
      <c r="F1" s="47"/>
    </row>
    <row r="2" ht="17.5" spans="1:6">
      <c r="A2" s="41" t="s">
        <v>1804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 t="e">
        <f>E4*12</f>
        <v>#REF!</v>
      </c>
      <c r="E4" s="51" t="e">
        <f>'APRIL 2026'!#REF!</f>
        <v>#REF!</v>
      </c>
      <c r="F4" s="46"/>
    </row>
    <row r="5" ht="18" spans="1:6">
      <c r="A5" s="48" t="s">
        <v>1789</v>
      </c>
      <c r="B5" s="48"/>
      <c r="C5" s="48"/>
      <c r="D5" s="51" t="e">
        <f t="shared" ref="D5:D14" si="0">E5*12</f>
        <v>#REF!</v>
      </c>
      <c r="E5" s="51" t="e">
        <f>'APRIL 2026'!#REF!</f>
        <v>#REF!</v>
      </c>
      <c r="F5" s="46"/>
    </row>
    <row r="6" ht="18" spans="1:6">
      <c r="A6" s="48" t="s">
        <v>1790</v>
      </c>
      <c r="B6" s="48"/>
      <c r="C6" s="48"/>
      <c r="D6" s="51" t="e">
        <f t="shared" si="0"/>
        <v>#REF!</v>
      </c>
      <c r="E6" s="51" t="e">
        <f>'APRIL 2026'!#REF!</f>
        <v>#REF!</v>
      </c>
      <c r="F6" s="46"/>
    </row>
    <row r="7" ht="18" spans="1:6">
      <c r="A7" s="48" t="s">
        <v>1791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1792</v>
      </c>
      <c r="B8" s="48"/>
      <c r="C8" s="48"/>
      <c r="D8" s="51" t="e">
        <f t="shared" si="0"/>
        <v>#REF!</v>
      </c>
      <c r="E8" s="51" t="e">
        <f>'APRIL 2026'!#REF!</f>
        <v>#REF!</v>
      </c>
      <c r="F8" s="46"/>
    </row>
    <row r="9" ht="18" spans="1:6">
      <c r="A9" s="48" t="s">
        <v>1793</v>
      </c>
      <c r="B9" s="48"/>
      <c r="C9" s="48"/>
      <c r="D9" s="51" t="e">
        <f t="shared" si="0"/>
        <v>#REF!</v>
      </c>
      <c r="E9" s="51" t="e">
        <f>'APRIL 2026'!#REF!</f>
        <v>#REF!</v>
      </c>
      <c r="F9" s="46"/>
    </row>
    <row r="10" ht="18" spans="1:6">
      <c r="A10" s="48" t="s">
        <v>1795</v>
      </c>
      <c r="B10" s="48"/>
      <c r="C10" s="48"/>
      <c r="D10" s="51" t="e">
        <f t="shared" si="0"/>
        <v>#REF!</v>
      </c>
      <c r="E10" s="51" t="e">
        <f>'APRIL 2026'!#REF!</f>
        <v>#REF!</v>
      </c>
      <c r="F10" s="46"/>
    </row>
    <row r="11" ht="18" spans="1:6">
      <c r="A11" s="52" t="s">
        <v>1794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1796</v>
      </c>
      <c r="B12" s="48"/>
      <c r="C12" s="48"/>
      <c r="D12" s="51" t="e">
        <f t="shared" si="0"/>
        <v>#REF!</v>
      </c>
      <c r="E12" s="51" t="e">
        <f>'APRIL 2026'!#REF!</f>
        <v>#REF!</v>
      </c>
      <c r="F12" s="46"/>
    </row>
    <row r="13" ht="18" spans="1:6">
      <c r="A13" s="48" t="s">
        <v>1797</v>
      </c>
      <c r="B13" s="48"/>
      <c r="C13" s="48"/>
      <c r="D13" s="51" t="e">
        <f t="shared" si="0"/>
        <v>#REF!</v>
      </c>
      <c r="E13" s="51" t="e">
        <f>'APRIL 2026'!#REF!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1789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1790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1791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1792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1793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1795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1796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1797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1805</v>
      </c>
      <c r="B1" s="47"/>
      <c r="C1" s="47"/>
      <c r="D1" s="47"/>
      <c r="E1" s="47"/>
      <c r="F1" s="47"/>
    </row>
    <row r="2" ht="17.5" spans="1:6">
      <c r="A2" s="41" t="s">
        <v>1806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1789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1790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1791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1792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1793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1795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1794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1796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1797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1807</v>
      </c>
      <c r="B1" s="47"/>
      <c r="C1" s="47"/>
      <c r="D1" s="47"/>
      <c r="E1" s="47"/>
      <c r="F1" s="47"/>
    </row>
    <row r="2" ht="17.5" spans="1:6">
      <c r="A2" s="41" t="s">
        <v>1808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1789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1790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1791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1792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1793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1795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1809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1796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1797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1810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7075884</v>
      </c>
      <c r="E4" s="51">
        <f>'APRIL 2026'!E97</f>
        <v>589657</v>
      </c>
      <c r="F4" s="46"/>
    </row>
    <row r="5" ht="18" spans="1:6">
      <c r="A5" s="48" t="s">
        <v>1789</v>
      </c>
      <c r="B5" s="48"/>
      <c r="C5" s="48"/>
      <c r="D5" s="51" t="e">
        <f t="shared" ref="D5:D12" si="0">E5*12</f>
        <v>#REF!</v>
      </c>
      <c r="E5" s="51" t="e">
        <f>'APRIL 2026'!#REF!</f>
        <v>#REF!</v>
      </c>
      <c r="F5" s="46"/>
    </row>
    <row r="6" ht="18" spans="1:6">
      <c r="A6" s="48" t="s">
        <v>1790</v>
      </c>
      <c r="B6" s="48"/>
      <c r="C6" s="48"/>
      <c r="D6" s="51" t="e">
        <f t="shared" si="0"/>
        <v>#REF!</v>
      </c>
      <c r="E6" s="51" t="e">
        <f>'APRIL 2026'!#REF!</f>
        <v>#REF!</v>
      </c>
      <c r="F6" s="46"/>
    </row>
    <row r="7" ht="18" spans="1:6">
      <c r="A7" s="48" t="s">
        <v>1792</v>
      </c>
      <c r="B7" s="48"/>
      <c r="C7" s="48"/>
      <c r="D7" s="51" t="e">
        <f t="shared" si="0"/>
        <v>#REF!</v>
      </c>
      <c r="E7" s="51" t="e">
        <f>'APRIL 2026'!#REF!</f>
        <v>#REF!</v>
      </c>
      <c r="F7" s="46"/>
    </row>
    <row r="8" ht="18" spans="1:6">
      <c r="A8" s="48" t="s">
        <v>1793</v>
      </c>
      <c r="B8" s="48"/>
      <c r="C8" s="48"/>
      <c r="D8" s="51" t="e">
        <f t="shared" si="0"/>
        <v>#REF!</v>
      </c>
      <c r="E8" s="51" t="e">
        <f>'APRIL 2026'!#REF!</f>
        <v>#REF!</v>
      </c>
      <c r="F8" s="46"/>
    </row>
    <row r="9" ht="18" spans="1:6">
      <c r="A9" s="48" t="s">
        <v>1795</v>
      </c>
      <c r="B9" s="48"/>
      <c r="C9" s="48"/>
      <c r="D9" s="51" t="e">
        <f t="shared" si="0"/>
        <v>#REF!</v>
      </c>
      <c r="E9" s="51" t="e">
        <f>'APRIL 2026'!#REF!</f>
        <v>#REF!</v>
      </c>
      <c r="F9" s="46"/>
    </row>
    <row r="10" ht="18" spans="1:6">
      <c r="A10" s="48" t="s">
        <v>1796</v>
      </c>
      <c r="B10" s="48"/>
      <c r="C10" s="48"/>
      <c r="D10" s="51" t="e">
        <f t="shared" si="0"/>
        <v>#REF!</v>
      </c>
      <c r="E10" s="51" t="e">
        <f>'APRIL 2026'!#REF!</f>
        <v>#REF!</v>
      </c>
      <c r="F10" s="46"/>
    </row>
    <row r="11" ht="18" spans="1:6">
      <c r="A11" s="48" t="s">
        <v>1797</v>
      </c>
      <c r="B11" s="48"/>
      <c r="C11" s="48"/>
      <c r="D11" s="51" t="e">
        <f t="shared" si="0"/>
        <v>#REF!</v>
      </c>
      <c r="E11" s="51" t="e">
        <f>'APRIL 2026'!#REF!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1:22">
      <c r="F1" s="57" t="s">
        <v>1756</v>
      </c>
      <c r="G1" s="57" t="s">
        <v>1811</v>
      </c>
      <c r="H1" s="57"/>
      <c r="I1" s="57"/>
      <c r="J1" s="57"/>
      <c r="K1" s="57"/>
      <c r="L1" s="57"/>
      <c r="M1" s="57" t="s">
        <v>1812</v>
      </c>
      <c r="N1" s="57" t="s">
        <v>1757</v>
      </c>
      <c r="O1" s="57" t="s">
        <v>1758</v>
      </c>
      <c r="P1" s="57" t="s">
        <v>1760</v>
      </c>
      <c r="Q1" s="57" t="s">
        <v>1761</v>
      </c>
      <c r="R1" s="57" t="s">
        <v>1762</v>
      </c>
      <c r="S1" s="57" t="s">
        <v>1813</v>
      </c>
      <c r="T1" s="58"/>
      <c r="U1" s="59" t="s">
        <v>1814</v>
      </c>
      <c r="V1" s="60" t="s">
        <v>1815</v>
      </c>
    </row>
    <row r="2" ht="17.5" spans="1:22">
      <c r="F2" s="57" t="s">
        <v>831</v>
      </c>
      <c r="G2" s="57" t="s">
        <v>1816</v>
      </c>
      <c r="H2" s="57" t="s">
        <v>523</v>
      </c>
      <c r="I2" s="57" t="s">
        <v>1163</v>
      </c>
      <c r="J2" s="57" t="s">
        <v>1164</v>
      </c>
      <c r="K2" s="57" t="s">
        <v>1165</v>
      </c>
      <c r="L2" s="57" t="s">
        <v>1166</v>
      </c>
      <c r="M2" s="57" t="s">
        <v>1817</v>
      </c>
      <c r="N2" s="57" t="s">
        <v>1167</v>
      </c>
      <c r="O2" s="57" t="s">
        <v>7</v>
      </c>
      <c r="P2" s="57" t="s">
        <v>1168</v>
      </c>
      <c r="Q2" s="57" t="s">
        <v>1168</v>
      </c>
      <c r="R2" s="57" t="s">
        <v>8</v>
      </c>
      <c r="S2" s="57" t="s">
        <v>831</v>
      </c>
      <c r="T2" s="57" t="s">
        <v>16</v>
      </c>
      <c r="U2" s="59"/>
      <c r="V2" s="60"/>
    </row>
    <row r="3" ht="18" spans="1:22">
      <c r="A3" s="61" t="s">
        <v>510</v>
      </c>
      <c r="B3" s="62"/>
      <c r="C3" s="63"/>
      <c r="D3" s="64"/>
      <c r="E3" s="64" t="s">
        <v>1818</v>
      </c>
      <c r="F3" s="65">
        <v>79039.64</v>
      </c>
      <c r="G3" s="65"/>
      <c r="H3" s="65">
        <f t="shared" ref="H3:H10" si="0">F3*300%</f>
        <v>237118.92</v>
      </c>
      <c r="I3" s="65">
        <f t="shared" ref="I3:I10" si="1">F3*7.5%</f>
        <v>5927.973</v>
      </c>
      <c r="J3" s="65">
        <v>80244.38</v>
      </c>
      <c r="K3" s="65">
        <f t="shared" ref="K3:K10" si="2">F3*50%</f>
        <v>39519.82</v>
      </c>
      <c r="L3" s="65">
        <f t="shared" ref="L3:L10" si="3">F3*350%</f>
        <v>276638.74</v>
      </c>
      <c r="M3" s="65">
        <v>0</v>
      </c>
      <c r="N3" s="65">
        <f t="shared" ref="N3:N10" si="4">F3*100%</f>
        <v>79039.64</v>
      </c>
      <c r="O3" s="65">
        <f t="shared" ref="O3:O10" si="5">F3*10%</f>
        <v>7903.964</v>
      </c>
      <c r="P3" s="65">
        <v>20000</v>
      </c>
      <c r="Q3" s="65">
        <v>0</v>
      </c>
      <c r="R3" s="65">
        <f t="shared" ref="R3:R10" si="6">SUM(F3:Q3)</f>
        <v>825433.077</v>
      </c>
      <c r="S3" s="65"/>
      <c r="T3" s="66"/>
      <c r="U3" s="67"/>
    </row>
    <row r="4" ht="18" spans="1:22">
      <c r="A4" s="61" t="s">
        <v>142</v>
      </c>
      <c r="B4" s="62"/>
      <c r="C4" s="63"/>
      <c r="D4" s="64"/>
      <c r="E4" s="64" t="s">
        <v>1819</v>
      </c>
      <c r="F4" s="65">
        <v>36784.71</v>
      </c>
      <c r="G4" s="65"/>
      <c r="H4" s="65">
        <f t="shared" si="0"/>
        <v>110354.13</v>
      </c>
      <c r="I4" s="65">
        <f t="shared" si="1"/>
        <v>2758.85325</v>
      </c>
      <c r="J4" s="65">
        <v>80244.38</v>
      </c>
      <c r="K4" s="65">
        <f t="shared" si="2"/>
        <v>18392.355</v>
      </c>
      <c r="L4" s="65">
        <f t="shared" si="3"/>
        <v>128746.485</v>
      </c>
      <c r="M4" s="65"/>
      <c r="N4" s="65">
        <f t="shared" si="4"/>
        <v>36784.71</v>
      </c>
      <c r="O4" s="65">
        <f t="shared" si="5"/>
        <v>3678.471</v>
      </c>
      <c r="P4" s="65">
        <v>20000</v>
      </c>
      <c r="Q4" s="65">
        <v>0</v>
      </c>
      <c r="R4" s="65">
        <f t="shared" si="6"/>
        <v>437744.09425</v>
      </c>
      <c r="S4" s="65"/>
      <c r="T4" s="66"/>
      <c r="U4" s="67"/>
    </row>
    <row r="5" ht="18" spans="1:22">
      <c r="A5" s="68" t="s">
        <v>46</v>
      </c>
      <c r="B5" s="69"/>
      <c r="C5" s="70"/>
      <c r="D5" s="71"/>
      <c r="E5" s="72" t="s">
        <v>600</v>
      </c>
      <c r="F5" s="65">
        <v>24975.81</v>
      </c>
      <c r="G5" s="65">
        <v>0</v>
      </c>
      <c r="H5" s="65">
        <f t="shared" si="0"/>
        <v>74927.43</v>
      </c>
      <c r="I5" s="65">
        <f t="shared" si="1"/>
        <v>1873.18575</v>
      </c>
      <c r="J5" s="65">
        <v>0</v>
      </c>
      <c r="K5" s="65">
        <f t="shared" si="2"/>
        <v>12487.905</v>
      </c>
      <c r="L5" s="65">
        <f t="shared" si="3"/>
        <v>87415.335</v>
      </c>
      <c r="M5" s="65">
        <v>0</v>
      </c>
      <c r="N5" s="65">
        <f t="shared" si="4"/>
        <v>24975.81</v>
      </c>
      <c r="O5" s="65">
        <v>100000</v>
      </c>
      <c r="P5" s="65">
        <f>F5*10%</f>
        <v>2497.581</v>
      </c>
      <c r="Q5" s="65">
        <v>20000</v>
      </c>
      <c r="R5" s="65">
        <v>0</v>
      </c>
      <c r="S5" s="65">
        <f>SUM(F5:R5)</f>
        <v>349153.05675</v>
      </c>
      <c r="T5" s="65">
        <v>0</v>
      </c>
      <c r="U5" s="73">
        <f>S5-T5</f>
        <v>349153.05675</v>
      </c>
      <c r="V5" s="65">
        <v>344720.6</v>
      </c>
    </row>
    <row r="6" ht="18" spans="1:22">
      <c r="A6" s="61" t="s">
        <v>927</v>
      </c>
      <c r="B6" s="62"/>
      <c r="C6" s="63"/>
      <c r="D6" s="64"/>
      <c r="E6" s="64" t="s">
        <v>711</v>
      </c>
      <c r="F6" s="65">
        <v>23891.12</v>
      </c>
      <c r="G6" s="65"/>
      <c r="H6" s="65">
        <f t="shared" si="0"/>
        <v>71673.36</v>
      </c>
      <c r="I6" s="65">
        <f t="shared" si="1"/>
        <v>1791.834</v>
      </c>
      <c r="J6" s="65">
        <v>0</v>
      </c>
      <c r="K6" s="65">
        <f t="shared" si="2"/>
        <v>11945.56</v>
      </c>
      <c r="L6" s="65">
        <f t="shared" si="3"/>
        <v>83618.92</v>
      </c>
      <c r="M6" s="65">
        <v>0</v>
      </c>
      <c r="N6" s="65">
        <f t="shared" si="4"/>
        <v>23891.12</v>
      </c>
      <c r="O6" s="65">
        <f t="shared" si="5"/>
        <v>2389.112</v>
      </c>
      <c r="P6" s="65">
        <v>15000</v>
      </c>
      <c r="Q6" s="65">
        <v>0</v>
      </c>
      <c r="R6" s="65">
        <f t="shared" si="6"/>
        <v>234201.026</v>
      </c>
      <c r="S6" s="65"/>
      <c r="T6" s="66"/>
      <c r="U6" s="67"/>
    </row>
    <row r="7" ht="18" spans="1:22">
      <c r="A7" s="61" t="s">
        <v>1820</v>
      </c>
      <c r="B7" s="62"/>
      <c r="C7" s="63"/>
      <c r="D7" s="64"/>
      <c r="E7" s="64" t="s">
        <v>1032</v>
      </c>
      <c r="F7" s="65">
        <v>21293.96</v>
      </c>
      <c r="G7" s="65"/>
      <c r="H7" s="65">
        <f t="shared" si="0"/>
        <v>63881.88</v>
      </c>
      <c r="I7" s="65">
        <f t="shared" si="1"/>
        <v>1597.047</v>
      </c>
      <c r="J7" s="65">
        <v>0</v>
      </c>
      <c r="K7" s="65">
        <f t="shared" si="2"/>
        <v>10646.98</v>
      </c>
      <c r="L7" s="65">
        <f t="shared" si="3"/>
        <v>74528.86</v>
      </c>
      <c r="M7" s="65">
        <v>0</v>
      </c>
      <c r="N7" s="65">
        <f t="shared" si="4"/>
        <v>21293.96</v>
      </c>
      <c r="O7" s="65">
        <f t="shared" si="5"/>
        <v>2129.396</v>
      </c>
      <c r="P7" s="65">
        <v>10000</v>
      </c>
      <c r="Q7" s="65">
        <v>0</v>
      </c>
      <c r="R7" s="65">
        <f t="shared" si="6"/>
        <v>205372.083</v>
      </c>
      <c r="S7" s="65"/>
      <c r="T7" s="66"/>
      <c r="U7" s="67"/>
    </row>
    <row r="8" ht="18" spans="1:22">
      <c r="A8" s="61" t="s">
        <v>152</v>
      </c>
      <c r="B8" s="62"/>
      <c r="C8" s="63"/>
      <c r="D8" s="64"/>
      <c r="E8" s="64" t="s">
        <v>1821</v>
      </c>
      <c r="F8" s="65">
        <v>17286.33</v>
      </c>
      <c r="G8" s="65"/>
      <c r="H8" s="65">
        <f t="shared" si="0"/>
        <v>51858.99</v>
      </c>
      <c r="I8" s="65">
        <f t="shared" si="1"/>
        <v>1296.47475</v>
      </c>
      <c r="J8" s="65">
        <v>0</v>
      </c>
      <c r="K8" s="65">
        <f t="shared" si="2"/>
        <v>8643.165</v>
      </c>
      <c r="L8" s="65">
        <f t="shared" si="3"/>
        <v>60502.155</v>
      </c>
      <c r="M8" s="65">
        <v>0</v>
      </c>
      <c r="N8" s="65">
        <f t="shared" si="4"/>
        <v>17286.33</v>
      </c>
      <c r="O8" s="65">
        <f t="shared" si="5"/>
        <v>1728.633</v>
      </c>
      <c r="P8" s="65">
        <v>10000</v>
      </c>
      <c r="Q8" s="65">
        <v>0</v>
      </c>
      <c r="R8" s="65">
        <f t="shared" si="6"/>
        <v>168602.07775</v>
      </c>
      <c r="S8" s="65"/>
      <c r="T8" s="66"/>
      <c r="U8" s="67"/>
    </row>
    <row r="9" ht="18" spans="1:22">
      <c r="A9" s="61" t="s">
        <v>1822</v>
      </c>
      <c r="B9" s="62"/>
      <c r="C9" s="63"/>
      <c r="D9" s="64"/>
      <c r="E9" s="64" t="s">
        <v>1823</v>
      </c>
      <c r="F9" s="65">
        <v>14736.14</v>
      </c>
      <c r="G9" s="65"/>
      <c r="H9" s="65">
        <f t="shared" si="0"/>
        <v>44208.42</v>
      </c>
      <c r="I9" s="65">
        <f t="shared" si="1"/>
        <v>1105.2105</v>
      </c>
      <c r="J9" s="65">
        <v>0</v>
      </c>
      <c r="K9" s="65">
        <f t="shared" si="2"/>
        <v>7368.07</v>
      </c>
      <c r="L9" s="65">
        <f t="shared" si="3"/>
        <v>51576.49</v>
      </c>
      <c r="M9" s="65">
        <v>0</v>
      </c>
      <c r="N9" s="65">
        <f t="shared" si="4"/>
        <v>14736.14</v>
      </c>
      <c r="O9" s="65">
        <f t="shared" si="5"/>
        <v>1473.614</v>
      </c>
      <c r="P9" s="65">
        <v>10000</v>
      </c>
      <c r="Q9" s="65">
        <v>0</v>
      </c>
      <c r="R9" s="65">
        <f t="shared" si="6"/>
        <v>145204.0845</v>
      </c>
      <c r="S9" s="65"/>
      <c r="T9" s="66"/>
      <c r="U9" s="67"/>
    </row>
    <row r="10" ht="18" spans="1:22">
      <c r="A10" s="61"/>
      <c r="B10" s="62"/>
      <c r="C10" s="63"/>
      <c r="D10" s="64"/>
      <c r="E10" s="64" t="s">
        <v>1824</v>
      </c>
      <c r="F10" s="65">
        <v>12351.94</v>
      </c>
      <c r="G10" s="65"/>
      <c r="H10" s="65">
        <f t="shared" si="0"/>
        <v>37055.82</v>
      </c>
      <c r="I10" s="65">
        <f t="shared" si="1"/>
        <v>926.3955</v>
      </c>
      <c r="J10" s="65">
        <v>0</v>
      </c>
      <c r="K10" s="65">
        <f t="shared" si="2"/>
        <v>6175.97</v>
      </c>
      <c r="L10" s="65">
        <f t="shared" si="3"/>
        <v>43231.79</v>
      </c>
      <c r="M10" s="65">
        <v>0</v>
      </c>
      <c r="N10" s="65">
        <f t="shared" si="4"/>
        <v>12351.94</v>
      </c>
      <c r="O10" s="65">
        <f t="shared" si="5"/>
        <v>1235.194</v>
      </c>
      <c r="P10" s="65">
        <v>10000</v>
      </c>
      <c r="Q10" s="65">
        <v>0</v>
      </c>
      <c r="R10" s="65">
        <f t="shared" si="6"/>
        <v>123329.0495</v>
      </c>
      <c r="S10" s="65"/>
      <c r="T10" s="66"/>
      <c r="U10" s="67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1825</v>
      </c>
      <c r="B1" s="47"/>
      <c r="C1" s="47"/>
      <c r="D1" s="47"/>
      <c r="E1" s="47"/>
      <c r="F1" s="47"/>
    </row>
    <row r="2" ht="17.5" spans="1:6">
      <c r="A2" s="41" t="s">
        <v>1826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1786</v>
      </c>
      <c r="E3" s="49" t="s">
        <v>1787</v>
      </c>
      <c r="F3" s="50"/>
    </row>
    <row r="4" ht="18" spans="1:6">
      <c r="A4" s="48" t="s">
        <v>1788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1789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1790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1791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1792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1793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1795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1794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1796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1797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1827</v>
      </c>
      <c r="B1" s="41"/>
      <c r="C1" s="41"/>
    </row>
    <row r="2" ht="17.5" spans="1:3">
      <c r="A2" s="41" t="s">
        <v>1802</v>
      </c>
      <c r="B2" s="41"/>
      <c r="C2" s="41"/>
    </row>
    <row r="3" ht="17.5" spans="1:3">
      <c r="A3" s="42"/>
      <c r="B3" s="42" t="s">
        <v>1786</v>
      </c>
      <c r="C3" s="42" t="s">
        <v>1787</v>
      </c>
    </row>
    <row r="4" ht="18" spans="1:3">
      <c r="A4" s="43" t="s">
        <v>1788</v>
      </c>
      <c r="B4" s="44">
        <f>C4*12</f>
        <v>475947</v>
      </c>
      <c r="C4" s="44">
        <v>39662.25</v>
      </c>
    </row>
    <row r="5" ht="18" spans="1:3">
      <c r="A5" s="43" t="s">
        <v>1789</v>
      </c>
      <c r="B5" s="44">
        <f t="shared" ref="B5:B13" si="0">C5*12</f>
        <v>1427841</v>
      </c>
      <c r="C5" s="44">
        <v>118986.75</v>
      </c>
    </row>
    <row r="6" ht="18" spans="1:3">
      <c r="A6" s="43" t="s">
        <v>1790</v>
      </c>
      <c r="B6" s="44">
        <f t="shared" si="0"/>
        <v>35696.04</v>
      </c>
      <c r="C6" s="44">
        <v>2974.67</v>
      </c>
    </row>
    <row r="7" ht="18" spans="1:3">
      <c r="A7" s="43" t="s">
        <v>1791</v>
      </c>
      <c r="B7" s="44" t="e">
        <f t="shared" si="0"/>
        <v>#REF!</v>
      </c>
      <c r="C7" s="44" t="e">
        <f>'APRIL 2026'!#REF!</f>
        <v>#REF!</v>
      </c>
    </row>
    <row r="8" ht="18" spans="1:3">
      <c r="A8" s="43" t="s">
        <v>1792</v>
      </c>
      <c r="B8" s="44">
        <f t="shared" si="0"/>
        <v>237973.56</v>
      </c>
      <c r="C8" s="44">
        <v>19831.13</v>
      </c>
    </row>
    <row r="9" ht="18" spans="1:3">
      <c r="A9" s="43" t="s">
        <v>1793</v>
      </c>
      <c r="B9" s="44">
        <f t="shared" si="0"/>
        <v>1665814.56</v>
      </c>
      <c r="C9" s="44">
        <v>138817.88</v>
      </c>
    </row>
    <row r="10" ht="18" spans="1:3">
      <c r="A10" s="43" t="s">
        <v>1795</v>
      </c>
      <c r="B10" s="44">
        <f t="shared" si="0"/>
        <v>475947</v>
      </c>
      <c r="C10" s="44">
        <v>39662.25</v>
      </c>
    </row>
    <row r="11" ht="18" spans="1:3">
      <c r="A11" s="43" t="s">
        <v>1794</v>
      </c>
      <c r="B11" s="44">
        <f t="shared" si="0"/>
        <v>0</v>
      </c>
      <c r="C11" s="44">
        <v>0</v>
      </c>
    </row>
    <row r="12" ht="18" spans="1:3">
      <c r="A12" s="43" t="s">
        <v>1796</v>
      </c>
      <c r="B12" s="44">
        <f t="shared" si="0"/>
        <v>47594.76</v>
      </c>
      <c r="C12" s="44">
        <v>3966.23</v>
      </c>
    </row>
    <row r="13" ht="18" spans="1:3">
      <c r="A13" s="43" t="s">
        <v>1797</v>
      </c>
      <c r="B13" s="44" t="e">
        <f t="shared" si="0"/>
        <v>#REF!</v>
      </c>
      <c r="C13" s="44" t="e">
        <f>'APRIL 2026'!#REF!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22</v>
      </c>
      <c r="B3" s="36" t="s">
        <v>4</v>
      </c>
      <c r="C3" s="36" t="s">
        <v>1828</v>
      </c>
      <c r="D3" s="37" t="s">
        <v>21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4">
      <c r="A44" s="38">
        <v>41</v>
      </c>
      <c r="B44" s="38">
        <v>7</v>
      </c>
      <c r="C44" s="38">
        <v>10</v>
      </c>
    </row>
    <row r="45" ht="15" spans="1:4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1:4">
      <c r="B58" s="38">
        <v>4</v>
      </c>
      <c r="C58" s="38">
        <v>11</v>
      </c>
      <c r="D58" s="39">
        <v>4836.3</v>
      </c>
    </row>
    <row r="59" ht="15" spans="1:4">
      <c r="B59" s="38">
        <v>4</v>
      </c>
      <c r="C59" s="38">
        <v>8</v>
      </c>
      <c r="D59" s="39">
        <v>4248.51</v>
      </c>
    </row>
    <row r="60" ht="15" spans="1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5">
      <c r="A1" s="2" t="s">
        <v>0</v>
      </c>
      <c r="B1" s="2"/>
      <c r="C1" s="2"/>
      <c r="D1" s="2"/>
    </row>
    <row r="2" ht="33.75" customHeight="1" spans="1:5">
      <c r="A2" s="3" t="s">
        <v>1829</v>
      </c>
      <c r="B2" s="3"/>
      <c r="C2" s="3"/>
      <c r="D2" s="3"/>
    </row>
    <row r="3" ht="9.75" customHeight="1"/>
    <row r="4" ht="33" customHeight="1" spans="1:5">
      <c r="A4" s="4"/>
      <c r="B4" s="5" t="s">
        <v>2</v>
      </c>
      <c r="C4" s="6" t="s">
        <v>3</v>
      </c>
      <c r="D4" s="7" t="s">
        <v>4</v>
      </c>
    </row>
    <row r="5" ht="17.25" customHeight="1" spans="1:5">
      <c r="C5" s="8"/>
      <c r="D5" s="8"/>
    </row>
    <row r="6" customHeight="1" spans="1:5">
      <c r="A6" s="9" t="s">
        <v>22</v>
      </c>
      <c r="B6" s="8" t="s">
        <v>23</v>
      </c>
      <c r="C6" s="8"/>
      <c r="D6" s="8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13"/>
    </row>
    <row r="8" customHeight="1" spans="1:5">
      <c r="A8" s="10">
        <v>2</v>
      </c>
      <c r="B8" s="11" t="s">
        <v>1592</v>
      </c>
      <c r="C8" s="4" t="s">
        <v>1593</v>
      </c>
      <c r="D8" s="10" t="s">
        <v>36</v>
      </c>
      <c r="E8" s="13"/>
    </row>
    <row r="9" customHeight="1" spans="1:5">
      <c r="A9" s="10">
        <v>3</v>
      </c>
      <c r="B9" s="11" t="s">
        <v>27</v>
      </c>
      <c r="C9" s="12" t="s">
        <v>28</v>
      </c>
      <c r="D9" s="10" t="s">
        <v>29</v>
      </c>
      <c r="E9" s="13"/>
    </row>
    <row r="10" customHeight="1" spans="1:5">
      <c r="A10" s="10">
        <v>4</v>
      </c>
      <c r="B10" s="14" t="s">
        <v>30</v>
      </c>
      <c r="C10" s="4" t="s">
        <v>31</v>
      </c>
      <c r="D10" s="15" t="s">
        <v>210</v>
      </c>
      <c r="E10" s="13"/>
    </row>
    <row r="11" customHeight="1" spans="1:5">
      <c r="A11" s="10">
        <v>5</v>
      </c>
      <c r="B11" s="14" t="s">
        <v>227</v>
      </c>
      <c r="C11" s="4" t="s">
        <v>1594</v>
      </c>
      <c r="D11" s="16" t="s">
        <v>210</v>
      </c>
      <c r="E11" s="13"/>
    </row>
    <row r="12" customHeight="1" spans="1:5">
      <c r="A12" s="10">
        <v>6</v>
      </c>
      <c r="B12" s="11" t="s">
        <v>32</v>
      </c>
      <c r="C12" s="17" t="s">
        <v>33</v>
      </c>
      <c r="D12" s="16" t="s">
        <v>210</v>
      </c>
      <c r="E12" s="13"/>
    </row>
    <row r="13" customHeight="1" spans="1:5">
      <c r="A13" s="10">
        <v>7</v>
      </c>
      <c r="B13" s="14" t="s">
        <v>300</v>
      </c>
      <c r="C13" s="4" t="s">
        <v>907</v>
      </c>
      <c r="D13" s="16" t="s">
        <v>210</v>
      </c>
      <c r="E13" s="13"/>
    </row>
    <row r="14" customHeight="1" spans="1:5">
      <c r="A14" s="10">
        <v>8</v>
      </c>
      <c r="B14" s="11" t="s">
        <v>34</v>
      </c>
      <c r="C14" s="12" t="s">
        <v>910</v>
      </c>
      <c r="D14" s="15" t="s">
        <v>39</v>
      </c>
      <c r="E14" s="13"/>
    </row>
    <row r="15" customHeight="1" spans="1:5">
      <c r="A15" s="10">
        <v>9</v>
      </c>
      <c r="B15" s="18" t="s">
        <v>186</v>
      </c>
      <c r="C15" s="12" t="s">
        <v>926</v>
      </c>
      <c r="D15" s="10" t="s">
        <v>925</v>
      </c>
      <c r="E15" s="13"/>
    </row>
    <row r="16" customHeight="1" spans="1:5">
      <c r="A16" s="10">
        <v>10</v>
      </c>
      <c r="B16" s="19" t="s">
        <v>1678</v>
      </c>
      <c r="C16" s="4" t="s">
        <v>1679</v>
      </c>
      <c r="D16" s="16" t="s">
        <v>47</v>
      </c>
      <c r="E16" s="13"/>
    </row>
    <row r="17" ht="19.5" customHeight="1" spans="1:5">
      <c r="A17" s="10">
        <v>11</v>
      </c>
      <c r="B17" s="14" t="s">
        <v>1595</v>
      </c>
      <c r="C17" s="4" t="s">
        <v>643</v>
      </c>
      <c r="D17" s="10" t="s">
        <v>47</v>
      </c>
      <c r="E17" s="13"/>
    </row>
    <row r="18" ht="19.5" customHeight="1" spans="1:5">
      <c r="A18" s="10">
        <v>12</v>
      </c>
      <c r="B18" s="14" t="s">
        <v>1680</v>
      </c>
      <c r="C18" s="4" t="s">
        <v>1681</v>
      </c>
      <c r="D18" s="10" t="s">
        <v>47</v>
      </c>
      <c r="E18" s="13"/>
    </row>
    <row r="19" customHeight="1" spans="1:5">
      <c r="A19" s="10">
        <v>13</v>
      </c>
      <c r="B19" s="11" t="s">
        <v>40</v>
      </c>
      <c r="C19" s="4" t="s">
        <v>643</v>
      </c>
      <c r="D19" s="15" t="s">
        <v>47</v>
      </c>
      <c r="E19" s="13"/>
    </row>
    <row r="20" customHeight="1" spans="1:5">
      <c r="A20" s="10">
        <v>14</v>
      </c>
      <c r="B20" s="11" t="s">
        <v>51</v>
      </c>
      <c r="C20" s="12" t="s">
        <v>61</v>
      </c>
      <c r="D20" s="15" t="s">
        <v>218</v>
      </c>
      <c r="E20" s="13"/>
    </row>
    <row r="21" customHeight="1" spans="1:5">
      <c r="A21" s="10">
        <v>15</v>
      </c>
      <c r="B21" s="18" t="s">
        <v>54</v>
      </c>
      <c r="C21" s="4" t="s">
        <v>55</v>
      </c>
      <c r="D21" s="15" t="s">
        <v>602</v>
      </c>
      <c r="E21" s="13"/>
    </row>
    <row r="22" customHeight="1" spans="1:5">
      <c r="A22" s="10">
        <v>16</v>
      </c>
      <c r="B22" s="11" t="s">
        <v>193</v>
      </c>
      <c r="C22" s="12" t="s">
        <v>929</v>
      </c>
      <c r="D22" s="15" t="s">
        <v>70</v>
      </c>
      <c r="E22" s="13"/>
    </row>
    <row r="23" ht="18.75" customHeight="1" spans="1:5">
      <c r="A23" s="10">
        <v>17</v>
      </c>
      <c r="B23" s="11" t="s">
        <v>65</v>
      </c>
      <c r="C23" s="12" t="s">
        <v>178</v>
      </c>
      <c r="D23" s="15" t="s">
        <v>131</v>
      </c>
      <c r="E23" s="13"/>
    </row>
    <row r="24" ht="18.75" customHeight="1" spans="1:5">
      <c r="A24" s="10">
        <v>18</v>
      </c>
      <c r="B24" s="18" t="s">
        <v>1682</v>
      </c>
      <c r="C24" s="12" t="s">
        <v>104</v>
      </c>
      <c r="D24" s="15" t="s">
        <v>78</v>
      </c>
      <c r="E24" s="13"/>
    </row>
    <row r="25" ht="18.75" customHeight="1" spans="1:5">
      <c r="A25" s="10">
        <v>19</v>
      </c>
      <c r="B25" s="4" t="s">
        <v>478</v>
      </c>
      <c r="C25" s="4" t="s">
        <v>94</v>
      </c>
      <c r="D25" s="10" t="s">
        <v>99</v>
      </c>
      <c r="E25" s="13"/>
    </row>
    <row r="26" ht="18.75" customHeight="1" spans="1:5">
      <c r="A26" s="10">
        <v>20</v>
      </c>
      <c r="B26" s="18" t="s">
        <v>79</v>
      </c>
      <c r="C26" s="12" t="s">
        <v>94</v>
      </c>
      <c r="D26" s="15" t="s">
        <v>99</v>
      </c>
      <c r="E26" s="13"/>
    </row>
    <row r="27" ht="18.75" customHeight="1" spans="1:5">
      <c r="A27" s="10">
        <v>21</v>
      </c>
      <c r="B27" s="11" t="s">
        <v>1596</v>
      </c>
      <c r="C27" s="12" t="s">
        <v>1597</v>
      </c>
      <c r="D27" s="15" t="s">
        <v>99</v>
      </c>
      <c r="E27" s="13"/>
    </row>
    <row r="28" ht="18.75" customHeight="1" spans="1:5">
      <c r="A28" s="10">
        <v>22</v>
      </c>
      <c r="B28" s="18" t="s">
        <v>84</v>
      </c>
      <c r="C28" s="12" t="s">
        <v>1544</v>
      </c>
      <c r="D28" s="15" t="s">
        <v>105</v>
      </c>
      <c r="E28" s="13"/>
    </row>
    <row r="29" ht="18.75" customHeight="1" spans="1:5">
      <c r="A29" s="10">
        <v>23</v>
      </c>
      <c r="B29" s="18" t="s">
        <v>87</v>
      </c>
      <c r="C29" s="4" t="s">
        <v>1598</v>
      </c>
      <c r="D29" s="10" t="s">
        <v>105</v>
      </c>
      <c r="E29" s="13"/>
    </row>
    <row r="30" ht="18.75" customHeight="1" spans="1:5">
      <c r="A30" s="10">
        <v>24</v>
      </c>
      <c r="B30" s="18" t="s">
        <v>91</v>
      </c>
      <c r="C30" s="17" t="s">
        <v>646</v>
      </c>
      <c r="D30" s="15" t="s">
        <v>99</v>
      </c>
      <c r="E30" s="13"/>
    </row>
    <row r="31" ht="18.75" customHeight="1" spans="1:5">
      <c r="A31" s="10">
        <v>25</v>
      </c>
      <c r="B31" s="18" t="s">
        <v>95</v>
      </c>
      <c r="C31" s="4" t="s">
        <v>647</v>
      </c>
      <c r="D31" s="10" t="s">
        <v>111</v>
      </c>
      <c r="E31" s="13"/>
    </row>
    <row r="32" ht="18.75" customHeight="1" spans="1:5">
      <c r="A32" s="10">
        <v>26</v>
      </c>
      <c r="B32" s="18" t="s">
        <v>1525</v>
      </c>
      <c r="C32" s="12" t="s">
        <v>104</v>
      </c>
      <c r="D32" s="15" t="s">
        <v>111</v>
      </c>
      <c r="E32" s="13"/>
    </row>
    <row r="33" ht="18.75" customHeight="1" spans="1:5">
      <c r="A33" s="10">
        <v>27</v>
      </c>
      <c r="B33" s="18" t="s">
        <v>1683</v>
      </c>
      <c r="C33" s="12" t="s">
        <v>104</v>
      </c>
      <c r="D33" s="15" t="s">
        <v>111</v>
      </c>
      <c r="E33" s="13"/>
    </row>
    <row r="34" ht="18.75" customHeight="1" spans="1:5">
      <c r="A34" s="10">
        <v>28</v>
      </c>
      <c r="B34" s="18" t="s">
        <v>296</v>
      </c>
      <c r="C34" s="12" t="s">
        <v>291</v>
      </c>
      <c r="D34" s="15" t="s">
        <v>275</v>
      </c>
      <c r="E34" s="13"/>
    </row>
    <row r="35" ht="20.25" customHeight="1" spans="1:5">
      <c r="A35" s="10"/>
      <c r="B35" s="20" t="s">
        <v>120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121</v>
      </c>
      <c r="C37" s="4"/>
      <c r="D37" s="15"/>
      <c r="E37" s="13"/>
    </row>
    <row r="38" ht="18.75" customHeight="1" spans="1:5">
      <c r="A38" s="10">
        <v>1</v>
      </c>
      <c r="B38" s="18" t="s">
        <v>122</v>
      </c>
      <c r="C38" s="4" t="s">
        <v>123</v>
      </c>
      <c r="D38" s="10" t="s">
        <v>124</v>
      </c>
      <c r="E38" s="13"/>
    </row>
    <row r="39" ht="18.75" customHeight="1" spans="1:5">
      <c r="A39" s="10">
        <v>2</v>
      </c>
      <c r="B39" s="18" t="s">
        <v>127</v>
      </c>
      <c r="C39" s="4" t="s">
        <v>1137</v>
      </c>
      <c r="D39" s="10" t="s">
        <v>275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137</v>
      </c>
      <c r="C42" s="5"/>
      <c r="D42" s="24"/>
      <c r="E42" s="13"/>
    </row>
    <row r="43" customHeight="1" spans="1:5">
      <c r="A43" s="10">
        <v>1</v>
      </c>
      <c r="B43" s="11" t="s">
        <v>912</v>
      </c>
      <c r="C43" s="4" t="s">
        <v>913</v>
      </c>
      <c r="D43" s="10" t="s">
        <v>124</v>
      </c>
      <c r="E43" s="13"/>
    </row>
    <row r="44" customHeight="1" spans="1:5">
      <c r="A44" s="10">
        <v>2</v>
      </c>
      <c r="B44" s="11" t="s">
        <v>914</v>
      </c>
      <c r="C44" s="4" t="s">
        <v>44</v>
      </c>
      <c r="D44" s="10" t="s">
        <v>39</v>
      </c>
      <c r="E44" s="13"/>
    </row>
    <row r="45" customHeight="1" spans="1:5">
      <c r="A45" s="10">
        <v>3</v>
      </c>
      <c r="B45" s="11" t="s">
        <v>138</v>
      </c>
      <c r="C45" s="4" t="s">
        <v>145</v>
      </c>
      <c r="D45" s="10" t="s">
        <v>39</v>
      </c>
      <c r="E45" s="13"/>
    </row>
    <row r="46" customHeight="1" spans="1:5">
      <c r="A46" s="10">
        <v>4</v>
      </c>
      <c r="B46" s="11" t="s">
        <v>141</v>
      </c>
      <c r="C46" s="4" t="s">
        <v>145</v>
      </c>
      <c r="D46" s="10" t="s">
        <v>39</v>
      </c>
      <c r="E46" s="13"/>
    </row>
    <row r="47" customHeight="1" spans="1:5">
      <c r="A47" s="10">
        <v>5</v>
      </c>
      <c r="B47" s="11" t="s">
        <v>144</v>
      </c>
      <c r="C47" s="4" t="s">
        <v>145</v>
      </c>
      <c r="D47" s="10" t="s">
        <v>50</v>
      </c>
      <c r="E47" s="13"/>
    </row>
    <row r="48" customHeight="1" spans="1:5">
      <c r="A48" s="10">
        <v>6</v>
      </c>
      <c r="B48" s="11" t="s">
        <v>146</v>
      </c>
      <c r="C48" s="4" t="s">
        <v>46</v>
      </c>
      <c r="D48" s="10" t="s">
        <v>47</v>
      </c>
      <c r="E48" s="13"/>
    </row>
    <row r="49" customHeight="1" spans="1:5">
      <c r="A49" s="10">
        <v>7</v>
      </c>
      <c r="B49" s="14" t="s">
        <v>147</v>
      </c>
      <c r="C49" s="4" t="s">
        <v>52</v>
      </c>
      <c r="D49" s="16" t="s">
        <v>47</v>
      </c>
      <c r="E49" s="13"/>
    </row>
    <row r="50" customHeight="1" spans="1:5">
      <c r="A50" s="10">
        <v>8</v>
      </c>
      <c r="B50" s="11" t="s">
        <v>1601</v>
      </c>
      <c r="C50" s="4" t="s">
        <v>52</v>
      </c>
      <c r="D50" s="10" t="s">
        <v>214</v>
      </c>
      <c r="E50" s="13"/>
    </row>
    <row r="51" customHeight="1" spans="1:5">
      <c r="A51" s="10">
        <v>9</v>
      </c>
      <c r="B51" s="11" t="s">
        <v>45</v>
      </c>
      <c r="C51" s="4" t="s">
        <v>927</v>
      </c>
      <c r="D51" s="10" t="s">
        <v>601</v>
      </c>
      <c r="E51" s="13"/>
    </row>
    <row r="52" customHeight="1" spans="1:5">
      <c r="A52" s="10">
        <v>10</v>
      </c>
      <c r="B52" s="11" t="s">
        <v>155</v>
      </c>
      <c r="C52" s="4" t="s">
        <v>152</v>
      </c>
      <c r="D52" s="10" t="s">
        <v>225</v>
      </c>
      <c r="E52" s="13"/>
    </row>
    <row r="53" customHeight="1" spans="1:5">
      <c r="A53" s="10">
        <v>11</v>
      </c>
      <c r="B53" s="11" t="s">
        <v>915</v>
      </c>
      <c r="C53" s="4" t="s">
        <v>152</v>
      </c>
      <c r="D53" s="10" t="s">
        <v>225</v>
      </c>
      <c r="E53" s="13"/>
    </row>
    <row r="54" customHeight="1" spans="1:5">
      <c r="A54" s="10">
        <v>12</v>
      </c>
      <c r="B54" s="11" t="s">
        <v>157</v>
      </c>
      <c r="C54" s="4" t="s">
        <v>152</v>
      </c>
      <c r="D54" s="10" t="s">
        <v>225</v>
      </c>
      <c r="E54" s="13"/>
    </row>
    <row r="55" ht="25.5" customHeight="1" spans="1:5">
      <c r="A55" s="10"/>
      <c r="B55" s="20" t="s">
        <v>120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159</v>
      </c>
      <c r="C57" s="21"/>
      <c r="D57" s="21"/>
      <c r="E57" s="13"/>
    </row>
    <row r="58" customHeight="1" spans="1:5">
      <c r="A58" s="10">
        <v>1</v>
      </c>
      <c r="B58" s="11" t="s">
        <v>916</v>
      </c>
      <c r="C58" s="12" t="s">
        <v>161</v>
      </c>
      <c r="D58" s="15" t="s">
        <v>124</v>
      </c>
      <c r="E58" s="13"/>
    </row>
    <row r="59" customHeight="1" spans="1:5">
      <c r="A59" s="10">
        <v>2</v>
      </c>
      <c r="B59" s="11" t="s">
        <v>162</v>
      </c>
      <c r="C59" s="12" t="s">
        <v>485</v>
      </c>
      <c r="D59" s="15" t="s">
        <v>925</v>
      </c>
      <c r="E59" s="13"/>
    </row>
    <row r="60" customHeight="1" spans="1:5">
      <c r="A60" s="10"/>
      <c r="B60" s="20" t="s">
        <v>120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164</v>
      </c>
      <c r="C62" s="21"/>
      <c r="D62" s="21"/>
      <c r="E62" s="13"/>
    </row>
    <row r="63" customHeight="1" spans="1:5">
      <c r="A63" s="10">
        <v>1</v>
      </c>
      <c r="B63" s="11" t="s">
        <v>917</v>
      </c>
      <c r="C63" s="17" t="s">
        <v>918</v>
      </c>
      <c r="D63" s="10" t="s">
        <v>124</v>
      </c>
      <c r="E63" s="13"/>
    </row>
    <row r="64" customHeight="1" spans="1:5">
      <c r="A64" s="10">
        <v>2</v>
      </c>
      <c r="B64" s="18" t="s">
        <v>919</v>
      </c>
      <c r="C64" s="17" t="s">
        <v>920</v>
      </c>
      <c r="D64" s="15" t="s">
        <v>1532</v>
      </c>
      <c r="E64" s="13"/>
    </row>
    <row r="65" customHeight="1" spans="1:5">
      <c r="A65" s="10">
        <v>3</v>
      </c>
      <c r="B65" s="11" t="s">
        <v>167</v>
      </c>
      <c r="C65" s="4" t="s">
        <v>217</v>
      </c>
      <c r="D65" s="10" t="s">
        <v>601</v>
      </c>
      <c r="E65" s="13"/>
    </row>
    <row r="66" customHeight="1" spans="1:5">
      <c r="A66" s="10">
        <v>4</v>
      </c>
      <c r="B66" s="18" t="s">
        <v>921</v>
      </c>
      <c r="C66" s="17" t="s">
        <v>217</v>
      </c>
      <c r="D66" s="15" t="s">
        <v>218</v>
      </c>
      <c r="E66" s="13"/>
    </row>
    <row r="67" customHeight="1" spans="1:5">
      <c r="A67" s="10">
        <v>5</v>
      </c>
      <c r="B67" s="14" t="s">
        <v>922</v>
      </c>
      <c r="C67" s="17" t="s">
        <v>52</v>
      </c>
      <c r="D67" s="15" t="s">
        <v>47</v>
      </c>
      <c r="E67" s="13"/>
    </row>
    <row r="68" customHeight="1" spans="1:5">
      <c r="A68" s="10">
        <v>6</v>
      </c>
      <c r="B68" s="14" t="s">
        <v>43</v>
      </c>
      <c r="C68" s="17" t="s">
        <v>52</v>
      </c>
      <c r="D68" s="15" t="s">
        <v>214</v>
      </c>
      <c r="E68" s="13"/>
    </row>
    <row r="69" customHeight="1" spans="1:5">
      <c r="A69" s="10">
        <v>7</v>
      </c>
      <c r="B69" s="11" t="s">
        <v>171</v>
      </c>
      <c r="C69" s="4" t="s">
        <v>152</v>
      </c>
      <c r="D69" s="10" t="s">
        <v>180</v>
      </c>
      <c r="E69" s="13"/>
    </row>
    <row r="70" customHeight="1" spans="1:5">
      <c r="A70" s="10">
        <v>8</v>
      </c>
      <c r="B70" s="11" t="s">
        <v>172</v>
      </c>
      <c r="C70" s="17" t="s">
        <v>72</v>
      </c>
      <c r="D70" s="15" t="s">
        <v>180</v>
      </c>
      <c r="E70" s="13"/>
    </row>
    <row r="71" customHeight="1" spans="1:5">
      <c r="A71" s="10">
        <v>9</v>
      </c>
      <c r="B71" s="11" t="s">
        <v>174</v>
      </c>
      <c r="C71" s="17" t="s">
        <v>72</v>
      </c>
      <c r="D71" s="15" t="s">
        <v>180</v>
      </c>
      <c r="E71" s="13"/>
    </row>
    <row r="72" customHeight="1" spans="1:5">
      <c r="A72" s="10">
        <v>10</v>
      </c>
      <c r="B72" s="11" t="s">
        <v>175</v>
      </c>
      <c r="C72" s="4" t="s">
        <v>649</v>
      </c>
      <c r="D72" s="10" t="s">
        <v>131</v>
      </c>
      <c r="E72" s="13"/>
    </row>
    <row r="73" customHeight="1" spans="1:5">
      <c r="A73" s="10">
        <v>11</v>
      </c>
      <c r="B73" s="11" t="s">
        <v>1684</v>
      </c>
      <c r="C73" s="17" t="s">
        <v>152</v>
      </c>
      <c r="D73" s="10" t="s">
        <v>75</v>
      </c>
      <c r="E73" s="13"/>
    </row>
    <row r="74" customHeight="1" spans="1:5">
      <c r="A74" s="10">
        <v>12</v>
      </c>
      <c r="B74" s="11" t="s">
        <v>82</v>
      </c>
      <c r="C74" s="17" t="s">
        <v>69</v>
      </c>
      <c r="D74" s="10" t="s">
        <v>99</v>
      </c>
      <c r="E74" s="13"/>
    </row>
    <row r="75" customHeight="1" spans="1:5">
      <c r="A75" s="10">
        <v>13</v>
      </c>
      <c r="B75" s="14" t="s">
        <v>68</v>
      </c>
      <c r="C75" s="17" t="s">
        <v>69</v>
      </c>
      <c r="D75" s="10" t="s">
        <v>111</v>
      </c>
      <c r="E75" s="13"/>
    </row>
    <row r="76" customHeight="1" spans="1:5">
      <c r="A76" s="10"/>
      <c r="B76" s="20" t="s">
        <v>120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183</v>
      </c>
      <c r="C78" s="21"/>
      <c r="D78" s="21"/>
      <c r="E78" s="13"/>
    </row>
    <row r="79" customHeight="1" spans="1:5">
      <c r="A79" s="10">
        <v>1</v>
      </c>
      <c r="B79" s="11" t="s">
        <v>184</v>
      </c>
      <c r="C79" s="4" t="s">
        <v>185</v>
      </c>
      <c r="D79" s="10" t="s">
        <v>124</v>
      </c>
      <c r="E79" s="13"/>
    </row>
    <row r="80" customHeight="1" spans="1:5">
      <c r="A80" s="10">
        <v>2</v>
      </c>
      <c r="B80" s="14" t="s">
        <v>923</v>
      </c>
      <c r="C80" s="4" t="s">
        <v>924</v>
      </c>
      <c r="D80" s="15" t="s">
        <v>1532</v>
      </c>
      <c r="E80" s="13"/>
    </row>
    <row r="81" customHeight="1" spans="1:5">
      <c r="A81" s="10">
        <v>3</v>
      </c>
      <c r="B81" s="14" t="s">
        <v>1685</v>
      </c>
      <c r="C81" s="4" t="s">
        <v>1686</v>
      </c>
      <c r="D81" s="15" t="s">
        <v>1532</v>
      </c>
      <c r="E81" s="13"/>
    </row>
    <row r="82" customHeight="1" spans="1:5">
      <c r="A82" s="10">
        <v>4</v>
      </c>
      <c r="B82" s="11" t="s">
        <v>190</v>
      </c>
      <c r="C82" s="4" t="s">
        <v>1545</v>
      </c>
      <c r="D82" s="15" t="s">
        <v>601</v>
      </c>
      <c r="E82" s="13"/>
    </row>
    <row r="83" customHeight="1" spans="1:5">
      <c r="A83" s="10">
        <v>5</v>
      </c>
      <c r="B83" s="11" t="s">
        <v>197</v>
      </c>
      <c r="C83" s="4" t="s">
        <v>182</v>
      </c>
      <c r="D83" s="10" t="s">
        <v>75</v>
      </c>
      <c r="E83" s="13"/>
    </row>
    <row r="84" customHeight="1" spans="1:5">
      <c r="A84" s="10"/>
      <c r="B84" s="20" t="s">
        <v>120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205</v>
      </c>
      <c r="C86" s="25"/>
      <c r="D86" s="21"/>
      <c r="E86" s="13"/>
    </row>
    <row r="87" customHeight="1" spans="1:5">
      <c r="A87" s="10">
        <v>1</v>
      </c>
      <c r="B87" s="11" t="s">
        <v>208</v>
      </c>
      <c r="C87" s="4" t="s">
        <v>145</v>
      </c>
      <c r="D87" s="10" t="s">
        <v>39</v>
      </c>
      <c r="E87" s="13"/>
    </row>
    <row r="88" customHeight="1" spans="1:5">
      <c r="A88" s="10">
        <v>2</v>
      </c>
      <c r="B88" s="11" t="s">
        <v>206</v>
      </c>
      <c r="C88" s="4" t="s">
        <v>145</v>
      </c>
      <c r="D88" s="10" t="s">
        <v>39</v>
      </c>
      <c r="E88" s="13"/>
    </row>
    <row r="89" customHeight="1" spans="1:5">
      <c r="A89" s="10">
        <v>3</v>
      </c>
      <c r="B89" s="14" t="s">
        <v>165</v>
      </c>
      <c r="C89" s="4" t="s">
        <v>52</v>
      </c>
      <c r="D89" s="10" t="s">
        <v>192</v>
      </c>
      <c r="E89" s="13"/>
    </row>
    <row r="90" customHeight="1" spans="1:5">
      <c r="A90" s="10">
        <v>4</v>
      </c>
      <c r="B90" s="11" t="s">
        <v>479</v>
      </c>
      <c r="C90" s="4" t="s">
        <v>46</v>
      </c>
      <c r="D90" s="10" t="s">
        <v>47</v>
      </c>
      <c r="E90" s="13"/>
    </row>
    <row r="91" ht="21.6" customHeight="1" spans="1:5">
      <c r="A91" s="10">
        <v>5</v>
      </c>
      <c r="B91" s="11" t="s">
        <v>211</v>
      </c>
      <c r="C91" s="4" t="s">
        <v>927</v>
      </c>
      <c r="D91" s="15" t="s">
        <v>601</v>
      </c>
      <c r="E91" s="13"/>
    </row>
    <row r="92" ht="21.6" customHeight="1" spans="1:5">
      <c r="A92" s="10">
        <v>6</v>
      </c>
      <c r="B92" s="11" t="s">
        <v>212</v>
      </c>
      <c r="C92" s="12" t="s">
        <v>217</v>
      </c>
      <c r="D92" s="15" t="s">
        <v>218</v>
      </c>
      <c r="E92" s="13"/>
    </row>
    <row r="93" ht="21.6" customHeight="1" spans="1:5">
      <c r="A93" s="10">
        <v>7</v>
      </c>
      <c r="B93" s="11" t="s">
        <v>213</v>
      </c>
      <c r="C93" s="12" t="s">
        <v>217</v>
      </c>
      <c r="D93" s="15" t="s">
        <v>218</v>
      </c>
      <c r="E93" s="13"/>
    </row>
    <row r="94" ht="21.6" customHeight="1" spans="1:5">
      <c r="A94" s="10">
        <v>8</v>
      </c>
      <c r="B94" s="11" t="s">
        <v>215</v>
      </c>
      <c r="C94" s="17" t="s">
        <v>72</v>
      </c>
      <c r="D94" s="15" t="s">
        <v>180</v>
      </c>
      <c r="E94" s="13"/>
    </row>
    <row r="95" ht="21.6" customHeight="1" spans="1:5">
      <c r="A95" s="10">
        <v>9</v>
      </c>
      <c r="B95" s="11" t="s">
        <v>220</v>
      </c>
      <c r="C95" s="4" t="s">
        <v>221</v>
      </c>
      <c r="D95" s="10" t="s">
        <v>81</v>
      </c>
      <c r="E95" s="13"/>
    </row>
    <row r="96" ht="21.6" customHeight="1" spans="1:5">
      <c r="A96" s="10">
        <v>10</v>
      </c>
      <c r="B96" s="11" t="s">
        <v>224</v>
      </c>
      <c r="C96" s="17" t="s">
        <v>505</v>
      </c>
      <c r="D96" s="15" t="s">
        <v>111</v>
      </c>
      <c r="E96" s="13"/>
    </row>
    <row r="97" customHeight="1" spans="1:5">
      <c r="A97" s="10"/>
      <c r="B97" s="20" t="s">
        <v>120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226</v>
      </c>
      <c r="C99" s="21"/>
      <c r="D99" s="21"/>
      <c r="E99" s="13"/>
    </row>
    <row r="100" customHeight="1" spans="1:5">
      <c r="A100" s="10">
        <v>1</v>
      </c>
      <c r="B100" s="18" t="s">
        <v>908</v>
      </c>
      <c r="C100" s="10" t="s">
        <v>909</v>
      </c>
      <c r="D100" s="15" t="s">
        <v>210</v>
      </c>
      <c r="E100" s="13"/>
    </row>
    <row r="101" customHeight="1" spans="1:5">
      <c r="A101" s="10">
        <v>2</v>
      </c>
      <c r="B101" s="11" t="s">
        <v>37</v>
      </c>
      <c r="C101" s="4" t="s">
        <v>230</v>
      </c>
      <c r="D101" s="10" t="s">
        <v>47</v>
      </c>
      <c r="E101" s="13"/>
    </row>
    <row r="102" customHeight="1" spans="1:5">
      <c r="A102" s="10">
        <v>3</v>
      </c>
      <c r="B102" s="11" t="s">
        <v>235</v>
      </c>
      <c r="C102" s="4" t="s">
        <v>651</v>
      </c>
      <c r="D102" s="15" t="s">
        <v>131</v>
      </c>
      <c r="E102" s="13"/>
    </row>
    <row r="103" customHeight="1" spans="1:5">
      <c r="A103" s="10">
        <v>4</v>
      </c>
      <c r="B103" s="11" t="s">
        <v>236</v>
      </c>
      <c r="C103" s="4" t="s">
        <v>1546</v>
      </c>
      <c r="D103" s="15" t="s">
        <v>105</v>
      </c>
      <c r="E103" s="13"/>
    </row>
    <row r="104" customHeight="1" spans="1:5">
      <c r="A104" s="4"/>
      <c r="B104" s="20" t="s">
        <v>120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239</v>
      </c>
      <c r="C106" s="4"/>
      <c r="D106" s="4"/>
      <c r="E106" s="13"/>
    </row>
    <row r="107" customHeight="1" spans="1:5">
      <c r="A107" s="4">
        <v>1</v>
      </c>
      <c r="B107" s="11" t="s">
        <v>652</v>
      </c>
      <c r="C107" s="12" t="s">
        <v>241</v>
      </c>
      <c r="D107" s="15" t="s">
        <v>124</v>
      </c>
      <c r="E107" s="13"/>
    </row>
    <row r="108" customHeight="1" spans="1:5">
      <c r="A108" s="4">
        <v>2</v>
      </c>
      <c r="B108" s="11" t="s">
        <v>242</v>
      </c>
      <c r="C108" s="4" t="s">
        <v>243</v>
      </c>
      <c r="D108" s="16" t="s">
        <v>210</v>
      </c>
      <c r="E108" s="13"/>
    </row>
    <row r="109" customHeight="1" spans="1:5">
      <c r="A109" s="4">
        <v>3</v>
      </c>
      <c r="B109" s="11" t="s">
        <v>244</v>
      </c>
      <c r="C109" s="4" t="s">
        <v>653</v>
      </c>
      <c r="D109" s="10" t="s">
        <v>56</v>
      </c>
      <c r="E109" s="13"/>
    </row>
    <row r="110" customHeight="1" spans="1:5">
      <c r="A110" s="4">
        <v>4</v>
      </c>
      <c r="B110" s="11" t="s">
        <v>246</v>
      </c>
      <c r="C110" s="4" t="s">
        <v>653</v>
      </c>
      <c r="D110" s="10" t="s">
        <v>56</v>
      </c>
      <c r="E110" s="13"/>
    </row>
    <row r="111" customHeight="1" spans="1:5">
      <c r="A111" s="4">
        <v>5</v>
      </c>
      <c r="B111" s="11" t="s">
        <v>249</v>
      </c>
      <c r="C111" s="4" t="s">
        <v>250</v>
      </c>
      <c r="D111" s="15" t="s">
        <v>506</v>
      </c>
      <c r="E111" s="13"/>
    </row>
    <row r="112" customHeight="1" spans="1:5">
      <c r="A112" s="4">
        <v>6</v>
      </c>
      <c r="B112" s="18" t="s">
        <v>252</v>
      </c>
      <c r="C112" s="4" t="s">
        <v>250</v>
      </c>
      <c r="D112" s="10" t="s">
        <v>105</v>
      </c>
      <c r="E112" s="13"/>
    </row>
    <row r="113" customHeight="1" spans="1:5">
      <c r="A113" s="4">
        <v>7</v>
      </c>
      <c r="B113" s="18" t="s">
        <v>253</v>
      </c>
      <c r="C113" s="4" t="s">
        <v>250</v>
      </c>
      <c r="D113" s="15" t="s">
        <v>111</v>
      </c>
      <c r="E113" s="13"/>
    </row>
    <row r="114" ht="25.5" customHeight="1" spans="1:5">
      <c r="A114" s="4"/>
      <c r="B114" s="20" t="s">
        <v>120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257</v>
      </c>
      <c r="C116" s="21"/>
      <c r="D116" s="21"/>
      <c r="E116" s="13"/>
    </row>
    <row r="117" customHeight="1" spans="1:5">
      <c r="A117" s="10">
        <v>1</v>
      </c>
      <c r="B117" s="11" t="s">
        <v>1609</v>
      </c>
      <c r="C117" s="17" t="s">
        <v>72</v>
      </c>
      <c r="D117" s="15" t="s">
        <v>70</v>
      </c>
      <c r="E117" s="13"/>
    </row>
    <row r="118" ht="18.75" customHeight="1" spans="1:5">
      <c r="A118" s="10">
        <v>2</v>
      </c>
      <c r="B118" s="11" t="s">
        <v>259</v>
      </c>
      <c r="C118" s="4" t="s">
        <v>260</v>
      </c>
      <c r="D118" s="15" t="s">
        <v>131</v>
      </c>
      <c r="E118" s="13"/>
    </row>
    <row r="119" ht="24.75" customHeight="1" spans="1:5">
      <c r="A119" s="4"/>
      <c r="B119" s="20" t="s">
        <v>120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278</v>
      </c>
      <c r="C121" s="21"/>
      <c r="D121" s="21"/>
      <c r="E121" s="13"/>
    </row>
    <row r="122" customHeight="1" spans="1:5">
      <c r="A122" s="4">
        <v>1</v>
      </c>
      <c r="B122" s="11" t="s">
        <v>279</v>
      </c>
      <c r="C122" s="12" t="s">
        <v>280</v>
      </c>
      <c r="D122" s="15" t="s">
        <v>124</v>
      </c>
      <c r="E122" s="13"/>
    </row>
    <row r="123" customHeight="1" spans="1:5">
      <c r="A123" s="4">
        <v>2</v>
      </c>
      <c r="B123" s="11" t="s">
        <v>1707</v>
      </c>
      <c r="C123" s="12" t="s">
        <v>1708</v>
      </c>
      <c r="D123" s="15" t="s">
        <v>36</v>
      </c>
      <c r="E123" s="13"/>
    </row>
    <row r="124" customHeight="1" spans="1:5">
      <c r="A124" s="4">
        <v>3</v>
      </c>
      <c r="B124" s="11" t="s">
        <v>281</v>
      </c>
      <c r="C124" s="12" t="s">
        <v>655</v>
      </c>
      <c r="D124" s="15" t="s">
        <v>39</v>
      </c>
      <c r="E124" s="13"/>
    </row>
    <row r="125" customHeight="1" spans="1:5">
      <c r="A125" s="4">
        <v>4</v>
      </c>
      <c r="B125" s="14" t="s">
        <v>283</v>
      </c>
      <c r="C125" s="12" t="s">
        <v>655</v>
      </c>
      <c r="D125" s="15" t="s">
        <v>39</v>
      </c>
      <c r="E125" s="13"/>
    </row>
    <row r="126" customHeight="1" spans="1:5">
      <c r="A126" s="4">
        <v>5</v>
      </c>
      <c r="B126" s="14" t="s">
        <v>930</v>
      </c>
      <c r="C126" s="12" t="s">
        <v>655</v>
      </c>
      <c r="D126" s="15" t="s">
        <v>42</v>
      </c>
      <c r="E126" s="13"/>
    </row>
    <row r="127" customHeight="1" spans="1:5">
      <c r="A127" s="4">
        <v>6</v>
      </c>
      <c r="B127" s="11" t="s">
        <v>286</v>
      </c>
      <c r="C127" s="12" t="s">
        <v>288</v>
      </c>
      <c r="D127" s="15" t="s">
        <v>214</v>
      </c>
      <c r="E127" s="13"/>
    </row>
    <row r="128" customHeight="1" spans="1:5">
      <c r="A128" s="4">
        <v>7</v>
      </c>
      <c r="B128" s="11" t="s">
        <v>287</v>
      </c>
      <c r="C128" s="12" t="s">
        <v>656</v>
      </c>
      <c r="D128" s="15" t="s">
        <v>601</v>
      </c>
      <c r="E128" s="13"/>
    </row>
    <row r="129" customHeight="1" spans="1:5">
      <c r="A129" s="4">
        <v>8</v>
      </c>
      <c r="B129" s="11" t="s">
        <v>289</v>
      </c>
      <c r="C129" s="12" t="s">
        <v>1547</v>
      </c>
      <c r="D129" s="15" t="s">
        <v>601</v>
      </c>
      <c r="E129" s="13"/>
    </row>
    <row r="130" customHeight="1" spans="1:5">
      <c r="A130" s="4">
        <v>9</v>
      </c>
      <c r="B130" s="11" t="s">
        <v>292</v>
      </c>
      <c r="C130" s="12" t="s">
        <v>657</v>
      </c>
      <c r="D130" s="10" t="s">
        <v>99</v>
      </c>
      <c r="E130" s="13"/>
    </row>
    <row r="131" customHeight="1" spans="1:5">
      <c r="A131" s="4">
        <v>10</v>
      </c>
      <c r="B131" s="18" t="s">
        <v>294</v>
      </c>
      <c r="C131" s="12" t="s">
        <v>295</v>
      </c>
      <c r="D131" s="15" t="s">
        <v>275</v>
      </c>
      <c r="E131" s="13"/>
    </row>
    <row r="132" customHeight="1" spans="1:5">
      <c r="A132" s="4"/>
      <c r="B132" s="20" t="s">
        <v>120</v>
      </c>
      <c r="C132" s="26" t="s">
        <v>658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299</v>
      </c>
      <c r="C134" s="12"/>
      <c r="D134" s="15"/>
      <c r="E134" s="13"/>
    </row>
    <row r="135" customHeight="1" spans="1:5">
      <c r="A135" s="27">
        <v>1</v>
      </c>
      <c r="B135" s="11" t="s">
        <v>931</v>
      </c>
      <c r="C135" s="12" t="s">
        <v>932</v>
      </c>
      <c r="D135" s="15" t="s">
        <v>124</v>
      </c>
      <c r="E135" s="13"/>
    </row>
    <row r="136" customHeight="1" spans="1:5">
      <c r="A136" s="27">
        <v>2</v>
      </c>
      <c r="B136" s="11" t="s">
        <v>933</v>
      </c>
      <c r="C136" s="12" t="s">
        <v>934</v>
      </c>
      <c r="D136" s="15" t="s">
        <v>36</v>
      </c>
      <c r="E136" s="13"/>
    </row>
    <row r="137" customHeight="1" spans="1:5">
      <c r="A137" s="27">
        <v>3</v>
      </c>
      <c r="B137" s="14" t="s">
        <v>302</v>
      </c>
      <c r="C137" s="4" t="s">
        <v>488</v>
      </c>
      <c r="D137" s="16" t="s">
        <v>210</v>
      </c>
      <c r="E137" s="13"/>
    </row>
    <row r="138" customHeight="1" spans="1:5">
      <c r="A138" s="27">
        <v>4</v>
      </c>
      <c r="B138" s="11" t="s">
        <v>305</v>
      </c>
      <c r="C138" s="12" t="s">
        <v>935</v>
      </c>
      <c r="D138" s="15" t="s">
        <v>47</v>
      </c>
      <c r="E138" s="13"/>
    </row>
    <row r="139" customHeight="1" spans="1:5">
      <c r="A139" s="27">
        <v>5</v>
      </c>
      <c r="B139" s="11" t="s">
        <v>307</v>
      </c>
      <c r="C139" s="4" t="s">
        <v>311</v>
      </c>
      <c r="D139" s="15" t="s">
        <v>47</v>
      </c>
      <c r="E139" s="13"/>
    </row>
    <row r="140" customHeight="1" spans="1:5">
      <c r="A140" s="27">
        <v>6</v>
      </c>
      <c r="B140" s="11" t="s">
        <v>229</v>
      </c>
      <c r="C140" s="4" t="s">
        <v>937</v>
      </c>
      <c r="D140" s="15" t="s">
        <v>601</v>
      </c>
      <c r="E140" s="13"/>
    </row>
    <row r="141" customHeight="1" spans="1:5">
      <c r="A141" s="27">
        <v>7</v>
      </c>
      <c r="B141" s="11" t="s">
        <v>231</v>
      </c>
      <c r="C141" s="12" t="s">
        <v>936</v>
      </c>
      <c r="D141" s="15" t="s">
        <v>70</v>
      </c>
      <c r="E141" s="13"/>
    </row>
    <row r="142" customHeight="1" spans="1:5">
      <c r="A142" s="27">
        <v>8</v>
      </c>
      <c r="B142" s="11" t="s">
        <v>312</v>
      </c>
      <c r="C142" s="12" t="s">
        <v>936</v>
      </c>
      <c r="D142" s="15" t="s">
        <v>70</v>
      </c>
      <c r="E142" s="13"/>
    </row>
    <row r="143" customHeight="1" spans="1:5">
      <c r="A143" s="27">
        <v>9</v>
      </c>
      <c r="B143" s="11" t="s">
        <v>313</v>
      </c>
      <c r="C143" s="4" t="s">
        <v>937</v>
      </c>
      <c r="D143" s="15" t="s">
        <v>70</v>
      </c>
      <c r="E143" s="13"/>
    </row>
    <row r="144" customHeight="1" spans="1:5">
      <c r="A144" s="27">
        <v>10</v>
      </c>
      <c r="B144" s="11" t="s">
        <v>315</v>
      </c>
      <c r="C144" s="12" t="s">
        <v>660</v>
      </c>
      <c r="D144" s="15" t="s">
        <v>131</v>
      </c>
      <c r="E144" s="13"/>
    </row>
    <row r="145" customHeight="1" spans="1:5">
      <c r="A145" s="27">
        <v>11</v>
      </c>
      <c r="B145" s="11" t="s">
        <v>317</v>
      </c>
      <c r="C145" s="12" t="s">
        <v>1549</v>
      </c>
      <c r="D145" s="15" t="s">
        <v>153</v>
      </c>
      <c r="E145" s="13"/>
    </row>
    <row r="146" customHeight="1" spans="1:5">
      <c r="A146" s="27">
        <v>12</v>
      </c>
      <c r="B146" s="11" t="s">
        <v>62</v>
      </c>
      <c r="C146" s="12" t="s">
        <v>938</v>
      </c>
      <c r="D146" s="15" t="s">
        <v>70</v>
      </c>
      <c r="E146" s="13"/>
    </row>
    <row r="147" customHeight="1" spans="1:5">
      <c r="A147" s="27">
        <v>13</v>
      </c>
      <c r="B147" s="18" t="s">
        <v>319</v>
      </c>
      <c r="C147" s="4" t="s">
        <v>328</v>
      </c>
      <c r="D147" s="15" t="s">
        <v>153</v>
      </c>
      <c r="E147" s="13"/>
    </row>
    <row r="148" customHeight="1" spans="1:5">
      <c r="A148" s="27">
        <v>14</v>
      </c>
      <c r="B148" s="11" t="s">
        <v>321</v>
      </c>
      <c r="C148" s="4" t="s">
        <v>939</v>
      </c>
      <c r="D148" s="15" t="s">
        <v>75</v>
      </c>
      <c r="E148" s="13"/>
    </row>
    <row r="149" customHeight="1" spans="1:5">
      <c r="A149" s="27">
        <v>15</v>
      </c>
      <c r="B149" s="11" t="s">
        <v>322</v>
      </c>
      <c r="C149" s="4" t="s">
        <v>939</v>
      </c>
      <c r="D149" s="15" t="s">
        <v>78</v>
      </c>
      <c r="E149" s="13"/>
    </row>
    <row r="150" customHeight="1" spans="1:5">
      <c r="A150" s="27">
        <v>16</v>
      </c>
      <c r="B150" s="11" t="s">
        <v>324</v>
      </c>
      <c r="C150" s="4" t="s">
        <v>939</v>
      </c>
      <c r="D150" s="15" t="s">
        <v>78</v>
      </c>
      <c r="E150" s="13"/>
    </row>
    <row r="151" customHeight="1" spans="1:5">
      <c r="A151" s="27">
        <v>17</v>
      </c>
      <c r="B151" s="11" t="s">
        <v>325</v>
      </c>
      <c r="C151" s="12" t="s">
        <v>326</v>
      </c>
      <c r="D151" s="15" t="s">
        <v>81</v>
      </c>
      <c r="E151" s="13"/>
    </row>
    <row r="152" customHeight="1" spans="1:5">
      <c r="A152" s="27">
        <v>18</v>
      </c>
      <c r="B152" s="11" t="s">
        <v>1533</v>
      </c>
      <c r="C152" s="12" t="s">
        <v>328</v>
      </c>
      <c r="D152" s="10" t="s">
        <v>225</v>
      </c>
      <c r="E152" s="13"/>
    </row>
    <row r="153" customHeight="1" spans="1:5">
      <c r="A153" s="27">
        <v>19</v>
      </c>
      <c r="B153" s="11" t="s">
        <v>329</v>
      </c>
      <c r="C153" s="12" t="s">
        <v>661</v>
      </c>
      <c r="D153" s="15" t="s">
        <v>75</v>
      </c>
      <c r="E153" s="13"/>
    </row>
    <row r="154" customHeight="1" spans="1:5">
      <c r="A154" s="27">
        <v>20</v>
      </c>
      <c r="B154" s="11" t="s">
        <v>331</v>
      </c>
      <c r="C154" s="12" t="s">
        <v>662</v>
      </c>
      <c r="D154" s="15" t="s">
        <v>99</v>
      </c>
      <c r="E154" s="13"/>
    </row>
    <row r="155" customHeight="1" spans="1:5">
      <c r="A155" s="27">
        <v>21</v>
      </c>
      <c r="B155" s="11" t="s">
        <v>333</v>
      </c>
      <c r="C155" s="12" t="s">
        <v>663</v>
      </c>
      <c r="D155" s="15" t="s">
        <v>75</v>
      </c>
      <c r="E155" s="13"/>
    </row>
    <row r="156" customHeight="1" spans="1:5">
      <c r="A156" s="27">
        <v>22</v>
      </c>
      <c r="B156" s="11" t="s">
        <v>334</v>
      </c>
      <c r="C156" s="12" t="s">
        <v>664</v>
      </c>
      <c r="D156" s="15" t="s">
        <v>99</v>
      </c>
      <c r="E156" s="13"/>
    </row>
    <row r="157" customHeight="1" spans="1:5">
      <c r="A157" s="27">
        <v>23</v>
      </c>
      <c r="B157" s="18" t="s">
        <v>336</v>
      </c>
      <c r="C157" s="12" t="s">
        <v>346</v>
      </c>
      <c r="D157" s="15" t="s">
        <v>105</v>
      </c>
      <c r="E157" s="13"/>
    </row>
    <row r="158" customHeight="1" spans="1:5">
      <c r="A158" s="27">
        <v>24</v>
      </c>
      <c r="B158" s="18" t="s">
        <v>343</v>
      </c>
      <c r="C158" s="12" t="s">
        <v>344</v>
      </c>
      <c r="D158" s="15" t="s">
        <v>275</v>
      </c>
      <c r="E158" s="13"/>
    </row>
    <row r="159" customHeight="1" spans="1:5">
      <c r="A159" s="27">
        <v>25</v>
      </c>
      <c r="B159" s="18" t="s">
        <v>345</v>
      </c>
      <c r="C159" s="12" t="s">
        <v>346</v>
      </c>
      <c r="D159" s="15" t="s">
        <v>275</v>
      </c>
      <c r="E159" s="13"/>
    </row>
    <row r="160" customHeight="1" spans="1:5">
      <c r="A160" s="27">
        <v>26</v>
      </c>
      <c r="B160" s="18" t="s">
        <v>347</v>
      </c>
      <c r="C160" s="12" t="s">
        <v>348</v>
      </c>
      <c r="D160" s="15" t="s">
        <v>111</v>
      </c>
      <c r="E160" s="13"/>
    </row>
    <row r="161" customHeight="1" spans="1:5">
      <c r="A161" s="27">
        <v>27</v>
      </c>
      <c r="B161" s="18" t="s">
        <v>349</v>
      </c>
      <c r="C161" s="12" t="s">
        <v>665</v>
      </c>
      <c r="D161" s="15" t="s">
        <v>111</v>
      </c>
      <c r="E161" s="13"/>
    </row>
    <row r="162" customHeight="1" spans="1:5">
      <c r="A162" s="27">
        <v>28</v>
      </c>
      <c r="B162" s="11" t="s">
        <v>359</v>
      </c>
      <c r="C162" s="12" t="s">
        <v>512</v>
      </c>
      <c r="D162" s="15" t="s">
        <v>377</v>
      </c>
      <c r="E162" s="13"/>
    </row>
    <row r="163" customHeight="1" spans="1:5">
      <c r="A163" s="27">
        <v>29</v>
      </c>
      <c r="B163" s="11" t="s">
        <v>362</v>
      </c>
      <c r="C163" s="12" t="s">
        <v>512</v>
      </c>
      <c r="D163" s="15" t="s">
        <v>377</v>
      </c>
      <c r="E163" s="13"/>
    </row>
    <row r="164" customHeight="1" spans="1:5">
      <c r="A164" s="27">
        <v>30</v>
      </c>
      <c r="B164" s="11" t="s">
        <v>666</v>
      </c>
      <c r="C164" s="12" t="s">
        <v>512</v>
      </c>
      <c r="D164" s="15" t="s">
        <v>377</v>
      </c>
      <c r="E164" s="13"/>
    </row>
    <row r="165" customHeight="1" spans="1:5">
      <c r="A165" s="27">
        <v>31</v>
      </c>
      <c r="B165" s="11" t="s">
        <v>363</v>
      </c>
      <c r="C165" s="12" t="s">
        <v>512</v>
      </c>
      <c r="D165" s="15" t="s">
        <v>377</v>
      </c>
      <c r="E165" s="13"/>
    </row>
    <row r="166" customHeight="1" spans="1:5">
      <c r="A166" s="27">
        <v>32</v>
      </c>
      <c r="B166" s="11" t="s">
        <v>364</v>
      </c>
      <c r="C166" s="12" t="s">
        <v>512</v>
      </c>
      <c r="D166" s="15" t="s">
        <v>377</v>
      </c>
      <c r="E166" s="13"/>
    </row>
    <row r="167" customHeight="1" spans="1:5">
      <c r="A167" s="27">
        <v>33</v>
      </c>
      <c r="B167" s="11" t="s">
        <v>365</v>
      </c>
      <c r="C167" s="12" t="s">
        <v>512</v>
      </c>
      <c r="D167" s="15" t="s">
        <v>606</v>
      </c>
      <c r="E167" s="13"/>
    </row>
    <row r="168" customHeight="1" spans="1:5">
      <c r="A168" s="27">
        <v>34</v>
      </c>
      <c r="B168" s="11" t="s">
        <v>367</v>
      </c>
      <c r="C168" s="12" t="s">
        <v>512</v>
      </c>
      <c r="D168" s="15" t="s">
        <v>606</v>
      </c>
      <c r="E168" s="13"/>
    </row>
    <row r="169" customHeight="1" spans="1:5">
      <c r="A169" s="27">
        <v>35</v>
      </c>
      <c r="B169" s="11" t="s">
        <v>1690</v>
      </c>
      <c r="C169" s="12" t="s">
        <v>512</v>
      </c>
      <c r="D169" s="15" t="s">
        <v>606</v>
      </c>
      <c r="E169" s="13"/>
    </row>
    <row r="170" customHeight="1" spans="1:5">
      <c r="A170" s="27">
        <v>36</v>
      </c>
      <c r="B170" s="14" t="s">
        <v>368</v>
      </c>
      <c r="C170" s="12" t="s">
        <v>512</v>
      </c>
      <c r="D170" s="15" t="s">
        <v>606</v>
      </c>
      <c r="E170" s="13"/>
    </row>
    <row r="171" customHeight="1" spans="1:5">
      <c r="A171" s="27">
        <v>37</v>
      </c>
      <c r="B171" s="11" t="s">
        <v>369</v>
      </c>
      <c r="C171" s="12" t="s">
        <v>512</v>
      </c>
      <c r="D171" s="15" t="s">
        <v>606</v>
      </c>
      <c r="E171" s="13"/>
    </row>
    <row r="172" customHeight="1" spans="1:5">
      <c r="A172" s="27">
        <v>38</v>
      </c>
      <c r="B172" s="18" t="s">
        <v>370</v>
      </c>
      <c r="C172" s="12" t="s">
        <v>512</v>
      </c>
      <c r="D172" s="15" t="s">
        <v>606</v>
      </c>
      <c r="E172" s="13"/>
    </row>
    <row r="173" customHeight="1" spans="1:5">
      <c r="A173" s="27">
        <v>39</v>
      </c>
      <c r="B173" s="18" t="s">
        <v>357</v>
      </c>
      <c r="C173" s="12" t="s">
        <v>512</v>
      </c>
      <c r="D173" s="15" t="s">
        <v>606</v>
      </c>
      <c r="E173" s="13"/>
    </row>
    <row r="174" customHeight="1" spans="1:5">
      <c r="A174" s="27">
        <v>40</v>
      </c>
      <c r="B174" s="11" t="s">
        <v>371</v>
      </c>
      <c r="C174" s="12" t="s">
        <v>387</v>
      </c>
      <c r="D174" s="15" t="s">
        <v>608</v>
      </c>
      <c r="E174" s="13"/>
    </row>
    <row r="175" customHeight="1" spans="1:5">
      <c r="A175" s="27">
        <v>41</v>
      </c>
      <c r="B175" s="11" t="s">
        <v>373</v>
      </c>
      <c r="C175" s="12" t="s">
        <v>387</v>
      </c>
      <c r="D175" s="15" t="s">
        <v>608</v>
      </c>
      <c r="E175" s="13"/>
    </row>
    <row r="176" customHeight="1" spans="1:5">
      <c r="A176" s="27">
        <v>42</v>
      </c>
      <c r="B176" s="18" t="s">
        <v>374</v>
      </c>
      <c r="C176" s="12" t="s">
        <v>387</v>
      </c>
      <c r="D176" s="15" t="s">
        <v>388</v>
      </c>
      <c r="E176" s="13"/>
    </row>
    <row r="177" customHeight="1" spans="1:5">
      <c r="A177" s="27">
        <v>43</v>
      </c>
      <c r="B177" s="11" t="s">
        <v>376</v>
      </c>
      <c r="C177" s="12" t="s">
        <v>387</v>
      </c>
      <c r="D177" s="15" t="s">
        <v>403</v>
      </c>
      <c r="E177" s="13"/>
    </row>
    <row r="178" customHeight="1" spans="1:5">
      <c r="A178" s="27">
        <v>44</v>
      </c>
      <c r="B178" s="11" t="s">
        <v>378</v>
      </c>
      <c r="C178" s="12" t="s">
        <v>514</v>
      </c>
      <c r="D178" s="15" t="s">
        <v>1534</v>
      </c>
      <c r="E178" s="13"/>
    </row>
    <row r="179" customHeight="1" spans="1:5">
      <c r="A179" s="27">
        <v>45</v>
      </c>
      <c r="B179" s="11" t="s">
        <v>379</v>
      </c>
      <c r="C179" s="12" t="s">
        <v>514</v>
      </c>
      <c r="D179" s="15" t="s">
        <v>1534</v>
      </c>
      <c r="E179" s="13"/>
    </row>
    <row r="180" customHeight="1" spans="1:5">
      <c r="A180" s="27">
        <v>46</v>
      </c>
      <c r="B180" s="11" t="s">
        <v>380</v>
      </c>
      <c r="C180" s="12" t="s">
        <v>514</v>
      </c>
      <c r="D180" s="15" t="s">
        <v>1534</v>
      </c>
      <c r="E180" s="13"/>
    </row>
    <row r="181" customHeight="1" spans="1:5">
      <c r="A181" s="27">
        <v>47</v>
      </c>
      <c r="B181" s="11" t="s">
        <v>381</v>
      </c>
      <c r="C181" s="12" t="s">
        <v>514</v>
      </c>
      <c r="D181" s="15" t="s">
        <v>1534</v>
      </c>
      <c r="E181" s="13"/>
    </row>
    <row r="182" customHeight="1" spans="1:5">
      <c r="A182" s="27">
        <v>48</v>
      </c>
      <c r="B182" s="11" t="s">
        <v>382</v>
      </c>
      <c r="C182" s="12" t="s">
        <v>514</v>
      </c>
      <c r="D182" s="15" t="s">
        <v>1534</v>
      </c>
      <c r="E182" s="13"/>
    </row>
    <row r="183" customHeight="1" spans="1:5">
      <c r="A183" s="27">
        <v>49</v>
      </c>
      <c r="B183" s="18" t="s">
        <v>383</v>
      </c>
      <c r="C183" s="12" t="s">
        <v>514</v>
      </c>
      <c r="D183" s="15" t="s">
        <v>1534</v>
      </c>
      <c r="E183" s="13"/>
    </row>
    <row r="184" customHeight="1" spans="1:5">
      <c r="A184" s="27">
        <v>50</v>
      </c>
      <c r="B184" s="18" t="s">
        <v>385</v>
      </c>
      <c r="C184" s="12" t="s">
        <v>514</v>
      </c>
      <c r="D184" s="15" t="s">
        <v>1534</v>
      </c>
      <c r="E184" s="13"/>
    </row>
    <row r="185" customHeight="1" spans="1:5">
      <c r="A185" s="27">
        <v>51</v>
      </c>
      <c r="B185" s="11" t="s">
        <v>668</v>
      </c>
      <c r="C185" s="12" t="s">
        <v>387</v>
      </c>
      <c r="D185" s="15" t="s">
        <v>1534</v>
      </c>
      <c r="E185" s="13"/>
    </row>
    <row r="186" customHeight="1" spans="1:5">
      <c r="A186" s="27">
        <v>52</v>
      </c>
      <c r="B186" s="11" t="s">
        <v>386</v>
      </c>
      <c r="C186" s="12" t="s">
        <v>387</v>
      </c>
      <c r="D186" s="15" t="s">
        <v>1534</v>
      </c>
      <c r="E186" s="13"/>
    </row>
    <row r="187" customHeight="1" spans="1:5">
      <c r="A187" s="27">
        <v>53</v>
      </c>
      <c r="B187" s="18" t="s">
        <v>358</v>
      </c>
      <c r="C187" s="12" t="s">
        <v>514</v>
      </c>
      <c r="D187" s="15" t="s">
        <v>1550</v>
      </c>
      <c r="E187" s="13"/>
    </row>
    <row r="188" customHeight="1" spans="1:5">
      <c r="A188" s="27">
        <v>54</v>
      </c>
      <c r="B188" s="18" t="s">
        <v>392</v>
      </c>
      <c r="C188" s="12" t="s">
        <v>514</v>
      </c>
      <c r="D188" s="15" t="s">
        <v>609</v>
      </c>
      <c r="E188" s="13"/>
    </row>
    <row r="189" customHeight="1" spans="1:5">
      <c r="A189" s="27"/>
      <c r="B189" s="8" t="s">
        <v>120</v>
      </c>
      <c r="C189" s="28" t="s">
        <v>1693</v>
      </c>
      <c r="D189" s="29"/>
      <c r="E189" s="13"/>
    </row>
    <row r="190" ht="32.25" customHeight="1" spans="1:5">
      <c r="A190" s="4"/>
      <c r="B190" s="30" t="s">
        <v>406</v>
      </c>
      <c r="C190" s="31">
        <f>C35+C40+C55+C60+C76+C84+C97+C104+C114+C132+C189</f>
        <v>147</v>
      </c>
      <c r="D190" s="32"/>
      <c r="E190" s="13"/>
    </row>
    <row r="191" customHeight="1" spans="1:5">
      <c r="B191" s="33"/>
      <c r="D191" s="34"/>
      <c r="E191" s="35"/>
    </row>
    <row r="192" ht="65.25" customHeight="1" spans="1:5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134</vt:i4>
      </vt:variant>
    </vt:vector>
  </HeadingPairs>
  <TitlesOfParts>
    <vt:vector size="134" baseType="lpstr">
      <vt:lpstr>APRIL 2026</vt:lpstr>
      <vt:lpstr>MEMO</vt:lpstr>
      <vt:lpstr>Changes in PAYE (4)</vt:lpstr>
      <vt:lpstr>SALLAH WELF</vt:lpstr>
      <vt:lpstr>Sum of Welfare (4)</vt:lpstr>
      <vt:lpstr>2026 ENHANCED WELFARE (2)</vt:lpstr>
      <vt:lpstr>Sheet18</vt:lpstr>
      <vt:lpstr>FCTIRS Template</vt:lpstr>
      <vt:lpstr>Rent Relief</vt:lpstr>
      <vt:lpstr> Promotions</vt:lpstr>
      <vt:lpstr>Sheet20</vt:lpstr>
      <vt:lpstr>2026 ENHANCED WELFARE</vt:lpstr>
      <vt:lpstr>Summary EW</vt:lpstr>
      <vt:lpstr>New Steps, Pensions &amp; NHF</vt:lpstr>
      <vt:lpstr>Basic &amp; Pensions (2)</vt:lpstr>
      <vt:lpstr>Sum </vt:lpstr>
      <vt:lpstr>2025 Promotions (2)</vt:lpstr>
      <vt:lpstr>Christmas Welfare 2025 (2)</vt:lpstr>
      <vt:lpstr>Sum of Welfare (3)</vt:lpstr>
      <vt:lpstr>New NHF Enrolment (3)</vt:lpstr>
      <vt:lpstr>Sheet17</vt:lpstr>
      <vt:lpstr>Changes in PAYE (3)</vt:lpstr>
      <vt:lpstr>New NHF Enrolment (2)</vt:lpstr>
      <vt:lpstr>Sheet16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2024-11-05T10:10:00Z</cp:lastPrinted>
  <dcterms:modified xsi:type="dcterms:W3CDTF">2026-04-23T13:56:48Z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